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4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GRAMS\NOFA\NOFA 2021 NC\NOFA + Application Documents\Exhibits\"/>
    </mc:Choice>
  </mc:AlternateContent>
  <xr:revisionPtr revIDLastSave="0" documentId="8_{D686511E-04B4-4FC9-AE44-AD7EAADC02E0}" xr6:coauthVersionLast="45" xr6:coauthVersionMax="45" xr10:uidLastSave="{00000000-0000-0000-0000-000000000000}"/>
  <workbookProtection workbookAlgorithmName="SHA-512" workbookHashValue="xcPpteP1mxtfZmJ0laU8rm8YF7c53cgncYIK40Q9HCZqEUuBZMM4MSHRfu4TsiAZ6E0ioLheKUFRZJW/wBATEg==" workbookSaltValue="n5/+q3GuK7CgP+eMgXB4kw==" workbookSpinCount="100000" lockStructure="1"/>
  <bookViews>
    <workbookView xWindow="2730" yWindow="2235" windowWidth="19200" windowHeight="10065" firstSheet="1" activeTab="8" xr2:uid="{C0BCC25C-413C-2C43-87B9-15A4A20A906C}"/>
  </bookViews>
  <sheets>
    <sheet name="Table of Contents" sheetId="62" r:id="rId1"/>
    <sheet name="Annual HCD Updates" sheetId="71" r:id="rId2"/>
    <sheet name=" Instructions" sheetId="66" r:id="rId3"/>
    <sheet name=" Thresholds" sheetId="70" r:id="rId4"/>
    <sheet name="Summary" sheetId="64" r:id="rId5"/>
    <sheet name="Project Info" sheetId="50" r:id="rId6"/>
    <sheet name="Existing Buildings" sheetId="67" r:id="rId7"/>
    <sheet name="Source and Uses" sheetId="11" r:id="rId8"/>
    <sheet name="Rents" sheetId="52" r:id="rId9"/>
    <sheet name="Dev Costs" sheetId="4" r:id="rId10"/>
    <sheet name="Stabilized Ops &amp; Debt" sheetId="55" r:id="rId11"/>
    <sheet name="Location" sheetId="72" r:id="rId12"/>
    <sheet name="Tariffs" sheetId="73" r:id="rId13"/>
    <sheet name="Building Characteristics" sheetId="74" r:id="rId14"/>
    <sheet name="HUD-52667 Form" sheetId="75" r:id="rId15"/>
    <sheet name="Max Rents &amp; Pmt Stds" sheetId="3" r:id="rId16"/>
    <sheet name="TC Analysis" sheetId="54" r:id="rId17"/>
    <sheet name=" Cash Flow" sheetId="21" r:id="rId18"/>
    <sheet name=" Lease-up" sheetId="58" r:id="rId19"/>
    <sheet name="Amort1" sheetId="57" r:id="rId20"/>
    <sheet name="Amort2" sheetId="63" r:id="rId21"/>
    <sheet name="Amort3" sheetId="65" r:id="rId22"/>
    <sheet name="Sheet2" sheetId="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3" hidden="1">'Building Characteristics'!$H$72:$H$1031</definedName>
    <definedName name="_xlnm._FilterDatabase" localSheetId="12" hidden="1">Tariffs!$P$268:$P$413</definedName>
    <definedName name="Acq_Rehab" localSheetId="4">[1]Budget!#REF!</definedName>
    <definedName name="Acq_Rehab">[1]Budget!#REF!</definedName>
    <definedName name="Addit_Subs_Reqd" localSheetId="17">' Cash Flow'!#REF!</definedName>
    <definedName name="Admin" localSheetId="4">[1]Budget!#REF!</definedName>
    <definedName name="Admin">[1]Budget!#REF!</definedName>
    <definedName name="Aff_Hsg_Cost_Percent" localSheetId="1">'Annual HCD Updates'!$D$51</definedName>
    <definedName name="Aff_Hsg_Cost_Percent">'Max Rents &amp; Pmt Stds'!$D$38</definedName>
    <definedName name="Affordable_Units" localSheetId="17">#REF!</definedName>
    <definedName name="Agency_Gap" localSheetId="17">' Cash Flow'!#REF!</definedName>
    <definedName name="Agency_Gap_Cash" localSheetId="17">' Cash Flow'!#REF!</definedName>
    <definedName name="Agency_Gap_Cash_TE" localSheetId="17">' Cash Flow'!#REF!</definedName>
    <definedName name="Agency_Gap_Cash_wo_State" localSheetId="17">' Cash Flow'!#REF!</definedName>
    <definedName name="Agency_Gap_Land" localSheetId="17">' Cash Flow'!#REF!</definedName>
    <definedName name="Agency_Gap_Land_TE" localSheetId="17">' Cash Flow'!#REF!</definedName>
    <definedName name="AHP" localSheetId="17">' Cash Flow'!#REF!</definedName>
    <definedName name="amort1" localSheetId="20">Amort2!$I$17:$M$77</definedName>
    <definedName name="amort1" localSheetId="21">Amort3!$I$17:$M$77</definedName>
    <definedName name="amort1">Amort1!$I$15:$O$75</definedName>
    <definedName name="Annual_Hsg_Rev" localSheetId="4">'[2]HsgFund Sep'!#REF!</definedName>
    <definedName name="Annual_Hsg_Rev">'[2]HsgFund Sep'!#REF!</definedName>
    <definedName name="App_2_Used" localSheetId="17">#REF!</definedName>
    <definedName name="App_2_Used" localSheetId="4">#REF!</definedName>
    <definedName name="App_2_Used">#REF!</definedName>
    <definedName name="App_3_New" localSheetId="17">#REF!</definedName>
    <definedName name="App_3_New" localSheetId="4">#REF!</definedName>
    <definedName name="App_3_New">#REF!</definedName>
    <definedName name="App_3_Used" localSheetId="17">#REF!</definedName>
    <definedName name="App_3_Used" localSheetId="4">#REF!</definedName>
    <definedName name="App_3_Used">#REF!</definedName>
    <definedName name="App_4_New" localSheetId="17">#REF!</definedName>
    <definedName name="App_4_New" localSheetId="4">#REF!</definedName>
    <definedName name="App_4_New">#REF!</definedName>
    <definedName name="App_4_Used" localSheetId="17">#REF!</definedName>
    <definedName name="App_4_Used" localSheetId="4">#REF!</definedName>
    <definedName name="App_4_Used">#REF!</definedName>
    <definedName name="Arch_Expend" localSheetId="4">#REF!</definedName>
    <definedName name="Arch_Expend">#REF!</definedName>
    <definedName name="Arch_YTD" localSheetId="4">#REF!</definedName>
    <definedName name="Arch_YTD">#REF!</definedName>
    <definedName name="Baseline_O1" localSheetId="4">'[1]Com Ctr Oper'!#REF!</definedName>
    <definedName name="Baseline_O1">'[1]Com Ctr Oper'!#REF!</definedName>
    <definedName name="Baseline_O2" localSheetId="4">'[1]Com Ctr Oper'!#REF!</definedName>
    <definedName name="Baseline_O2">'[1]Com Ctr Oper'!#REF!</definedName>
    <definedName name="Baseline_O3" localSheetId="4">'[1]Com Ctr Oper'!#REF!</definedName>
    <definedName name="Baseline_O3">'[1]Com Ctr Oper'!#REF!</definedName>
    <definedName name="Bed1_SF" localSheetId="17">#REF!</definedName>
    <definedName name="Bed2_SF" localSheetId="17">#REF!</definedName>
    <definedName name="Bed3_SF" localSheetId="17">#REF!</definedName>
    <definedName name="bedroom_conv">'Building Characteristics'!$M$92:$N$97</definedName>
    <definedName name="Bedroom1" localSheetId="17">' Cash Flow'!#REF!</definedName>
    <definedName name="Bedroom1" localSheetId="1">'Annual HCD Updates'!$C$92</definedName>
    <definedName name="Bedroom1" localSheetId="15">'Max Rents &amp; Pmt Stds'!$C$79</definedName>
    <definedName name="Bedroom2" localSheetId="17">' Cash Flow'!#REF!</definedName>
    <definedName name="Bedroom2" localSheetId="1">'Annual HCD Updates'!$C$93</definedName>
    <definedName name="Bedroom2" localSheetId="15">'Max Rents &amp; Pmt Stds'!$C$80</definedName>
    <definedName name="Bedroom3" localSheetId="17">' Cash Flow'!#REF!</definedName>
    <definedName name="Bedroom3" localSheetId="1">'Annual HCD Updates'!$B$94</definedName>
    <definedName name="Bedroom3" localSheetId="15">'Max Rents &amp; Pmt Stds'!$B$81</definedName>
    <definedName name="Bedroom4" localSheetId="17">' Cash Flow'!#REF!</definedName>
    <definedName name="Bedroom4" localSheetId="1">'Annual HCD Updates'!$B$101</definedName>
    <definedName name="Bedroom4" localSheetId="15">'Max Rents &amp; Pmt Stds'!$B$88</definedName>
    <definedName name="Bowron" localSheetId="4">'[2]HsgFund Sep'!#REF!</definedName>
    <definedName name="Bowron">'[2]HsgFund Sep'!#REF!</definedName>
    <definedName name="Bowron_Subsidy" localSheetId="4">#REF!</definedName>
    <definedName name="Bowron_Subsidy">#REF!</definedName>
    <definedName name="Briehan" localSheetId="4">'[2]HsgFund Sep'!#REF!</definedName>
    <definedName name="Briehan">'[2]HsgFund Sep'!#REF!</definedName>
    <definedName name="Briehan_Subsidy" localSheetId="4">'[2] NC ProjScen'!#REF!</definedName>
    <definedName name="Briehan_Subsidy">'[2] NC ProjScen'!#REF!</definedName>
    <definedName name="Brookview" localSheetId="4">'[2]HsgFund Sep'!#REF!</definedName>
    <definedName name="Brookview">'[2]HsgFund Sep'!#REF!</definedName>
    <definedName name="Brookview_Subsidy" localSheetId="4">'[2] NC ProjScen'!#REF!</definedName>
    <definedName name="Brookview_Subsidy">'[2] NC ProjScen'!#REF!</definedName>
    <definedName name="BRs" localSheetId="17">#REF!</definedName>
    <definedName name="BRs" localSheetId="4">#REF!</definedName>
    <definedName name="BRs">#REF!</definedName>
    <definedName name="BRs_1" localSheetId="17">'[3]Dev Program'!#REF!</definedName>
    <definedName name="BRs_2" localSheetId="17">'[3]Dev Program'!#REF!</definedName>
    <definedName name="BRs_3" localSheetId="17">'[3]Dev Program'!#REF!</definedName>
    <definedName name="BRs_4" localSheetId="17">'[3]Dev Program'!#REF!</definedName>
    <definedName name="BRs_5" localSheetId="17">'[3]Dev Program'!#REF!</definedName>
    <definedName name="Cash_Flow" localSheetId="17">#REF!</definedName>
    <definedName name="Cash_Flow" localSheetId="4">#REF!</definedName>
    <definedName name="Cash_Flow">#REF!</definedName>
    <definedName name="City" localSheetId="4">#REF!</definedName>
    <definedName name="City">#REF!</definedName>
    <definedName name="Closing" localSheetId="17">#REF!</definedName>
    <definedName name="Closing" localSheetId="4">#REF!</definedName>
    <definedName name="Closing">#REF!</definedName>
    <definedName name="Com_SF" localSheetId="17">#REF!</definedName>
    <definedName name="Com_SF" localSheetId="4">#REF!</definedName>
    <definedName name="Com_SF">#REF!</definedName>
    <definedName name="Condo_Fee" localSheetId="4">#REF!</definedName>
    <definedName name="Condo_Fee">#REF!</definedName>
    <definedName name="Const_type">Sheet2!$B$4:$B$6</definedName>
    <definedName name="Construction_Occupancy">Sheet2!$F$3:$F$6</definedName>
    <definedName name="construction_type" localSheetId="6">'Existing Buildings'!#REF!</definedName>
    <definedName name="construction_type">'Project Info'!$K$10</definedName>
    <definedName name="conversion_date">' Cash Flow'!$E$49</definedName>
    <definedName name="Cosmo_Subs_Unit" localSheetId="4">'[4]Prog Costs'!#REF!</definedName>
    <definedName name="Cosmo_Subs_Unit">'[4]Prog Costs'!#REF!</definedName>
    <definedName name="Cost_2BR" localSheetId="4">#REF!</definedName>
    <definedName name="Cost_2BR">#REF!</definedName>
    <definedName name="Cost_3BR" localSheetId="4">#REF!</definedName>
    <definedName name="Cost_3BR">#REF!</definedName>
    <definedName name="Cost_4BR" localSheetId="4">#REF!</definedName>
    <definedName name="Cost_4BR">#REF!</definedName>
    <definedName name="Cost_4BRLarge" localSheetId="4">'[1]Com Ctr Oper'!#REF!</definedName>
    <definedName name="Cost_4BRLarge">'[1]Com Ctr Oper'!#REF!</definedName>
    <definedName name="Cost_5BR" localSheetId="4">#REF!</definedName>
    <definedName name="Cost_5BR">#REF!</definedName>
    <definedName name="Cost_DU_Renter1" localSheetId="4">'[1]Com Ctr Oper'!#REF!</definedName>
    <definedName name="Cost_DU_Renter1">'[1]Com Ctr Oper'!#REF!</definedName>
    <definedName name="Cost_DU_Renter2" localSheetId="4">'[1]Com Ctr Oper'!#REF!</definedName>
    <definedName name="Cost_DU_Renter2">'[1]Com Ctr Oper'!#REF!</definedName>
    <definedName name="Cost_Unit" localSheetId="4">'[1]Com Ctr Oper'!#REF!</definedName>
    <definedName name="Cost_Unit">'[1]Com Ctr Oper'!#REF!</definedName>
    <definedName name="Cost_Unit_Renter3" localSheetId="4">'[1]Com Ctr Oper'!#REF!</definedName>
    <definedName name="Cost_Unit_Renter3">'[1]Com Ctr Oper'!#REF!</definedName>
    <definedName name="Costs_10du" localSheetId="4">'[1]Com Ctr Oper'!#REF!</definedName>
    <definedName name="Costs_10du">'[1]Com Ctr Oper'!#REF!</definedName>
    <definedName name="Costs_20du">'[1]Com Ctr Oper'!#REF!</definedName>
    <definedName name="Costs_2BR">'[5]DevCosts R1'!#REF!</definedName>
    <definedName name="Costs_3BR">'[5]DevCosts R1'!#REF!</definedName>
    <definedName name="Costs_4BR">'[5]DevCosts R1'!#REF!</definedName>
    <definedName name="current_occupancy">Sheet2!$D$3:$D$5</definedName>
    <definedName name="DCR" localSheetId="17">' Cash Flow'!#REF!</definedName>
    <definedName name="Debt_Service" localSheetId="17">' Cash Flow'!#REF!</definedName>
    <definedName name="Debt_Service" localSheetId="4">#REF!</definedName>
    <definedName name="Debt_Service">#REF!</definedName>
    <definedName name="Density_1" localSheetId="4">#REF!</definedName>
    <definedName name="Density_1">#REF!</definedName>
    <definedName name="Density_2" localSheetId="4">#REF!</definedName>
    <definedName name="Density_2">#REF!</definedName>
    <definedName name="Density_Prot1_1" localSheetId="4">'[6]Gap O1'!#REF!</definedName>
    <definedName name="Density_Prot1_1">'[6]Gap O1'!#REF!</definedName>
    <definedName name="Density_Prot1_2" localSheetId="4">'[6]Gap O1'!#REF!</definedName>
    <definedName name="Density_Prot1_2">'[6]Gap O1'!#REF!</definedName>
    <definedName name="Density_Prot2_1" localSheetId="4">'[6]Gap O1'!#REF!</definedName>
    <definedName name="Density_Prot2_1">'[6]Gap O1'!#REF!</definedName>
    <definedName name="Density_Prot2_2" localSheetId="4">'[6]Gap O1'!#REF!</definedName>
    <definedName name="Density_Prot2_2">'[6]Gap O1'!#REF!</definedName>
    <definedName name="Density_Prot3_1">'[6]Gap O1'!#REF!</definedName>
    <definedName name="Density_Prot3_2">'[6]Gap O1'!#REF!</definedName>
    <definedName name="Dev_Costs_94">'[1]Com Ctr Oper'!#REF!</definedName>
    <definedName name="DevCosts_2BR_15DU" localSheetId="17">#REF!</definedName>
    <definedName name="DevCosts_2BR_15DU" localSheetId="4">#REF!</definedName>
    <definedName name="DevCosts_2BR_15DU">#REF!</definedName>
    <definedName name="DevCosts_2BR_24DU" localSheetId="17">#REF!</definedName>
    <definedName name="DevCosts_2BR_24DU" localSheetId="4">#REF!</definedName>
    <definedName name="DevCosts_2BR_24DU">#REF!</definedName>
    <definedName name="DevCosts_3BR_15du" localSheetId="17">#REF!</definedName>
    <definedName name="DevCosts_3BR_15du" localSheetId="4">#REF!</definedName>
    <definedName name="DevCosts_3BR_15du">#REF!</definedName>
    <definedName name="DevCosts_3BR_24DU" localSheetId="17">#REF!</definedName>
    <definedName name="DevCosts_3BR_24DU" localSheetId="4">#REF!</definedName>
    <definedName name="DevCosts_3BR_24DU">#REF!</definedName>
    <definedName name="DevCosts_4BR_15du" localSheetId="17">#REF!</definedName>
    <definedName name="DevCosts_4BR_15du" localSheetId="4">#REF!</definedName>
    <definedName name="DevCosts_4BR_15du">#REF!</definedName>
    <definedName name="DevCosts_4BR_24DU" localSheetId="17">#REF!</definedName>
    <definedName name="DevCosts_4BR_24DU" localSheetId="4">#REF!</definedName>
    <definedName name="DevCosts_4BR_24DU">#REF!</definedName>
    <definedName name="Direct_SF_Owner1" localSheetId="4">'[1]Com Ctr Oper'!#REF!</definedName>
    <definedName name="Direct_SF_Owner1">'[1]Com Ctr Oper'!#REF!</definedName>
    <definedName name="Direct_SF_Owner2" localSheetId="4">'[1]Com Ctr Oper'!#REF!</definedName>
    <definedName name="Direct_SF_Owner2">'[1]Com Ctr Oper'!#REF!</definedName>
    <definedName name="Direct_SF_Owner3" localSheetId="4">'[1]Com Ctr Oper'!#REF!</definedName>
    <definedName name="Direct_SF_Owner3">'[1]Com Ctr Oper'!#REF!</definedName>
    <definedName name="Down" localSheetId="4">#REF!</definedName>
    <definedName name="Down">#REF!</definedName>
    <definedName name="DRA_YTD" localSheetId="4">#REF!</definedName>
    <definedName name="DRA_YTD">#REF!</definedName>
    <definedName name="Effic_Ratio" localSheetId="4">'[6]DevCosts O1'!#REF!</definedName>
    <definedName name="Effic_Ratio">'[6]DevCosts O1'!#REF!</definedName>
    <definedName name="Emerg_Own_Loans" localSheetId="4">'[4]Prog Costs'!#REF!</definedName>
    <definedName name="Emerg_Own_Loans">'[4]Prog Costs'!#REF!</definedName>
    <definedName name="Emerg_Rent_Loans" localSheetId="4">'[4]Prog Costs'!#REF!</definedName>
    <definedName name="Emerg_Rent_Loans">'[4]Prog Costs'!#REF!</definedName>
    <definedName name="Fees_1" localSheetId="4">#REF!</definedName>
    <definedName name="Fees_1">#REF!</definedName>
    <definedName name="Fees_2" localSheetId="4">#REF!</definedName>
    <definedName name="Fees_2">#REF!</definedName>
    <definedName name="Fees_3" localSheetId="4">#REF!</definedName>
    <definedName name="Fees_3">#REF!</definedName>
    <definedName name="Fees_3R" localSheetId="4">#REF!</definedName>
    <definedName name="Fees_3R">#REF!</definedName>
    <definedName name="Fees_NS_Owner1" localSheetId="4">'[1]Com Ctr Oper'!#REF!</definedName>
    <definedName name="Fees_NS_Owner1">'[1]Com Ctr Oper'!#REF!</definedName>
    <definedName name="Fees_NS_Owner2" localSheetId="4">'[1]Com Ctr Oper'!#REF!</definedName>
    <definedName name="Fees_NS_Owner2">'[1]Com Ctr Oper'!#REF!</definedName>
    <definedName name="Fees_NS_Owner3" localSheetId="4">'[1]Com Ctr Oper'!#REF!</definedName>
    <definedName name="Fees_NS_Owner3">'[1]Com Ctr Oper'!#REF!</definedName>
    <definedName name="Fees_NS_Renter1" localSheetId="4">'[1]Com Ctr Oper'!#REF!</definedName>
    <definedName name="Fees_NS_Renter1">'[1]Com Ctr Oper'!#REF!</definedName>
    <definedName name="Fees_NS_Renter2">'[1]Com Ctr Oper'!#REF!</definedName>
    <definedName name="Fees_NS_Renter3">'[1]Com Ctr Oper'!#REF!</definedName>
    <definedName name="Fees_Owner1">'[1]Com Ctr Oper'!#REF!</definedName>
    <definedName name="Fees_Owner2">'[1]Com Ctr Oper'!#REF!</definedName>
    <definedName name="Fees_Owner3">'[1]Com Ctr Oper'!#REF!</definedName>
    <definedName name="Fees_Renter1">'[1]Com Ctr Oper'!#REF!</definedName>
    <definedName name="Fees_Renter2">'[1]Com Ctr Oper'!#REF!</definedName>
    <definedName name="Fees_Renter3">'[1]Com Ctr Oper'!#REF!</definedName>
    <definedName name="FormDate">Location!$D$8</definedName>
    <definedName name="FY_95_96">[1]Budget!#REF!</definedName>
    <definedName name="Gateway">'[2]HsgFund Sep'!#REF!</definedName>
    <definedName name="Gateway_Subsidy" localSheetId="4">#REF!</definedName>
    <definedName name="Gateway_Subsidy">#REF!</definedName>
    <definedName name="Gross_Potential_Rent">Rents!$G$62</definedName>
    <definedName name="Hard_1" localSheetId="4">#REF!</definedName>
    <definedName name="Hard_1">#REF!</definedName>
    <definedName name="Hard_2" localSheetId="4">#REF!</definedName>
    <definedName name="Hard_2">#REF!</definedName>
    <definedName name="Hard_3" localSheetId="4">#REF!</definedName>
    <definedName name="Hard_3">#REF!</definedName>
    <definedName name="Hard_Fees_1" localSheetId="4">#REF!</definedName>
    <definedName name="Hard_Fees_1">#REF!</definedName>
    <definedName name="Hard_Fees_2" localSheetId="4">#REF!</definedName>
    <definedName name="Hard_Fees_2">#REF!</definedName>
    <definedName name="Hard_Fees_3" localSheetId="4">#REF!</definedName>
    <definedName name="Hard_Fees_3">#REF!</definedName>
    <definedName name="HARD_O1" localSheetId="4">'[1]Com Ctr Oper'!#REF!</definedName>
    <definedName name="HARD_O1">'[1]Com Ctr Oper'!#REF!</definedName>
    <definedName name="HARD_O2" localSheetId="4">'[1]Com Ctr Oper'!#REF!</definedName>
    <definedName name="HARD_O2">'[1]Com Ctr Oper'!#REF!</definedName>
    <definedName name="HARD_O3" localSheetId="4">'[1]Com Ctr Oper'!#REF!</definedName>
    <definedName name="HARD_O3">'[1]Com Ctr Oper'!#REF!</definedName>
    <definedName name="Hard_SF_O1" localSheetId="4">'[1]Com Ctr Oper'!#REF!</definedName>
    <definedName name="Hard_SF_O1">'[1]Com Ctr Oper'!#REF!</definedName>
    <definedName name="Hard_SF_O2">'[1]Com Ctr Oper'!#REF!</definedName>
    <definedName name="Hard_SF_O3">'[1]Com Ctr Oper'!#REF!</definedName>
    <definedName name="hdd_annual">Location!$D$26</definedName>
    <definedName name="heatpump_structure">'Building Characteristics'!$R$110:$S$114</definedName>
    <definedName name="Homebuyer_96">[1]Budget!#REF!</definedName>
    <definedName name="HousingType1">'[6]Gap O1'!#REF!</definedName>
    <definedName name="HousingType2">'[6]Gap O1'!#REF!</definedName>
    <definedName name="HousingType3">'[6]Gap O1'!#REF!</definedName>
    <definedName name="Hsg_Fund_Bal_2001" localSheetId="4">#REF!</definedName>
    <definedName name="Hsg_Fund_Bal_2001">#REF!</definedName>
    <definedName name="Hsg_Rev_NoInt">'[2]HsgFund Sep'!#REF!</definedName>
    <definedName name="Income" localSheetId="1">'Annual HCD Updates'!$D$49</definedName>
    <definedName name="Income">'Max Rents &amp; Pmt Stds'!$D$36</definedName>
    <definedName name="Income_00" localSheetId="4">#REF!</definedName>
    <definedName name="Income_00">#REF!</definedName>
    <definedName name="Income_1" localSheetId="4">#REF!</definedName>
    <definedName name="Income_1">#REF!</definedName>
    <definedName name="Income_100" localSheetId="4">#REF!</definedName>
    <definedName name="Income_100">#REF!</definedName>
    <definedName name="Income_110" localSheetId="4">#REF!</definedName>
    <definedName name="Income_110">#REF!</definedName>
    <definedName name="Income_120" localSheetId="4">#REF!</definedName>
    <definedName name="Income_120">#REF!</definedName>
    <definedName name="Income_2" localSheetId="4">#REF!</definedName>
    <definedName name="Income_2">#REF!</definedName>
    <definedName name="Income_3" localSheetId="4">'[5]Gap Calcs'!#REF!</definedName>
    <definedName name="Income_3">'[5]Gap Calcs'!#REF!</definedName>
    <definedName name="Income_4" localSheetId="4">#REF!</definedName>
    <definedName name="Income_4">#REF!</definedName>
    <definedName name="Income_45" localSheetId="17">#REF!</definedName>
    <definedName name="Income_45" localSheetId="4">#REF!</definedName>
    <definedName name="Income_45">#REF!</definedName>
    <definedName name="Income_5" localSheetId="4">#REF!</definedName>
    <definedName name="Income_5">#REF!</definedName>
    <definedName name="Income_50" localSheetId="4">#REF!</definedName>
    <definedName name="Income_50">#REF!</definedName>
    <definedName name="Income_6" localSheetId="4">#REF!</definedName>
    <definedName name="Income_6">#REF!</definedName>
    <definedName name="Income_60" localSheetId="17">#REF!</definedName>
    <definedName name="Income_60" localSheetId="4">#REF!</definedName>
    <definedName name="Income_60">#REF!</definedName>
    <definedName name="Income_70" localSheetId="17">#REF!</definedName>
    <definedName name="Income_70" localSheetId="4">#REF!</definedName>
    <definedName name="Income_70">#REF!</definedName>
    <definedName name="Income_75" localSheetId="4">'[7]Aff Mortg Low'!#REF!</definedName>
    <definedName name="Income_75">'[7]Aff Mortg Low'!#REF!</definedName>
    <definedName name="Income_80" localSheetId="17">#REF!</definedName>
    <definedName name="Income_80" localSheetId="4">#REF!</definedName>
    <definedName name="Income_80">#REF!</definedName>
    <definedName name="Income_85" localSheetId="4">#REF!</definedName>
    <definedName name="Income_85">#REF!</definedName>
    <definedName name="Income_90" localSheetId="17">#REF!</definedName>
    <definedName name="Income_90" localSheetId="4">#REF!</definedName>
    <definedName name="Income_90">#REF!</definedName>
    <definedName name="Income_95" localSheetId="4">#REF!</definedName>
    <definedName name="Income_95">#REF!</definedName>
    <definedName name="Income_95_96" localSheetId="4">#REF!</definedName>
    <definedName name="Income_95_96">#REF!</definedName>
    <definedName name="Income_96" localSheetId="4">#REF!</definedName>
    <definedName name="Income_96">#REF!</definedName>
    <definedName name="Income_97" localSheetId="4">#REF!</definedName>
    <definedName name="Income_97">#REF!</definedName>
    <definedName name="Income_98" localSheetId="4">#REF!</definedName>
    <definedName name="Income_98">#REF!</definedName>
    <definedName name="Income_99" localSheetId="4">#REF!</definedName>
    <definedName name="Income_99">#REF!</definedName>
    <definedName name="Income_Level_110" localSheetId="4">#REF!</definedName>
    <definedName name="Income_Level_110">#REF!</definedName>
    <definedName name="Income_Level_90" localSheetId="4">#REF!</definedName>
    <definedName name="Income_Level_90">#REF!</definedName>
    <definedName name="Income_Levels" localSheetId="4">#REF!</definedName>
    <definedName name="Income_Levels">#REF!</definedName>
    <definedName name="Income_Levels_80" localSheetId="4">#REF!</definedName>
    <definedName name="Income_Levels_80">#REF!</definedName>
    <definedName name="Indirect_DU_Owner1" localSheetId="4">'[1]Com Ctr Oper'!#REF!</definedName>
    <definedName name="Indirect_DU_Owner1">'[1]Com Ctr Oper'!#REF!</definedName>
    <definedName name="Indirect_DU_Owner2" localSheetId="4">'[1]Com Ctr Oper'!#REF!</definedName>
    <definedName name="Indirect_DU_Owner2">'[1]Com Ctr Oper'!#REF!</definedName>
    <definedName name="Indirect_DU_Owner3" localSheetId="4">'[1]Com Ctr Oper'!#REF!</definedName>
    <definedName name="Indirect_DU_Owner3">'[1]Com Ctr Oper'!#REF!</definedName>
    <definedName name="Infill_Constr" localSheetId="4">[1]Budget!#REF!</definedName>
    <definedName name="Infill_Constr">[1]Budget!#REF!</definedName>
    <definedName name="Int_Rate" localSheetId="17">' Cash Flow'!#REF!</definedName>
    <definedName name="Int_Rate" localSheetId="4">#REF!</definedName>
    <definedName name="Int_Rate">#REF!</definedName>
    <definedName name="Land_Areas" localSheetId="17">'[3]Dev Program'!#REF!</definedName>
    <definedName name="Land_Owner1" localSheetId="4">'[1]Com Ctr Oper'!#REF!</definedName>
    <definedName name="Land_Owner1">'[1]Com Ctr Oper'!#REF!</definedName>
    <definedName name="Land_Owner2" localSheetId="4">'[1]Com Ctr Oper'!#REF!</definedName>
    <definedName name="Land_Owner2">'[1]Com Ctr Oper'!#REF!</definedName>
    <definedName name="Land_Owner3">'[1]Com Ctr Oper'!#REF!</definedName>
    <definedName name="Las_Casitas_Exp_96" localSheetId="4">#REF!</definedName>
    <definedName name="Las_Casitas_Exp_96">#REF!</definedName>
    <definedName name="Lots">[1]Budget!#REF!</definedName>
    <definedName name="Max_Hsg_Cost_3" localSheetId="17">#REF!</definedName>
    <definedName name="Max_Hsg_Cost_3" localSheetId="4">#REF!</definedName>
    <definedName name="Max_Hsg_Cost_3">#REF!</definedName>
    <definedName name="Max_Hsg_Cost_4" localSheetId="17">#REF!</definedName>
    <definedName name="Max_Hsg_Cost_4" localSheetId="4">#REF!</definedName>
    <definedName name="Max_Hsg_Cost_4">#REF!</definedName>
    <definedName name="Med_Income_3" localSheetId="4">'[5]Gap Calcs'!#REF!</definedName>
    <definedName name="Med_Income_3">'[5]Gap Calcs'!#REF!</definedName>
    <definedName name="Med_Income_4" localSheetId="4">#REF!</definedName>
    <definedName name="Med_Income_4">#REF!</definedName>
    <definedName name="Model_YTD" localSheetId="4">#REF!</definedName>
    <definedName name="Model_YTD">#REF!</definedName>
    <definedName name="monthly_min_temp">Location!$D$40</definedName>
    <definedName name="Monthly_Property_Insurance" localSheetId="4">#REF!</definedName>
    <definedName name="Monthly_Property_Insurance">#REF!</definedName>
    <definedName name="Mort_Unit1_Level1" localSheetId="17">#REF!</definedName>
    <definedName name="Mort_Unit1_Level1" localSheetId="4">#REF!</definedName>
    <definedName name="Mort_Unit1_Level1">#REF!</definedName>
    <definedName name="Mort_Unit1_Level2" localSheetId="17">#REF!</definedName>
    <definedName name="Mort_Unit1_Level2" localSheetId="4">#REF!</definedName>
    <definedName name="Mort_Unit1_Level2">#REF!</definedName>
    <definedName name="Mort_Unit1_Level3" localSheetId="4">#REF!</definedName>
    <definedName name="Mort_Unit1_Level3">#REF!</definedName>
    <definedName name="Mort_Unit1_Level4" localSheetId="4">#REF!</definedName>
    <definedName name="Mort_Unit1_Level4">#REF!</definedName>
    <definedName name="Mort_Unit2_Level1" localSheetId="17">#REF!</definedName>
    <definedName name="Mort_Unit2_Level1" localSheetId="4">#REF!</definedName>
    <definedName name="Mort_Unit2_Level1">#REF!</definedName>
    <definedName name="Mort_Unit2_Level2" localSheetId="17">#REF!</definedName>
    <definedName name="Mort_Unit2_Level2" localSheetId="4">#REF!</definedName>
    <definedName name="Mort_Unit2_Level2">#REF!</definedName>
    <definedName name="Mort_Unit2_Level3" localSheetId="17">#REF!</definedName>
    <definedName name="Mort_Unit2_Level3" localSheetId="4">#REF!</definedName>
    <definedName name="Mort_Unit2_Level3">#REF!</definedName>
    <definedName name="Mort_Unit2_Level4" localSheetId="17">#REF!</definedName>
    <definedName name="Mort_Unit2_Level4" localSheetId="4">#REF!</definedName>
    <definedName name="Mort_Unit2_Level4">#REF!</definedName>
    <definedName name="Mort_Unit3_Level1" localSheetId="17">#REF!</definedName>
    <definedName name="Mort_Unit3_Level1" localSheetId="4">#REF!</definedName>
    <definedName name="Mort_Unit3_Level1">#REF!</definedName>
    <definedName name="Mort_Unit3_Level2" localSheetId="17">#REF!</definedName>
    <definedName name="Mort_Unit3_Level2" localSheetId="4">#REF!</definedName>
    <definedName name="Mort_Unit3_Level2">#REF!</definedName>
    <definedName name="Mort_Unit3_Level3" localSheetId="17">#REF!</definedName>
    <definedName name="Mort_Unit3_Level3" localSheetId="4">#REF!</definedName>
    <definedName name="Mort_Unit3_Level3">#REF!</definedName>
    <definedName name="Mort_Unit3_Level4" localSheetId="17">#REF!</definedName>
    <definedName name="Mort_Unit3_Level4" localSheetId="4">#REF!</definedName>
    <definedName name="Mort_Unit3_Level4">#REF!</definedName>
    <definedName name="Net_Res_SF_1" localSheetId="17">'[3]Dev Program'!#REF!</definedName>
    <definedName name="Net_Res_SF_2" localSheetId="17">'[3]Dev Program'!#REF!</definedName>
    <definedName name="Net_Res_SF_3" localSheetId="17">'[3]Dev Program'!#REF!</definedName>
    <definedName name="Net_Res_SF_4" localSheetId="17">'[3]Dev Program'!#REF!</definedName>
    <definedName name="Net_Res_SF_5" localSheetId="17">'[3]Dev Program'!#REF!</definedName>
    <definedName name="No_Units" localSheetId="17">#REF!</definedName>
    <definedName name="No_Units" localSheetId="4">#REF!</definedName>
    <definedName name="No_Units">#REF!</definedName>
    <definedName name="NOI" localSheetId="1">'Annual HCD Updates'!$W$166</definedName>
    <definedName name="NOI">'Max Rents &amp; Pmt Stds'!$W$153</definedName>
    <definedName name="Non_Hsg_Fund_Bal_2001" localSheetId="4">#REF!</definedName>
    <definedName name="Non_Hsg_Fund_Bal_2001">#REF!</definedName>
    <definedName name="Oper_Exp" localSheetId="1">'Annual HCD Updates'!$W$162</definedName>
    <definedName name="Oper_Exp">'Max Rents &amp; Pmt Stds'!$W$149</definedName>
    <definedName name="Oper_Reserve" localSheetId="17">#REF!</definedName>
    <definedName name="Oper_Reserve" localSheetId="4">#REF!</definedName>
    <definedName name="Oper_Reserve">#REF!</definedName>
    <definedName name="Operating_Expenses" localSheetId="1">'Annual HCD Updates'!$W$162</definedName>
    <definedName name="Operating_Expenses">'Max Rents &amp; Pmt Stds'!$W$149</definedName>
    <definedName name="Other_SF_1" localSheetId="17">'[3]Dev Program'!#REF!</definedName>
    <definedName name="Other_SF_2" localSheetId="17">'[3]Dev Program'!#REF!</definedName>
    <definedName name="Other_SF_3" localSheetId="17">'[3]Dev Program'!#REF!</definedName>
    <definedName name="Other_SF_4" localSheetId="17">'[3]Dev Program'!#REF!</definedName>
    <definedName name="Other_SF_5" localSheetId="17">'[3]Dev Program'!#REF!</definedName>
    <definedName name="Over_YTD" localSheetId="4">#REF!</definedName>
    <definedName name="Over_YTD">#REF!</definedName>
    <definedName name="Overhead" localSheetId="4">[1]Budget!#REF!</definedName>
    <definedName name="Overhead">[1]Budget!#REF!</definedName>
    <definedName name="Owner_Acreages" localSheetId="17">'[3]Dev Program'!#REF!</definedName>
    <definedName name="Owner_BRMix" localSheetId="17">'[3]Dev Program'!#REF!</definedName>
    <definedName name="Owner1_BRMix" localSheetId="17">'[3]Dev Program'!#REF!</definedName>
    <definedName name="Owner1_SF" localSheetId="17">'[3]Dev Program'!#REF!</definedName>
    <definedName name="Owner1_Units" localSheetId="17">'[3]Dev Program'!#REF!</definedName>
    <definedName name="Owner2_BRMix" localSheetId="17">'[3]Dev Program'!#REF!</definedName>
    <definedName name="Owner2_SF" localSheetId="17">'[3]Dev Program'!#REF!</definedName>
    <definedName name="Owner2_SF_4BR" localSheetId="17">'[3]Dev Program'!#REF!</definedName>
    <definedName name="Owner2_Units" localSheetId="17">'[3]Dev Program'!#REF!</definedName>
    <definedName name="Owner3_BRMix" localSheetId="17">'[3]Dev Program'!#REF!</definedName>
    <definedName name="Owner3_SF" localSheetId="17">'[3]Dev Program'!#REF!</definedName>
    <definedName name="Owner3_Units" localSheetId="17">'[3]Dev Program'!#REF!</definedName>
    <definedName name="Percent_3_BR" localSheetId="4">#REF!</definedName>
    <definedName name="Percent_3_BR">#REF!</definedName>
    <definedName name="Percent_4_BR" localSheetId="4">#REF!</definedName>
    <definedName name="Percent_4_BR">#REF!</definedName>
    <definedName name="Percent_4_Plus_BR" localSheetId="4">#REF!</definedName>
    <definedName name="Percent_4_Plus_BR">#REF!</definedName>
    <definedName name="Percent_Affordable" localSheetId="17">#REF!</definedName>
    <definedName name="Perm_Loan" localSheetId="17">' Cash Flow'!#REF!</definedName>
    <definedName name="Perm_Loan" localSheetId="7">'Source and Uses'!$K$86</definedName>
    <definedName name="Perm_Loan" localSheetId="4">Summary!$J$86</definedName>
    <definedName name="Perm_Loan">'Dev Costs'!#REF!</definedName>
    <definedName name="Perm_Loan_4" localSheetId="17">' Cash Flow'!#REF!</definedName>
    <definedName name="Perm_Loan_TE" localSheetId="17">' Cash Flow'!#REF!</definedName>
    <definedName name="Perm_Mortg" localSheetId="17">#REF!</definedName>
    <definedName name="pha_average_hdd_cdd">[8]PHA_Average_HDD_CDD!$A$2:$AD$33118</definedName>
    <definedName name="Predev_New" localSheetId="4">[1]Budget!#REF!</definedName>
    <definedName name="Predev_New">[1]Budget!#REF!</definedName>
    <definedName name="_xlnm.Print_Area" localSheetId="17">' Cash Flow'!$A$2:$AI$130</definedName>
    <definedName name="_xlnm.Print_Area" localSheetId="2">' Instructions'!$A$1:$I$26</definedName>
    <definedName name="_xlnm.Print_Area" localSheetId="3">' Thresholds'!$A$1:$H$26</definedName>
    <definedName name="_xlnm.Print_Area" localSheetId="19">Amort1!$H$1:$O$76</definedName>
    <definedName name="_xlnm.Print_Area" localSheetId="20">Amort2!$H$1:$N$78</definedName>
    <definedName name="_xlnm.Print_Area" localSheetId="21">Amort3!$H$1:$N$78</definedName>
    <definedName name="_xlnm.Print_Area" localSheetId="1">'Annual HCD Updates'!$A$2:$PI$41</definedName>
    <definedName name="_xlnm.Print_Area" localSheetId="9">'Dev Costs'!$B$2:$T$121</definedName>
    <definedName name="_xlnm.Print_Area" localSheetId="6">'Existing Buildings'!$A$2:$R$40</definedName>
    <definedName name="_xlnm.Print_Area" localSheetId="14">'HUD-52667 Form'!$A$4:$H$52</definedName>
    <definedName name="_xlnm.Print_Area" localSheetId="15">'Max Rents &amp; Pmt Stds'!$A$2:$P$29</definedName>
    <definedName name="_xlnm.Print_Area" localSheetId="5">'Project Info'!$A$2:$T$53</definedName>
    <definedName name="_xlnm.Print_Area" localSheetId="8">Rents!$A$3:$U$67</definedName>
    <definedName name="_xlnm.Print_Area" localSheetId="7">'Source and Uses'!$A$1:$M$65</definedName>
    <definedName name="_xlnm.Print_Area" localSheetId="10">'Stabilized Ops &amp; Debt'!$A$1:$N$96</definedName>
    <definedName name="_xlnm.Print_Area" localSheetId="4">Summary!$A$2:$J$70</definedName>
    <definedName name="_xlnm.Print_Area" localSheetId="16">'TC Analysis'!$A$1:$K$54</definedName>
    <definedName name="_xlnm.Print_Area">#REF!</definedName>
    <definedName name="Print_Area_1" localSheetId="4">#REF!</definedName>
    <definedName name="Print_Area_1">#REF!</definedName>
    <definedName name="Print_Area_2" localSheetId="4">#REF!</definedName>
    <definedName name="Print_Area_2">#REF!</definedName>
    <definedName name="Print_Area_3" localSheetId="17">#REF!</definedName>
    <definedName name="Print_Area_3" localSheetId="4">#REF!</definedName>
    <definedName name="Print_Area_3">#REF!</definedName>
    <definedName name="Print_Area_4" localSheetId="17">#REF!</definedName>
    <definedName name="Print_Area_4" localSheetId="4">#REF!</definedName>
    <definedName name="Print_Area_4">#REF!</definedName>
    <definedName name="Print_Area_5" localSheetId="17">#REF!</definedName>
    <definedName name="Print_Area_5" localSheetId="4">#REF!</definedName>
    <definedName name="Print_Area_5">#REF!</definedName>
    <definedName name="Print_Area_6" localSheetId="17">#REF!</definedName>
    <definedName name="Print_Area_6" localSheetId="4">#REF!</definedName>
    <definedName name="Print_Area_6">#REF!</definedName>
    <definedName name="Print_Area_All" localSheetId="17">' Cash Flow'!$A$1:$H$69</definedName>
    <definedName name="Print_Area_All" localSheetId="1">'Annual HCD Updates'!$A$1:$F$167</definedName>
    <definedName name="Print_Area_All" localSheetId="15">'Max Rents &amp; Pmt Stds'!$A$1:$F$154</definedName>
    <definedName name="Print_Area_All" localSheetId="7">'Source and Uses'!$A$2:$K$48</definedName>
    <definedName name="Print_Area_All" localSheetId="4">Summary!$A$5:$J$46</definedName>
    <definedName name="Print_Area_All">'Dev Costs'!$B$2:$Q$183</definedName>
    <definedName name="Print_Area_All_1" localSheetId="4">#REF!</definedName>
    <definedName name="Print_Area_All_1">#REF!</definedName>
    <definedName name="Print_Area_Assumpt" localSheetId="4">#REF!</definedName>
    <definedName name="Print_Area_Assumpt">#REF!</definedName>
    <definedName name="Print_Area_Intro" localSheetId="4">#REF!</definedName>
    <definedName name="Print_Area_Intro">#REF!</definedName>
    <definedName name="Print_Area_Tables" localSheetId="4">#REF!</definedName>
    <definedName name="Print_Area_Tables">#REF!</definedName>
    <definedName name="_xlnm.Print_Titles" localSheetId="17">' Cash Flow'!$A:$E</definedName>
    <definedName name="_xlnm.Print_Titles" localSheetId="9">'Dev Costs'!$2:$5</definedName>
    <definedName name="Pro_Forma" localSheetId="1">'Annual HCD Updates'!$F$156:$F$167</definedName>
    <definedName name="Pro_Forma">'Max Rents &amp; Pmt Stds'!$F$143:$F$154</definedName>
    <definedName name="Project_Name" localSheetId="17">#REF!</definedName>
    <definedName name="Prop_Insur" localSheetId="4">#REF!</definedName>
    <definedName name="Prop_Insur">#REF!</definedName>
    <definedName name="Prop_Insur_3" localSheetId="4">#REF!</definedName>
    <definedName name="Prop_Insur_3">#REF!</definedName>
    <definedName name="Prop_Insur_4" localSheetId="4">#REF!</definedName>
    <definedName name="Prop_Insur_4">#REF!</definedName>
    <definedName name="Prop_Tax_Rate" localSheetId="4">#REF!</definedName>
    <definedName name="Prop_Tax_Rate">#REF!</definedName>
    <definedName name="Prototype_1" localSheetId="4">#REF!</definedName>
    <definedName name="Prototype_1">#REF!</definedName>
    <definedName name="Prototype_2" localSheetId="4">#REF!</definedName>
    <definedName name="Prototype_2">#REF!</definedName>
    <definedName name="Prototype_3" localSheetId="4">#REF!</definedName>
    <definedName name="Prototype_3">#REF!</definedName>
    <definedName name="Prototype_5" localSheetId="4">'[5]Gap Calcs'!#REF!</definedName>
    <definedName name="Prototype_5">'[5]Gap Calcs'!#REF!</definedName>
    <definedName name="PT_Rate" localSheetId="4">#REF!</definedName>
    <definedName name="PT_Rate">#REF!</definedName>
    <definedName name="Rental_Rehab_Loans" localSheetId="4">'[4]Prog Costs'!#REF!</definedName>
    <definedName name="Rental_Rehab_Loans">'[4]Prog Costs'!#REF!</definedName>
    <definedName name="Renter_Acreages" localSheetId="17">'[3]Dev Program'!#REF!</definedName>
    <definedName name="Renter_BRMix" localSheetId="17">'[3]Dev Program'!#REF!</definedName>
    <definedName name="Renter1_BRMix" localSheetId="17">'[3]Dev Program'!#REF!</definedName>
    <definedName name="Renter1_SF" localSheetId="17">'[3]Dev Program'!#REF!</definedName>
    <definedName name="Renter1_Units" localSheetId="17">'[3]Dev Program'!#REF!</definedName>
    <definedName name="Renter2_BRMix" localSheetId="17">'[3]Dev Program'!#REF!</definedName>
    <definedName name="Renter2_SF" localSheetId="17">'[3]Dev Program'!#REF!</definedName>
    <definedName name="Renter2_Units" localSheetId="17">'[3]Dev Program'!#REF!</definedName>
    <definedName name="Renter3_BRMix" localSheetId="17">'[3]Dev Program'!#REF!</definedName>
    <definedName name="Renter3_SF" localSheetId="17">'[3]Dev Program'!#REF!</definedName>
    <definedName name="Renter3_Units" localSheetId="17">'[3]Dev Program'!#REF!</definedName>
    <definedName name="Replace_Reserve" localSheetId="17">#REF!</definedName>
    <definedName name="Replace_Reserve" localSheetId="4">#REF!</definedName>
    <definedName name="Replace_Reserve">#REF!</definedName>
    <definedName name="Res_SF" localSheetId="17">#REF!</definedName>
    <definedName name="Res_SF" localSheetId="4">#REF!</definedName>
    <definedName name="Res_SF">#REF!</definedName>
    <definedName name="Scenario" localSheetId="1">'Annual HCD Updates'!$C$47</definedName>
    <definedName name="Scenario">'Max Rents &amp; Pmt Stds'!$C$34</definedName>
    <definedName name="ScheduleType">'Building Characteristics'!$T$123:$T$124</definedName>
    <definedName name="School_Fee_SF" localSheetId="4">'[1]Com Ctr Oper'!#REF!</definedName>
    <definedName name="School_Fee_SF">'[1]Com Ctr Oper'!#REF!</definedName>
    <definedName name="SF" localSheetId="17">#REF!</definedName>
    <definedName name="SF" localSheetId="4">#REF!</definedName>
    <definedName name="SF">#REF!</definedName>
    <definedName name="SF_All" localSheetId="17">'[3]Dev Program'!#REF!</definedName>
    <definedName name="SF_GAR" localSheetId="4">#REF!</definedName>
    <definedName name="SF_GAR">#REF!</definedName>
    <definedName name="SF_PLAN_1" localSheetId="4">#REF!</definedName>
    <definedName name="SF_PLAN_1">#REF!</definedName>
    <definedName name="SF_PLAN_2" localSheetId="4">#REF!</definedName>
    <definedName name="SF_PLAN_2">#REF!</definedName>
    <definedName name="SF_PLAN_3" localSheetId="4">#REF!</definedName>
    <definedName name="SF_PLAN_3">#REF!</definedName>
    <definedName name="Soft_Cost_Percent" localSheetId="4">'[1]Com Ctr Oper'!#REF!</definedName>
    <definedName name="Soft_Cost_Percent">'[1]Com Ctr Oper'!#REF!</definedName>
    <definedName name="SOFT_O2" localSheetId="4">'[1]Com Ctr Oper'!#REF!</definedName>
    <definedName name="SOFT_O2">'[1]Com Ctr Oper'!#REF!</definedName>
    <definedName name="Soft_O3" localSheetId="4">'[1]Com Ctr Oper'!#REF!</definedName>
    <definedName name="Soft_O3">'[1]Com Ctr Oper'!#REF!</definedName>
    <definedName name="source_ac">'Building Characteristics'!$D$80:$D$81</definedName>
    <definedName name="source_cooking">'Building Characteristics'!$C$80:$C$83</definedName>
    <definedName name="source_heating">'Building Characteristics'!$B$80:$B$85</definedName>
    <definedName name="source_other">'Building Characteristics'!$E$80:$E$81</definedName>
    <definedName name="source_water">'Building Characteristics'!$G$80:$G$84</definedName>
    <definedName name="state">Location!$D$6</definedName>
    <definedName name="state_lookup">'[8]PHA state average allowances'!$A$1:$J$4940</definedName>
    <definedName name="state_structure_row">'[8]PHA state average allowances'!$B$5407:$B$5483</definedName>
    <definedName name="state_structure_table">'[8]PHA state average allowances'!$B$5407:$J$5501</definedName>
    <definedName name="structure">'Building Characteristics'!$H$4</definedName>
    <definedName name="Subsidy_Tax" localSheetId="17">#REF!</definedName>
    <definedName name="Subsidy_TE" localSheetId="17">#REF!</definedName>
    <definedName name="subsidy_type">Sheet2!$I$3:$I$9</definedName>
    <definedName name="TAG_YTD" localSheetId="4">#REF!</definedName>
    <definedName name="TAG_YTD">#REF!</definedName>
    <definedName name="Tax_Credit_Basis" localSheetId="17">' Cash Flow'!$H$36</definedName>
    <definedName name="Tax_Credit_Basis">'Dev Costs'!$Q$171</definedName>
    <definedName name="Tax_Credit_Equity" localSheetId="17">' Cash Flow'!#REF!</definedName>
    <definedName name="Tax_Credit_Equity" localSheetId="7">'Source and Uses'!$K$82</definedName>
    <definedName name="Tax_Credit_Equity" localSheetId="4">Summary!$J$82</definedName>
    <definedName name="Tax_Credit_Equity">'Dev Costs'!#REF!</definedName>
    <definedName name="Tax_Credit_equity_4" localSheetId="17">' Cash Flow'!#REF!</definedName>
    <definedName name="Tax_Credit_Equity_TE" localSheetId="17">' Cash Flow'!#REF!</definedName>
    <definedName name="Term" localSheetId="17">' Cash Flow'!#REF!</definedName>
    <definedName name="Term" localSheetId="4">#REF!</definedName>
    <definedName name="Term">#REF!</definedName>
    <definedName name="Tot_Dev_Costs" localSheetId="17">' Cash Flow'!#REF!</definedName>
    <definedName name="Tot_Dev_Costs">'Dev Costs'!$H$171</definedName>
    <definedName name="Total_Cost_SF_O1" localSheetId="4">'[1]Com Ctr Oper'!#REF!</definedName>
    <definedName name="Total_Cost_SF_O1">'[1]Com Ctr Oper'!#REF!</definedName>
    <definedName name="Total_Cost_SF_O2" localSheetId="4">'[1]Com Ctr Oper'!#REF!</definedName>
    <definedName name="Total_Cost_SF_O2">'[1]Com Ctr Oper'!#REF!</definedName>
    <definedName name="Total_Cost_SF_O3" localSheetId="4">'[1]Com Ctr Oper'!#REF!</definedName>
    <definedName name="Total_Cost_SF_O3">'[1]Com Ctr Oper'!#REF!</definedName>
    <definedName name="Total_Costs" localSheetId="4">'[1]Com Ctr Oper'!#REF!</definedName>
    <definedName name="Total_Costs">'[1]Com Ctr Oper'!#REF!</definedName>
    <definedName name="Total_Dev_Cost" localSheetId="17">#REF!</definedName>
    <definedName name="Total_Dev_Costs">'[1]Com Ctr Oper'!#REF!</definedName>
    <definedName name="Total_Land_Owner1">'[1]Com Ctr Oper'!#REF!</definedName>
    <definedName name="Total_Land_Owner2">'[1]Com Ctr Oper'!#REF!</definedName>
    <definedName name="Total_Land_Owner3">'[1]Com Ctr Oper'!#REF!</definedName>
    <definedName name="Total_Mortg_Proc_98" localSheetId="17">#REF!</definedName>
    <definedName name="Total_Mortg_Proc_98" localSheetId="4">#REF!</definedName>
    <definedName name="Total_Mortg_Proc_98">#REF!</definedName>
    <definedName name="Tustin_Subs_Unit" localSheetId="4">'[4]Prog Costs'!#REF!</definedName>
    <definedName name="Tustin_Subs_Unit">'[4]Prog Costs'!#REF!</definedName>
    <definedName name="unit_sizes">'Building Characteristics'!$F$80:$F$85</definedName>
    <definedName name="Units" localSheetId="1">'Annual HCD Updates'!#REF!</definedName>
    <definedName name="Units">'Max Rents &amp; Pmt Stds'!$G$11</definedName>
    <definedName name="Units_1" localSheetId="17">'[3]Dev Program'!#REF!</definedName>
    <definedName name="Units_2" localSheetId="17">'[3]Dev Program'!#REF!</definedName>
    <definedName name="Units_3" localSheetId="17">'[3]Dev Program'!#REF!</definedName>
    <definedName name="Units_4" localSheetId="17">'[3]Dev Program'!#REF!</definedName>
    <definedName name="Units_5" localSheetId="17">'[3]Dev Program'!#REF!</definedName>
    <definedName name="Units_By_BR" localSheetId="17">'[3]Dev Program'!#REF!</definedName>
    <definedName name="Util_Allow_1" localSheetId="4">#REF!</definedName>
    <definedName name="Util_Allow_1">#REF!</definedName>
    <definedName name="Util_Allow_2" localSheetId="4">#REF!</definedName>
    <definedName name="Util_Allow_2">#REF!</definedName>
    <definedName name="Util_Allow_3" localSheetId="4">#REF!</definedName>
    <definedName name="Util_Allow_3">#REF!</definedName>
    <definedName name="Util_Allow_4" localSheetId="4">#REF!</definedName>
    <definedName name="Util_Allow_4">#REF!</definedName>
    <definedName name="Util_Allow_5" localSheetId="4">#REF!</definedName>
    <definedName name="Util_Allow_5">#REF!</definedName>
    <definedName name="water_cons_coef">'Building Characteristics'!$N$100</definedName>
    <definedName name="water_cons_const">'Building Characteristics'!$M$100</definedName>
    <definedName name="water_cons_states">'[8]Water Consumption Model'!$A$2:$C$55</definedName>
    <definedName name="yes_no">Sheet2!$H$3:$H$5</definedName>
    <definedName name="Z_1E06907C_2281_4617_B0F2_1AE7DC994915_.wvu.PrintArea" localSheetId="17" hidden="1">' Cash Flow'!$A$1:$AI$78</definedName>
    <definedName name="Z_1E06907C_2281_4617_B0F2_1AE7DC994915_.wvu.PrintArea" localSheetId="1" hidden="1">'Annual HCD Updates'!$A$2:$P$42</definedName>
    <definedName name="Z_1E06907C_2281_4617_B0F2_1AE7DC994915_.wvu.PrintArea" localSheetId="9" hidden="1">'Dev Costs'!$B$2:$Q$183</definedName>
    <definedName name="Z_1E06907C_2281_4617_B0F2_1AE7DC994915_.wvu.PrintArea" localSheetId="6" hidden="1">'Existing Buildings'!$A$1:$P$10</definedName>
    <definedName name="Z_1E06907C_2281_4617_B0F2_1AE7DC994915_.wvu.PrintArea" localSheetId="15" hidden="1">'Max Rents &amp; Pmt Stds'!$A$2:$P$29</definedName>
    <definedName name="Z_1E06907C_2281_4617_B0F2_1AE7DC994915_.wvu.PrintArea" localSheetId="5" hidden="1">'Project Info'!$A$1:$R$51</definedName>
    <definedName name="Z_1E06907C_2281_4617_B0F2_1AE7DC994915_.wvu.PrintArea" localSheetId="7" hidden="1">'Source and Uses'!$A$2:$O$89</definedName>
    <definedName name="Z_1E06907C_2281_4617_B0F2_1AE7DC994915_.wvu.PrintArea" localSheetId="4" hidden="1">Summary!$A$5:$J$84</definedName>
    <definedName name="Z_1E06907C_2281_4617_B0F2_1AE7DC994915_.wvu.PrintTitles" localSheetId="17" hidden="1">' Cash Flow'!$A:$D,' Cash Flow'!$1:$7</definedName>
    <definedName name="Z_1E06907C_2281_4617_B0F2_1AE7DC994915_.wvu.Rows" localSheetId="17" hidden="1">' Cash Flow'!$4:$4</definedName>
    <definedName name="Z_1E06907C_2281_4617_B0F2_1AE7DC994915_.wvu.Rows" localSheetId="1" hidden="1">'Annual HCD Updates'!$142:$142,'Annual HCD Updates'!$147:$147,'Annual HCD Updates'!$152:$152,'Annual HCD Updates'!$176:$176</definedName>
    <definedName name="Z_1E06907C_2281_4617_B0F2_1AE7DC994915_.wvu.Rows" localSheetId="9" hidden="1">'Dev Costs'!#REF!,'Dev Costs'!$164:$164</definedName>
    <definedName name="Z_1E06907C_2281_4617_B0F2_1AE7DC994915_.wvu.Rows" localSheetId="15" hidden="1">'Max Rents &amp; Pmt Stds'!$129:$129,'Max Rents &amp; Pmt Stds'!$134:$134,'Max Rents &amp; Pmt Stds'!$139:$139,'Max Rents &amp; Pmt Stds'!$163:$163</definedName>
    <definedName name="Z_1E06907C_2281_4617_B0F2_1AE7DC994915_.wvu.Rows" localSheetId="7" hidden="1">'Source and Uses'!$2:$2,'Source and Uses'!$59:$59,'Source and Uses'!#REF!,'Source and Uses'!$86:$88</definedName>
    <definedName name="Z_1E06907C_2281_4617_B0F2_1AE7DC994915_.wvu.Rows" localSheetId="4" hidden="1">Summary!$5:$5,Summary!#REF!,Summary!$59:$59,Summary!$81:$83</definedName>
    <definedName name="Z_51561219_1382_4CE8_929B_1B7C97EAD663_.wvu.PrintArea" localSheetId="17" hidden="1">' Cash Flow'!$A$1:$AI$78</definedName>
    <definedName name="Z_51561219_1382_4CE8_929B_1B7C97EAD663_.wvu.PrintArea" localSheetId="1" hidden="1">'Annual HCD Updates'!$A$2:$P$42</definedName>
    <definedName name="Z_51561219_1382_4CE8_929B_1B7C97EAD663_.wvu.PrintArea" localSheetId="9" hidden="1">'Dev Costs'!$B$2:$Q$183</definedName>
    <definedName name="Z_51561219_1382_4CE8_929B_1B7C97EAD663_.wvu.PrintArea" localSheetId="6" hidden="1">'Existing Buildings'!$A$1:$P$10</definedName>
    <definedName name="Z_51561219_1382_4CE8_929B_1B7C97EAD663_.wvu.PrintArea" localSheetId="15" hidden="1">'Max Rents &amp; Pmt Stds'!$A$2:$P$29</definedName>
    <definedName name="Z_51561219_1382_4CE8_929B_1B7C97EAD663_.wvu.PrintArea" localSheetId="5" hidden="1">'Project Info'!$A$1:$R$51</definedName>
    <definedName name="Z_51561219_1382_4CE8_929B_1B7C97EAD663_.wvu.PrintArea" localSheetId="7" hidden="1">'Source and Uses'!$A$2:$O$89</definedName>
    <definedName name="Z_51561219_1382_4CE8_929B_1B7C97EAD663_.wvu.PrintArea" localSheetId="4" hidden="1">Summary!$A$5:$J$84</definedName>
    <definedName name="Z_51561219_1382_4CE8_929B_1B7C97EAD663_.wvu.PrintTitles" localSheetId="17" hidden="1">' Cash Flow'!$A:$D,' Cash Flow'!$1:$7</definedName>
    <definedName name="Z_51561219_1382_4CE8_929B_1B7C97EAD663_.wvu.Rows" localSheetId="17" hidden="1">' Cash Flow'!$4:$4</definedName>
    <definedName name="Z_51561219_1382_4CE8_929B_1B7C97EAD663_.wvu.Rows" localSheetId="1" hidden="1">'Annual HCD Updates'!$142:$142,'Annual HCD Updates'!$147:$147,'Annual HCD Updates'!$152:$152,'Annual HCD Updates'!$176:$176</definedName>
    <definedName name="Z_51561219_1382_4CE8_929B_1B7C97EAD663_.wvu.Rows" localSheetId="9" hidden="1">'Dev Costs'!#REF!,'Dev Costs'!$164:$164</definedName>
    <definedName name="Z_51561219_1382_4CE8_929B_1B7C97EAD663_.wvu.Rows" localSheetId="15" hidden="1">'Max Rents &amp; Pmt Stds'!$129:$129,'Max Rents &amp; Pmt Stds'!$134:$134,'Max Rents &amp; Pmt Stds'!$139:$139,'Max Rents &amp; Pmt Stds'!$163:$163</definedName>
    <definedName name="Z_51561219_1382_4CE8_929B_1B7C97EAD663_.wvu.Rows" localSheetId="7" hidden="1">'Source and Uses'!$2:$2,'Source and Uses'!$59:$59,'Source and Uses'!#REF!,'Source and Uses'!$86:$88</definedName>
    <definedName name="Z_51561219_1382_4CE8_929B_1B7C97EAD663_.wvu.Rows" localSheetId="4" hidden="1">Summary!$5:$5,Summary!#REF!,Summary!$59:$59,Summary!$81:$83</definedName>
    <definedName name="Z_8D3B8A2A_D10B_4664_97A0_E27C621A97DC_.wvu.FilterData" localSheetId="13" hidden="1">'Building Characteristics'!$H$72:$H$1031</definedName>
    <definedName name="Z_8D3B8A2A_D10B_4664_97A0_E27C621A97DC_.wvu.FilterData" localSheetId="12" hidden="1">Tariffs!$P$268:$P$413</definedName>
    <definedName name="Z_8D3B8A2A_D10B_4664_97A0_E27C621A97DC_.wvu.Rows" localSheetId="13" hidden="1">'Building Characteristics'!$72:$1349</definedName>
    <definedName name="Z_8D3B8A2A_D10B_4664_97A0_E27C621A97DC_.wvu.Rows" localSheetId="12" hidden="1">Tariffs!$269:$604</definedName>
  </definedNames>
  <calcPr calcId="191029" calcMode="manual"/>
  <customWorkbookViews>
    <customWorkbookView name="hidden" guid="{1E06907C-2281-4617-B0F2-1AE7DC994915}" maximized="1" xWindow="1" yWindow="1" windowWidth="1481" windowHeight="788" tabRatio="927" activeSheetId="3" showComments="commIndAndComment"/>
    <customWorkbookView name="all" guid="{51561219-1382-4CE8-929B-1B7C97EAD663}" maximized="1" xWindow="1" yWindow="1" windowWidth="1481" windowHeight="788" tabRatio="927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2" i="3" l="1"/>
  <c r="O12" i="3"/>
  <c r="N12" i="3"/>
  <c r="M12" i="3"/>
  <c r="L12" i="3"/>
  <c r="N10" i="3"/>
  <c r="I26" i="3"/>
  <c r="G19" i="3"/>
  <c r="F6" i="3"/>
  <c r="C10" i="3" s="1"/>
  <c r="E7" i="3"/>
  <c r="E6" i="3"/>
  <c r="E21" i="3" s="1"/>
  <c r="F4" i="3"/>
  <c r="A49" i="21"/>
  <c r="Q38" i="52"/>
  <c r="K24" i="55"/>
  <c r="H19" i="3" l="1"/>
  <c r="E27" i="3"/>
  <c r="H26" i="3"/>
  <c r="I19" i="3"/>
  <c r="F27" i="3"/>
  <c r="E15" i="3"/>
  <c r="E20" i="3"/>
  <c r="G27" i="3"/>
  <c r="E22" i="3"/>
  <c r="F15" i="3"/>
  <c r="F22" i="3"/>
  <c r="G15" i="3"/>
  <c r="G22" i="3"/>
  <c r="E17" i="3"/>
  <c r="H22" i="3"/>
  <c r="F17" i="3"/>
  <c r="G24" i="3"/>
  <c r="G17" i="3"/>
  <c r="H24" i="3"/>
  <c r="H17" i="3"/>
  <c r="I24" i="3"/>
  <c r="I17" i="3"/>
  <c r="E25" i="3"/>
  <c r="F20" i="3"/>
  <c r="I22" i="3"/>
  <c r="F25" i="3"/>
  <c r="H27" i="3"/>
  <c r="G20" i="3"/>
  <c r="G25" i="3"/>
  <c r="I15" i="3"/>
  <c r="F23" i="3"/>
  <c r="E28" i="3"/>
  <c r="E16" i="3"/>
  <c r="G18" i="3"/>
  <c r="I20" i="3"/>
  <c r="G23" i="3"/>
  <c r="I25" i="3"/>
  <c r="F28" i="3"/>
  <c r="H15" i="3"/>
  <c r="E18" i="3"/>
  <c r="E23" i="3"/>
  <c r="I27" i="3"/>
  <c r="F18" i="3"/>
  <c r="F16" i="3"/>
  <c r="H18" i="3"/>
  <c r="F21" i="3"/>
  <c r="H23" i="3"/>
  <c r="E26" i="3"/>
  <c r="G28" i="3"/>
  <c r="G16" i="3"/>
  <c r="I18" i="3"/>
  <c r="G21" i="3"/>
  <c r="I23" i="3"/>
  <c r="F26" i="3"/>
  <c r="H28" i="3"/>
  <c r="H20" i="3"/>
  <c r="H25" i="3"/>
  <c r="H16" i="3"/>
  <c r="E19" i="3"/>
  <c r="H21" i="3"/>
  <c r="E24" i="3"/>
  <c r="G26" i="3"/>
  <c r="I28" i="3"/>
  <c r="I16" i="3"/>
  <c r="F19" i="3"/>
  <c r="I21" i="3"/>
  <c r="F24" i="3"/>
  <c r="D46" i="54"/>
  <c r="A39" i="11"/>
  <c r="K34" i="67"/>
  <c r="M36" i="67"/>
  <c r="I36" i="67"/>
  <c r="G36" i="67"/>
  <c r="E36" i="67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M7" i="52"/>
  <c r="C38" i="50" l="1"/>
  <c r="D67" i="4"/>
  <c r="D38" i="4"/>
  <c r="D37" i="4"/>
  <c r="D36" i="4"/>
  <c r="D35" i="4"/>
  <c r="D34" i="4"/>
  <c r="E14" i="4"/>
  <c r="E12" i="4"/>
  <c r="D39" i="4"/>
  <c r="E10" i="4"/>
  <c r="E8" i="4"/>
  <c r="AD49" i="52" l="1"/>
  <c r="B19" i="21" l="1"/>
  <c r="AM37" i="52" l="1"/>
  <c r="AL37" i="52"/>
  <c r="AK37" i="52"/>
  <c r="AM36" i="52"/>
  <c r="AL36" i="52"/>
  <c r="AK36" i="52"/>
  <c r="AM35" i="52"/>
  <c r="AL35" i="52"/>
  <c r="AK35" i="52"/>
  <c r="AM34" i="52"/>
  <c r="AL34" i="52"/>
  <c r="AK34" i="52"/>
  <c r="AM33" i="52"/>
  <c r="AL33" i="52"/>
  <c r="AK33" i="52"/>
  <c r="AM32" i="52"/>
  <c r="AL32" i="52"/>
  <c r="AK32" i="52"/>
  <c r="AM31" i="52"/>
  <c r="AL31" i="52"/>
  <c r="AK31" i="52"/>
  <c r="AM30" i="52"/>
  <c r="AL30" i="52"/>
  <c r="AK30" i="52"/>
  <c r="AM29" i="52"/>
  <c r="AL29" i="52"/>
  <c r="AK29" i="52"/>
  <c r="AM28" i="52"/>
  <c r="AL28" i="52"/>
  <c r="AK28" i="52"/>
  <c r="AM27" i="52"/>
  <c r="AL27" i="52"/>
  <c r="AK27" i="52"/>
  <c r="AM26" i="52"/>
  <c r="AL26" i="52"/>
  <c r="AK26" i="52"/>
  <c r="AM25" i="52"/>
  <c r="AL25" i="52"/>
  <c r="AK25" i="52"/>
  <c r="AM24" i="52"/>
  <c r="AL24" i="52"/>
  <c r="AK24" i="52"/>
  <c r="AM23" i="52"/>
  <c r="AL23" i="52"/>
  <c r="AK23" i="52"/>
  <c r="AM22" i="52"/>
  <c r="AL22" i="52"/>
  <c r="AK22" i="52"/>
  <c r="AM21" i="52"/>
  <c r="AL21" i="52"/>
  <c r="AK21" i="52"/>
  <c r="AM20" i="52"/>
  <c r="AL20" i="52"/>
  <c r="AK20" i="52"/>
  <c r="AM19" i="52"/>
  <c r="AL19" i="52"/>
  <c r="AK19" i="52"/>
  <c r="AM18" i="52"/>
  <c r="AL18" i="52"/>
  <c r="AK18" i="52"/>
  <c r="AM17" i="52"/>
  <c r="AL17" i="52"/>
  <c r="AK17" i="52"/>
  <c r="AM16" i="52"/>
  <c r="AL16" i="52"/>
  <c r="AK16" i="52"/>
  <c r="AM15" i="52"/>
  <c r="AL15" i="52"/>
  <c r="AK15" i="52"/>
  <c r="AM14" i="52"/>
  <c r="AL14" i="52"/>
  <c r="AK14" i="52"/>
  <c r="AM13" i="52"/>
  <c r="AL13" i="52"/>
  <c r="AK13" i="52"/>
  <c r="AM12" i="52"/>
  <c r="AL12" i="52"/>
  <c r="AK12" i="52"/>
  <c r="AM11" i="52"/>
  <c r="AL11" i="52"/>
  <c r="AK11" i="52"/>
  <c r="AM10" i="52"/>
  <c r="AL10" i="52"/>
  <c r="AK10" i="52"/>
  <c r="AL9" i="52"/>
  <c r="AK9" i="52"/>
  <c r="AM8" i="52"/>
  <c r="AK8" i="52"/>
  <c r="AM7" i="52" l="1"/>
  <c r="AL7" i="52"/>
  <c r="AQ37" i="52" l="1"/>
  <c r="AQ36" i="52"/>
  <c r="AQ35" i="52"/>
  <c r="AQ34" i="52"/>
  <c r="AQ33" i="52"/>
  <c r="AQ32" i="52"/>
  <c r="AQ31" i="52"/>
  <c r="AQ30" i="52"/>
  <c r="AQ29" i="52"/>
  <c r="AQ28" i="52"/>
  <c r="AQ27" i="52"/>
  <c r="AQ26" i="52"/>
  <c r="AQ25" i="52"/>
  <c r="AQ24" i="52"/>
  <c r="AQ23" i="52"/>
  <c r="AQ22" i="52"/>
  <c r="AQ21" i="52"/>
  <c r="AQ20" i="52"/>
  <c r="AQ19" i="52"/>
  <c r="AQ18" i="52"/>
  <c r="AQ17" i="52"/>
  <c r="AQ16" i="52"/>
  <c r="AQ15" i="52"/>
  <c r="AQ14" i="52"/>
  <c r="AQ13" i="52"/>
  <c r="AQ12" i="52"/>
  <c r="AQ11" i="52"/>
  <c r="AQ10" i="52"/>
  <c r="AQ8" i="52"/>
  <c r="AQ7" i="52"/>
  <c r="D74" i="55"/>
  <c r="E10" i="21" s="1"/>
  <c r="AJ37" i="52" l="1"/>
  <c r="AI37" i="52"/>
  <c r="AJ36" i="52"/>
  <c r="AI36" i="52"/>
  <c r="AJ35" i="52"/>
  <c r="AI35" i="52"/>
  <c r="AJ34" i="52"/>
  <c r="AI34" i="52"/>
  <c r="AJ33" i="52"/>
  <c r="AI33" i="52"/>
  <c r="AJ32" i="52"/>
  <c r="AI32" i="52"/>
  <c r="AJ31" i="52"/>
  <c r="AI31" i="52"/>
  <c r="AJ30" i="52"/>
  <c r="AI30" i="52"/>
  <c r="AJ29" i="52"/>
  <c r="AI29" i="52"/>
  <c r="AJ28" i="52"/>
  <c r="AI28" i="52"/>
  <c r="AJ27" i="52"/>
  <c r="AI27" i="52"/>
  <c r="AJ26" i="52"/>
  <c r="AI26" i="52"/>
  <c r="AJ25" i="52"/>
  <c r="AI25" i="52"/>
  <c r="AJ24" i="52"/>
  <c r="AI24" i="52"/>
  <c r="AJ23" i="52"/>
  <c r="AI23" i="52"/>
  <c r="AJ22" i="52"/>
  <c r="AI22" i="52"/>
  <c r="AJ21" i="52"/>
  <c r="AI21" i="52"/>
  <c r="AJ20" i="52"/>
  <c r="AI20" i="52"/>
  <c r="AJ19" i="52"/>
  <c r="AI19" i="52"/>
  <c r="AJ18" i="52"/>
  <c r="AI18" i="52"/>
  <c r="AJ17" i="52"/>
  <c r="AI17" i="52"/>
  <c r="AJ16" i="52"/>
  <c r="AI16" i="52"/>
  <c r="AJ15" i="52"/>
  <c r="AI15" i="52"/>
  <c r="AJ14" i="52"/>
  <c r="AI14" i="52"/>
  <c r="AJ13" i="52"/>
  <c r="AI13" i="52"/>
  <c r="AJ12" i="52"/>
  <c r="AI12" i="52"/>
  <c r="AJ11" i="52"/>
  <c r="AI11" i="52"/>
  <c r="AJ10" i="52"/>
  <c r="AI10" i="52"/>
  <c r="AJ9" i="52"/>
  <c r="AI9" i="52"/>
  <c r="AJ8" i="52"/>
  <c r="AI8" i="52"/>
  <c r="AI7" i="52"/>
  <c r="AJ7" i="52"/>
  <c r="AH7" i="52"/>
  <c r="AF7" i="52"/>
  <c r="AJ38" i="52" l="1"/>
  <c r="K38" i="52" s="1"/>
  <c r="AI38" i="52"/>
  <c r="J38" i="52" l="1"/>
  <c r="B11" i="62" l="1"/>
  <c r="J15" i="54"/>
  <c r="J16" i="54"/>
  <c r="J17" i="54"/>
  <c r="J18" i="54"/>
  <c r="J19" i="54"/>
  <c r="J20" i="54"/>
  <c r="J21" i="54"/>
  <c r="K22" i="54"/>
  <c r="J23" i="54"/>
  <c r="J24" i="54"/>
  <c r="C34" i="67" l="1"/>
  <c r="K37" i="67"/>
  <c r="K33" i="67"/>
  <c r="K32" i="67"/>
  <c r="K31" i="67"/>
  <c r="K30" i="67"/>
  <c r="K29" i="67"/>
  <c r="K28" i="67"/>
  <c r="K27" i="67"/>
  <c r="K26" i="67"/>
  <c r="E4" i="3" l="1"/>
  <c r="H21" i="75"/>
  <c r="G21" i="75"/>
  <c r="F21" i="75"/>
  <c r="E21" i="75"/>
  <c r="D21" i="75"/>
  <c r="C21" i="75"/>
  <c r="S969" i="74"/>
  <c r="R969" i="74"/>
  <c r="Q969" i="74"/>
  <c r="P969" i="74"/>
  <c r="F47" i="74" s="1"/>
  <c r="E33" i="75" s="1"/>
  <c r="O969" i="74"/>
  <c r="E47" i="74" s="1"/>
  <c r="D33" i="75" s="1"/>
  <c r="N969" i="74"/>
  <c r="S968" i="74"/>
  <c r="S1013" i="74" s="1"/>
  <c r="R968" i="74"/>
  <c r="R1013" i="74" s="1"/>
  <c r="Q968" i="74"/>
  <c r="Q1013" i="74" s="1"/>
  <c r="P968" i="74"/>
  <c r="P1013" i="74" s="1"/>
  <c r="O968" i="74"/>
  <c r="O1013" i="74" s="1"/>
  <c r="N968" i="74"/>
  <c r="N1013" i="74" s="1"/>
  <c r="S967" i="74"/>
  <c r="R967" i="74"/>
  <c r="Q967" i="74"/>
  <c r="P967" i="74"/>
  <c r="F45" i="74" s="1"/>
  <c r="E31" i="75" s="1"/>
  <c r="O967" i="74"/>
  <c r="E45" i="74" s="1"/>
  <c r="D31" i="75" s="1"/>
  <c r="N967" i="74"/>
  <c r="S966" i="74"/>
  <c r="R966" i="74"/>
  <c r="Q966" i="74"/>
  <c r="P966" i="74"/>
  <c r="O966" i="74"/>
  <c r="E44" i="74" s="1"/>
  <c r="D30" i="75" s="1"/>
  <c r="N966" i="74"/>
  <c r="S868" i="74"/>
  <c r="R868" i="74"/>
  <c r="Q868" i="74"/>
  <c r="P868" i="74"/>
  <c r="O868" i="74"/>
  <c r="N868" i="74"/>
  <c r="S845" i="74"/>
  <c r="R845" i="74"/>
  <c r="Q845" i="74"/>
  <c r="P845" i="74"/>
  <c r="O845" i="74"/>
  <c r="N845" i="74"/>
  <c r="S819" i="74"/>
  <c r="R819" i="74"/>
  <c r="Q819" i="74"/>
  <c r="P819" i="74"/>
  <c r="O819" i="74"/>
  <c r="N819" i="74"/>
  <c r="S795" i="74"/>
  <c r="R795" i="74"/>
  <c r="Q795" i="74"/>
  <c r="P795" i="74"/>
  <c r="O795" i="74"/>
  <c r="N795" i="74"/>
  <c r="S772" i="74"/>
  <c r="R772" i="74"/>
  <c r="Q772" i="74"/>
  <c r="P772" i="74"/>
  <c r="O772" i="74"/>
  <c r="N772" i="74"/>
  <c r="CN746" i="74"/>
  <c r="CM746" i="74"/>
  <c r="CL746" i="74"/>
  <c r="CK746" i="74"/>
  <c r="CJ746" i="74"/>
  <c r="CI746" i="74"/>
  <c r="CH746" i="74"/>
  <c r="CG746" i="74"/>
  <c r="CF746" i="74"/>
  <c r="CE746" i="74"/>
  <c r="CD746" i="74"/>
  <c r="CC746" i="74"/>
  <c r="S746" i="74" s="1"/>
  <c r="CB746" i="74"/>
  <c r="CA746" i="74"/>
  <c r="BZ746" i="74"/>
  <c r="BY746" i="74"/>
  <c r="BX746" i="74"/>
  <c r="BW746" i="74"/>
  <c r="BV746" i="74"/>
  <c r="BU746" i="74"/>
  <c r="BT746" i="74"/>
  <c r="BS746" i="74"/>
  <c r="BR746" i="74"/>
  <c r="BQ746" i="74"/>
  <c r="R746" i="74" s="1"/>
  <c r="BP746" i="74"/>
  <c r="BO746" i="74"/>
  <c r="BN746" i="74"/>
  <c r="BM746" i="74"/>
  <c r="BL746" i="74"/>
  <c r="BK746" i="74"/>
  <c r="BJ746" i="74"/>
  <c r="BI746" i="74"/>
  <c r="BH746" i="74"/>
  <c r="BG746" i="74"/>
  <c r="BF746" i="74"/>
  <c r="BE746" i="74"/>
  <c r="Q746" i="74" s="1"/>
  <c r="BD746" i="74"/>
  <c r="BC746" i="74"/>
  <c r="BB746" i="74"/>
  <c r="BA746" i="74"/>
  <c r="AZ746" i="74"/>
  <c r="AY746" i="74"/>
  <c r="AX746" i="74"/>
  <c r="AW746" i="74"/>
  <c r="AV746" i="74"/>
  <c r="AU746" i="74"/>
  <c r="AT746" i="74"/>
  <c r="AS746" i="74"/>
  <c r="AR746" i="74"/>
  <c r="AQ746" i="74"/>
  <c r="AP746" i="74"/>
  <c r="AO746" i="74"/>
  <c r="AN746" i="74"/>
  <c r="AM746" i="74"/>
  <c r="AL746" i="74"/>
  <c r="AK746" i="74"/>
  <c r="AJ746" i="74"/>
  <c r="AI746" i="74"/>
  <c r="AH746" i="74"/>
  <c r="AG746" i="74"/>
  <c r="AF746" i="74"/>
  <c r="AE746" i="74"/>
  <c r="AD746" i="74"/>
  <c r="AC746" i="74"/>
  <c r="AB746" i="74"/>
  <c r="AA746" i="74"/>
  <c r="Z746" i="74"/>
  <c r="Y746" i="74"/>
  <c r="X746" i="74"/>
  <c r="W746" i="74"/>
  <c r="V746" i="74"/>
  <c r="N746" i="74" s="1"/>
  <c r="U746" i="74"/>
  <c r="CN722" i="74"/>
  <c r="CM722" i="74"/>
  <c r="CL722" i="74"/>
  <c r="CK722" i="74"/>
  <c r="CJ722" i="74"/>
  <c r="CI722" i="74"/>
  <c r="CH722" i="74"/>
  <c r="CG722" i="74"/>
  <c r="CF722" i="74"/>
  <c r="CE722" i="74"/>
  <c r="CD722" i="74"/>
  <c r="CC722" i="74"/>
  <c r="CB722" i="74"/>
  <c r="CA722" i="74"/>
  <c r="BZ722" i="74"/>
  <c r="BY722" i="74"/>
  <c r="BX722" i="74"/>
  <c r="BW722" i="74"/>
  <c r="BV722" i="74"/>
  <c r="BU722" i="74"/>
  <c r="R722" i="74" s="1"/>
  <c r="BT722" i="74"/>
  <c r="BS722" i="74"/>
  <c r="BR722" i="74"/>
  <c r="BQ722" i="74"/>
  <c r="BP722" i="74"/>
  <c r="BO722" i="74"/>
  <c r="BN722" i="74"/>
  <c r="BM722" i="74"/>
  <c r="BL722" i="74"/>
  <c r="BK722" i="74"/>
  <c r="BJ722" i="74"/>
  <c r="BI722" i="74"/>
  <c r="Q722" i="74" s="1"/>
  <c r="BH722" i="74"/>
  <c r="BG722" i="74"/>
  <c r="BF722" i="74"/>
  <c r="BE722" i="74"/>
  <c r="BD722" i="74"/>
  <c r="BC722" i="74"/>
  <c r="BB722" i="74"/>
  <c r="BA722" i="74"/>
  <c r="AZ722" i="74"/>
  <c r="AY722" i="74"/>
  <c r="AX722" i="74"/>
  <c r="AW722" i="74"/>
  <c r="AV722" i="74"/>
  <c r="AU722" i="74"/>
  <c r="AT722" i="74"/>
  <c r="AS722" i="74"/>
  <c r="P722" i="74" s="1"/>
  <c r="AR722" i="74"/>
  <c r="AQ722" i="74"/>
  <c r="AP722" i="74"/>
  <c r="AO722" i="74"/>
  <c r="AN722" i="74"/>
  <c r="AM722" i="74"/>
  <c r="AL722" i="74"/>
  <c r="AK722" i="74"/>
  <c r="AJ722" i="74"/>
  <c r="AI722" i="74"/>
  <c r="AH722" i="74"/>
  <c r="AG722" i="74"/>
  <c r="AF722" i="74"/>
  <c r="AE722" i="74"/>
  <c r="AD722" i="74"/>
  <c r="AC722" i="74"/>
  <c r="AB722" i="74"/>
  <c r="AA722" i="74"/>
  <c r="Z722" i="74"/>
  <c r="Y722" i="74"/>
  <c r="X722" i="74"/>
  <c r="W722" i="74"/>
  <c r="V722" i="74"/>
  <c r="U722" i="74"/>
  <c r="N722" i="74" s="1"/>
  <c r="CN699" i="74"/>
  <c r="CM699" i="74"/>
  <c r="CL699" i="74"/>
  <c r="CK699" i="74"/>
  <c r="CJ699" i="74"/>
  <c r="CI699" i="74"/>
  <c r="CH699" i="74"/>
  <c r="CG699" i="74"/>
  <c r="CF699" i="74"/>
  <c r="CE699" i="74"/>
  <c r="CD699" i="74"/>
  <c r="CC699" i="74"/>
  <c r="CB699" i="74"/>
  <c r="CA699" i="74"/>
  <c r="BZ699" i="74"/>
  <c r="BY699" i="74"/>
  <c r="BX699" i="74"/>
  <c r="BW699" i="74"/>
  <c r="BV699" i="74"/>
  <c r="BU699" i="74"/>
  <c r="BT699" i="74"/>
  <c r="BS699" i="74"/>
  <c r="BR699" i="74"/>
  <c r="BQ699" i="74"/>
  <c r="BP699" i="74"/>
  <c r="BO699" i="74"/>
  <c r="BN699" i="74"/>
  <c r="BM699" i="74"/>
  <c r="BL699" i="74"/>
  <c r="BK699" i="74"/>
  <c r="BJ699" i="74"/>
  <c r="BI699" i="74"/>
  <c r="BH699" i="74"/>
  <c r="BG699" i="74"/>
  <c r="Q699" i="74" s="1"/>
  <c r="BF699" i="74"/>
  <c r="BE699" i="74"/>
  <c r="BD699" i="74"/>
  <c r="BC699" i="74"/>
  <c r="BB699" i="74"/>
  <c r="BA699" i="74"/>
  <c r="AZ699" i="74"/>
  <c r="AY699" i="74"/>
  <c r="AX699" i="74"/>
  <c r="AW699" i="74"/>
  <c r="AV699" i="74"/>
  <c r="AU699" i="74"/>
  <c r="AT699" i="74"/>
  <c r="AS699" i="74"/>
  <c r="AR699" i="74"/>
  <c r="AQ699" i="74"/>
  <c r="AP699" i="74"/>
  <c r="AO699" i="74"/>
  <c r="AN699" i="74"/>
  <c r="AM699" i="74"/>
  <c r="AL699" i="74"/>
  <c r="AK699" i="74"/>
  <c r="AJ699" i="74"/>
  <c r="AI699" i="74"/>
  <c r="AH699" i="74"/>
  <c r="AG699" i="74"/>
  <c r="AF699" i="74"/>
  <c r="AE699" i="74"/>
  <c r="AD699" i="74"/>
  <c r="AC699" i="74"/>
  <c r="AB699" i="74"/>
  <c r="AA699" i="74"/>
  <c r="Z699" i="74"/>
  <c r="Y699" i="74"/>
  <c r="X699" i="74"/>
  <c r="W699" i="74"/>
  <c r="V699" i="74"/>
  <c r="U699" i="74"/>
  <c r="CN673" i="74"/>
  <c r="CM673" i="74"/>
  <c r="CL673" i="74"/>
  <c r="CK673" i="74"/>
  <c r="CJ673" i="74"/>
  <c r="CI673" i="74"/>
  <c r="CH673" i="74"/>
  <c r="CG673" i="74"/>
  <c r="CF673" i="74"/>
  <c r="CE673" i="74"/>
  <c r="CD673" i="74"/>
  <c r="CC673" i="74"/>
  <c r="CB673" i="74"/>
  <c r="CA673" i="74"/>
  <c r="BZ673" i="74"/>
  <c r="BY673" i="74"/>
  <c r="BX673" i="74"/>
  <c r="BW673" i="74"/>
  <c r="BV673" i="74"/>
  <c r="BU673" i="74"/>
  <c r="BT673" i="74"/>
  <c r="BS673" i="74"/>
  <c r="BR673" i="74"/>
  <c r="BQ673" i="74"/>
  <c r="BP673" i="74"/>
  <c r="BO673" i="74"/>
  <c r="BN673" i="74"/>
  <c r="BM673" i="74"/>
  <c r="BL673" i="74"/>
  <c r="BK673" i="74"/>
  <c r="BJ673" i="74"/>
  <c r="BI673" i="74"/>
  <c r="BH673" i="74"/>
  <c r="Q673" i="74" s="1"/>
  <c r="BG673" i="74"/>
  <c r="BF673" i="74"/>
  <c r="BE673" i="74"/>
  <c r="BD673" i="74"/>
  <c r="BC673" i="74"/>
  <c r="BB673" i="74"/>
  <c r="BA673" i="74"/>
  <c r="AZ673" i="74"/>
  <c r="AY673" i="74"/>
  <c r="AX673" i="74"/>
  <c r="AW673" i="74"/>
  <c r="AV673" i="74"/>
  <c r="AU673" i="74"/>
  <c r="AT673" i="74"/>
  <c r="AS673" i="74"/>
  <c r="AR673" i="74"/>
  <c r="AQ673" i="74"/>
  <c r="AP673" i="74"/>
  <c r="AO673" i="74"/>
  <c r="AN673" i="74"/>
  <c r="AM673" i="74"/>
  <c r="AL673" i="74"/>
  <c r="AK673" i="74"/>
  <c r="AJ673" i="74"/>
  <c r="AI673" i="74"/>
  <c r="AH673" i="74"/>
  <c r="AG673" i="74"/>
  <c r="AF673" i="74"/>
  <c r="AE673" i="74"/>
  <c r="AD673" i="74"/>
  <c r="AC673" i="74"/>
  <c r="AB673" i="74"/>
  <c r="AA673" i="74"/>
  <c r="Z673" i="74"/>
  <c r="Y673" i="74"/>
  <c r="X673" i="74"/>
  <c r="W673" i="74"/>
  <c r="V673" i="74"/>
  <c r="U673" i="74"/>
  <c r="CN649" i="74"/>
  <c r="CM649" i="74"/>
  <c r="CL649" i="74"/>
  <c r="CK649" i="74"/>
  <c r="CJ649" i="74"/>
  <c r="CI649" i="74"/>
  <c r="CH649" i="74"/>
  <c r="CG649" i="74"/>
  <c r="CF649" i="74"/>
  <c r="CE649" i="74"/>
  <c r="CD649" i="74"/>
  <c r="CC649" i="74"/>
  <c r="CB649" i="74"/>
  <c r="CA649" i="74"/>
  <c r="R649" i="74" s="1"/>
  <c r="BZ649" i="74"/>
  <c r="BY649" i="74"/>
  <c r="BX649" i="74"/>
  <c r="BW649" i="74"/>
  <c r="BV649" i="74"/>
  <c r="BU649" i="74"/>
  <c r="BT649" i="74"/>
  <c r="BS649" i="74"/>
  <c r="BR649" i="74"/>
  <c r="BQ649" i="74"/>
  <c r="BP649" i="74"/>
  <c r="BO649" i="74"/>
  <c r="BN649" i="74"/>
  <c r="BM649" i="74"/>
  <c r="BL649" i="74"/>
  <c r="BK649" i="74"/>
  <c r="BJ649" i="74"/>
  <c r="BI649" i="74"/>
  <c r="BH649" i="74"/>
  <c r="BG649" i="74"/>
  <c r="BF649" i="74"/>
  <c r="BE649" i="74"/>
  <c r="BD649" i="74"/>
  <c r="BC649" i="74"/>
  <c r="BB649" i="74"/>
  <c r="BA649" i="74"/>
  <c r="AZ649" i="74"/>
  <c r="AY649" i="74"/>
  <c r="AX649" i="74"/>
  <c r="AW649" i="74"/>
  <c r="AV649" i="74"/>
  <c r="AU649" i="74"/>
  <c r="AT649" i="74"/>
  <c r="AS649" i="74"/>
  <c r="AR649" i="74"/>
  <c r="AQ649" i="74"/>
  <c r="AP649" i="74"/>
  <c r="AO649" i="74"/>
  <c r="AN649" i="74"/>
  <c r="AM649" i="74"/>
  <c r="AL649" i="74"/>
  <c r="AK649" i="74"/>
  <c r="AJ649" i="74"/>
  <c r="AI649" i="74"/>
  <c r="AH649" i="74"/>
  <c r="AG649" i="74"/>
  <c r="AF649" i="74"/>
  <c r="AE649" i="74"/>
  <c r="AD649" i="74"/>
  <c r="AC649" i="74"/>
  <c r="AB649" i="74"/>
  <c r="AA649" i="74"/>
  <c r="Z649" i="74"/>
  <c r="Y649" i="74"/>
  <c r="X649" i="74"/>
  <c r="W649" i="74"/>
  <c r="V649" i="74"/>
  <c r="U649" i="74"/>
  <c r="N649" i="74"/>
  <c r="CN625" i="74"/>
  <c r="CM625" i="74"/>
  <c r="CL625" i="74"/>
  <c r="CK625" i="74"/>
  <c r="CJ625" i="74"/>
  <c r="CI625" i="74"/>
  <c r="CH625" i="74"/>
  <c r="CG625" i="74"/>
  <c r="CF625" i="74"/>
  <c r="CE625" i="74"/>
  <c r="CD625" i="74"/>
  <c r="CC625" i="74"/>
  <c r="S625" i="74" s="1"/>
  <c r="CB625" i="74"/>
  <c r="CA625" i="74"/>
  <c r="BZ625" i="74"/>
  <c r="BY625" i="74"/>
  <c r="BX625" i="74"/>
  <c r="BW625" i="74"/>
  <c r="BV625" i="74"/>
  <c r="BU625" i="74"/>
  <c r="BT625" i="74"/>
  <c r="BS625" i="74"/>
  <c r="BR625" i="74"/>
  <c r="BQ625" i="74"/>
  <c r="R625" i="74" s="1"/>
  <c r="BP625" i="74"/>
  <c r="BO625" i="74"/>
  <c r="BN625" i="74"/>
  <c r="BM625" i="74"/>
  <c r="BL625" i="74"/>
  <c r="BK625" i="74"/>
  <c r="BJ625" i="74"/>
  <c r="BI625" i="74"/>
  <c r="BH625" i="74"/>
  <c r="BG625" i="74"/>
  <c r="BF625" i="74"/>
  <c r="BE625" i="74"/>
  <c r="Q625" i="74" s="1"/>
  <c r="BD625" i="74"/>
  <c r="BC625" i="74"/>
  <c r="BB625" i="74"/>
  <c r="BA625" i="74"/>
  <c r="AZ625" i="74"/>
  <c r="AY625" i="74"/>
  <c r="AX625" i="74"/>
  <c r="AW625" i="74"/>
  <c r="AV625" i="74"/>
  <c r="AU625" i="74"/>
  <c r="AT625" i="74"/>
  <c r="AS625" i="74"/>
  <c r="P625" i="74" s="1"/>
  <c r="AR625" i="74"/>
  <c r="AQ625" i="74"/>
  <c r="AP625" i="74"/>
  <c r="AO625" i="74"/>
  <c r="AN625" i="74"/>
  <c r="AM625" i="74"/>
  <c r="AL625" i="74"/>
  <c r="AK625" i="74"/>
  <c r="AJ625" i="74"/>
  <c r="AI625" i="74"/>
  <c r="AH625" i="74"/>
  <c r="AG625" i="74"/>
  <c r="O625" i="74" s="1"/>
  <c r="AF625" i="74"/>
  <c r="AE625" i="74"/>
  <c r="AD625" i="74"/>
  <c r="AC625" i="74"/>
  <c r="AB625" i="74"/>
  <c r="AA625" i="74"/>
  <c r="Z625" i="74"/>
  <c r="Y625" i="74"/>
  <c r="X625" i="74"/>
  <c r="W625" i="74"/>
  <c r="V625" i="74"/>
  <c r="U625" i="74"/>
  <c r="N625" i="74" s="1"/>
  <c r="CN601" i="74"/>
  <c r="CM601" i="74"/>
  <c r="CL601" i="74"/>
  <c r="CK601" i="74"/>
  <c r="CJ601" i="74"/>
  <c r="CI601" i="74"/>
  <c r="CH601" i="74"/>
  <c r="CG601" i="74"/>
  <c r="CF601" i="74"/>
  <c r="CE601" i="74"/>
  <c r="CD601" i="74"/>
  <c r="CC601" i="74"/>
  <c r="CB601" i="74"/>
  <c r="CA601" i="74"/>
  <c r="BZ601" i="74"/>
  <c r="BY601" i="74"/>
  <c r="BX601" i="74"/>
  <c r="BW601" i="74"/>
  <c r="BV601" i="74"/>
  <c r="BU601" i="74"/>
  <c r="BT601" i="74"/>
  <c r="BS601" i="74"/>
  <c r="BR601" i="74"/>
  <c r="BQ601" i="74"/>
  <c r="BP601" i="74"/>
  <c r="BO601" i="74"/>
  <c r="BN601" i="74"/>
  <c r="BM601" i="74"/>
  <c r="BL601" i="74"/>
  <c r="BK601" i="74"/>
  <c r="BJ601" i="74"/>
  <c r="BI601" i="74"/>
  <c r="BH601" i="74"/>
  <c r="BG601" i="74"/>
  <c r="BF601" i="74"/>
  <c r="BE601" i="74"/>
  <c r="Q601" i="74" s="1"/>
  <c r="BD601" i="74"/>
  <c r="BC601" i="74"/>
  <c r="BB601" i="74"/>
  <c r="BA601" i="74"/>
  <c r="AZ601" i="74"/>
  <c r="AY601" i="74"/>
  <c r="AX601" i="74"/>
  <c r="AW601" i="74"/>
  <c r="AV601" i="74"/>
  <c r="AU601" i="74"/>
  <c r="AT601" i="74"/>
  <c r="AS601" i="74"/>
  <c r="AR601" i="74"/>
  <c r="AQ601" i="74"/>
  <c r="AP601" i="74"/>
  <c r="AO601" i="74"/>
  <c r="AN601" i="74"/>
  <c r="AM601" i="74"/>
  <c r="AL601" i="74"/>
  <c r="AK601" i="74"/>
  <c r="AJ601" i="74"/>
  <c r="AI601" i="74"/>
  <c r="AH601" i="74"/>
  <c r="AG601" i="74"/>
  <c r="AF601" i="74"/>
  <c r="AE601" i="74"/>
  <c r="AD601" i="74"/>
  <c r="AC601" i="74"/>
  <c r="AB601" i="74"/>
  <c r="AA601" i="74"/>
  <c r="Z601" i="74"/>
  <c r="Y601" i="74"/>
  <c r="X601" i="74"/>
  <c r="W601" i="74"/>
  <c r="V601" i="74"/>
  <c r="U601" i="74"/>
  <c r="CN577" i="74"/>
  <c r="CM577" i="74"/>
  <c r="CL577" i="74"/>
  <c r="CK577" i="74"/>
  <c r="CJ577" i="74"/>
  <c r="CI577" i="74"/>
  <c r="CH577" i="74"/>
  <c r="CG577" i="74"/>
  <c r="CF577" i="74"/>
  <c r="CE577" i="74"/>
  <c r="CD577" i="74"/>
  <c r="S577" i="74" s="1"/>
  <c r="CC577" i="74"/>
  <c r="CB577" i="74"/>
  <c r="CA577" i="74"/>
  <c r="BZ577" i="74"/>
  <c r="BY577" i="74"/>
  <c r="BX577" i="74"/>
  <c r="BW577" i="74"/>
  <c r="BV577" i="74"/>
  <c r="BU577" i="74"/>
  <c r="BT577" i="74"/>
  <c r="BS577" i="74"/>
  <c r="BR577" i="74"/>
  <c r="BQ577" i="74"/>
  <c r="BP577" i="74"/>
  <c r="BO577" i="74"/>
  <c r="BN577" i="74"/>
  <c r="BM577" i="74"/>
  <c r="BL577" i="74"/>
  <c r="BK577" i="74"/>
  <c r="BJ577" i="74"/>
  <c r="BI577" i="74"/>
  <c r="BH577" i="74"/>
  <c r="BG577" i="74"/>
  <c r="BF577" i="74"/>
  <c r="BE577" i="74"/>
  <c r="BD577" i="74"/>
  <c r="BC577" i="74"/>
  <c r="BB577" i="74"/>
  <c r="BA577" i="74"/>
  <c r="AZ577" i="74"/>
  <c r="AY577" i="74"/>
  <c r="AX577" i="74"/>
  <c r="AW577" i="74"/>
  <c r="AV577" i="74"/>
  <c r="AU577" i="74"/>
  <c r="AT577" i="74"/>
  <c r="AS577" i="74"/>
  <c r="AR577" i="74"/>
  <c r="AQ577" i="74"/>
  <c r="AP577" i="74"/>
  <c r="AO577" i="74"/>
  <c r="AN577" i="74"/>
  <c r="AM577" i="74"/>
  <c r="AL577" i="74"/>
  <c r="AK577" i="74"/>
  <c r="AJ577" i="74"/>
  <c r="AI577" i="74"/>
  <c r="AH577" i="74"/>
  <c r="O577" i="74" s="1"/>
  <c r="AG577" i="74"/>
  <c r="AF577" i="74"/>
  <c r="AE577" i="74"/>
  <c r="AD577" i="74"/>
  <c r="AC577" i="74"/>
  <c r="AB577" i="74"/>
  <c r="AA577" i="74"/>
  <c r="Z577" i="74"/>
  <c r="Y577" i="74"/>
  <c r="X577" i="74"/>
  <c r="W577" i="74"/>
  <c r="V577" i="74"/>
  <c r="U577" i="74"/>
  <c r="CN553" i="74"/>
  <c r="CM553" i="74"/>
  <c r="CL553" i="74"/>
  <c r="CK553" i="74"/>
  <c r="CJ553" i="74"/>
  <c r="CI553" i="74"/>
  <c r="CH553" i="74"/>
  <c r="CG553" i="74"/>
  <c r="CF553" i="74"/>
  <c r="CE553" i="74"/>
  <c r="CD553" i="74"/>
  <c r="CC553" i="74"/>
  <c r="CB553" i="74"/>
  <c r="CA553" i="74"/>
  <c r="BZ553" i="74"/>
  <c r="BY553" i="74"/>
  <c r="BX553" i="74"/>
  <c r="BW553" i="74"/>
  <c r="BV553" i="74"/>
  <c r="BU553" i="74"/>
  <c r="BT553" i="74"/>
  <c r="R553" i="74" s="1"/>
  <c r="BS553" i="74"/>
  <c r="BR553" i="74"/>
  <c r="BQ553" i="74"/>
  <c r="BP553" i="74"/>
  <c r="BO553" i="74"/>
  <c r="BN553" i="74"/>
  <c r="BM553" i="74"/>
  <c r="BL553" i="74"/>
  <c r="BK553" i="74"/>
  <c r="BJ553" i="74"/>
  <c r="BI553" i="74"/>
  <c r="BH553" i="74"/>
  <c r="BG553" i="74"/>
  <c r="BF553" i="74"/>
  <c r="BE553" i="74"/>
  <c r="BD553" i="74"/>
  <c r="BC553" i="74"/>
  <c r="BB553" i="74"/>
  <c r="BA553" i="74"/>
  <c r="AZ553" i="74"/>
  <c r="AY553" i="74"/>
  <c r="AX553" i="74"/>
  <c r="AW553" i="74"/>
  <c r="AV553" i="74"/>
  <c r="AU553" i="74"/>
  <c r="AT553" i="74"/>
  <c r="AS553" i="74"/>
  <c r="AR553" i="74"/>
  <c r="AQ553" i="74"/>
  <c r="AP553" i="74"/>
  <c r="AO553" i="74"/>
  <c r="AN553" i="74"/>
  <c r="AM553" i="74"/>
  <c r="AL553" i="74"/>
  <c r="AK553" i="74"/>
  <c r="AJ553" i="74"/>
  <c r="AI553" i="74"/>
  <c r="AH553" i="74"/>
  <c r="AG553" i="74"/>
  <c r="AF553" i="74"/>
  <c r="AE553" i="74"/>
  <c r="AD553" i="74"/>
  <c r="N553" i="74" s="1"/>
  <c r="AC553" i="74"/>
  <c r="AB553" i="74"/>
  <c r="AA553" i="74"/>
  <c r="Z553" i="74"/>
  <c r="Y553" i="74"/>
  <c r="X553" i="74"/>
  <c r="W553" i="74"/>
  <c r="V553" i="74"/>
  <c r="U553" i="74"/>
  <c r="CN530" i="74"/>
  <c r="CM530" i="74"/>
  <c r="CL530" i="74"/>
  <c r="CK530" i="74"/>
  <c r="CJ530" i="74"/>
  <c r="CI530" i="74"/>
  <c r="CH530" i="74"/>
  <c r="CG530" i="74"/>
  <c r="CF530" i="74"/>
  <c r="CE530" i="74"/>
  <c r="CD530" i="74"/>
  <c r="CC530" i="74"/>
  <c r="CB530" i="74"/>
  <c r="CA530" i="74"/>
  <c r="BZ530" i="74"/>
  <c r="BY530" i="74"/>
  <c r="BX530" i="74"/>
  <c r="BW530" i="74"/>
  <c r="BV530" i="74"/>
  <c r="BU530" i="74"/>
  <c r="BT530" i="74"/>
  <c r="BS530" i="74"/>
  <c r="BR530" i="74"/>
  <c r="BQ530" i="74"/>
  <c r="BP530" i="74"/>
  <c r="BO530" i="74"/>
  <c r="BN530" i="74"/>
  <c r="BM530" i="74"/>
  <c r="BL530" i="74"/>
  <c r="BK530" i="74"/>
  <c r="BJ530" i="74"/>
  <c r="BI530" i="74"/>
  <c r="BH530" i="74"/>
  <c r="BG530" i="74"/>
  <c r="BF530" i="74"/>
  <c r="BE530" i="74"/>
  <c r="BD530" i="74"/>
  <c r="BC530" i="74"/>
  <c r="BB530" i="74"/>
  <c r="BA530" i="74"/>
  <c r="AZ530" i="74"/>
  <c r="AY530" i="74"/>
  <c r="AX530" i="74"/>
  <c r="AW530" i="74"/>
  <c r="AV530" i="74"/>
  <c r="AU530" i="74"/>
  <c r="AT530" i="74"/>
  <c r="AS530" i="74"/>
  <c r="AR530" i="74"/>
  <c r="AQ530" i="74"/>
  <c r="AP530" i="74"/>
  <c r="AO530" i="74"/>
  <c r="AN530" i="74"/>
  <c r="AM530" i="74"/>
  <c r="AL530" i="74"/>
  <c r="AK530" i="74"/>
  <c r="AJ530" i="74"/>
  <c r="AI530" i="74"/>
  <c r="AH530" i="74"/>
  <c r="AG530" i="74"/>
  <c r="AF530" i="74"/>
  <c r="AE530" i="74"/>
  <c r="AD530" i="74"/>
  <c r="AC530" i="74"/>
  <c r="AB530" i="74"/>
  <c r="AA530" i="74"/>
  <c r="Z530" i="74"/>
  <c r="Y530" i="74"/>
  <c r="X530" i="74"/>
  <c r="W530" i="74"/>
  <c r="V530" i="74"/>
  <c r="U530" i="74"/>
  <c r="N530" i="74" s="1"/>
  <c r="R530" i="74"/>
  <c r="O410" i="74"/>
  <c r="O409" i="74"/>
  <c r="O408" i="74"/>
  <c r="O407" i="74"/>
  <c r="O400" i="74"/>
  <c r="O405" i="74" s="1"/>
  <c r="O399" i="74"/>
  <c r="O404" i="74" s="1"/>
  <c r="O398" i="74"/>
  <c r="O403" i="74" s="1"/>
  <c r="O397" i="74"/>
  <c r="O402" i="74" s="1"/>
  <c r="S394" i="74"/>
  <c r="R394" i="74"/>
  <c r="Q394" i="74"/>
  <c r="P394" i="74"/>
  <c r="O394" i="74"/>
  <c r="S393" i="74"/>
  <c r="R393" i="74"/>
  <c r="Q393" i="74"/>
  <c r="P393" i="74"/>
  <c r="O393" i="74"/>
  <c r="S392" i="74"/>
  <c r="R392" i="74"/>
  <c r="Q392" i="74"/>
  <c r="P392" i="74"/>
  <c r="O392" i="74"/>
  <c r="S391" i="74"/>
  <c r="R391" i="74"/>
  <c r="Q391" i="74"/>
  <c r="P391" i="74"/>
  <c r="O391" i="74"/>
  <c r="S384" i="74"/>
  <c r="S389" i="74" s="1"/>
  <c r="R384" i="74"/>
  <c r="R389" i="74" s="1"/>
  <c r="Q384" i="74"/>
  <c r="Q389" i="74" s="1"/>
  <c r="P384" i="74"/>
  <c r="P389" i="74" s="1"/>
  <c r="O384" i="74"/>
  <c r="O389" i="74" s="1"/>
  <c r="S383" i="74"/>
  <c r="S388" i="74" s="1"/>
  <c r="R383" i="74"/>
  <c r="R388" i="74" s="1"/>
  <c r="Q383" i="74"/>
  <c r="Q388" i="74" s="1"/>
  <c r="P383" i="74"/>
  <c r="P388" i="74" s="1"/>
  <c r="O383" i="74"/>
  <c r="O388" i="74" s="1"/>
  <c r="S382" i="74"/>
  <c r="S387" i="74" s="1"/>
  <c r="R382" i="74"/>
  <c r="R387" i="74" s="1"/>
  <c r="Q382" i="74"/>
  <c r="Q387" i="74" s="1"/>
  <c r="P382" i="74"/>
  <c r="P387" i="74" s="1"/>
  <c r="O382" i="74"/>
  <c r="O387" i="74" s="1"/>
  <c r="S381" i="74"/>
  <c r="S386" i="74" s="1"/>
  <c r="R381" i="74"/>
  <c r="R386" i="74" s="1"/>
  <c r="Q381" i="74"/>
  <c r="Q386" i="74" s="1"/>
  <c r="P381" i="74"/>
  <c r="P386" i="74" s="1"/>
  <c r="O381" i="74"/>
  <c r="O386" i="74" s="1"/>
  <c r="O376" i="74"/>
  <c r="O377" i="74" s="1"/>
  <c r="O378" i="74" s="1"/>
  <c r="O375" i="74"/>
  <c r="W436" i="74" s="1"/>
  <c r="S374" i="74"/>
  <c r="R374" i="74"/>
  <c r="Q374" i="74"/>
  <c r="P374" i="74"/>
  <c r="O374" i="74"/>
  <c r="W440" i="74" s="1"/>
  <c r="S373" i="74"/>
  <c r="R373" i="74"/>
  <c r="Q373" i="74"/>
  <c r="P373" i="74"/>
  <c r="O373" i="74"/>
  <c r="W439" i="74" s="1"/>
  <c r="S372" i="74"/>
  <c r="R372" i="74"/>
  <c r="Q372" i="74"/>
  <c r="P372" i="74"/>
  <c r="O372" i="74"/>
  <c r="M368" i="74"/>
  <c r="N409" i="74" s="1"/>
  <c r="P330" i="74"/>
  <c r="M364" i="74" s="1"/>
  <c r="M510" i="74" s="1"/>
  <c r="P328" i="74"/>
  <c r="M363" i="74" s="1"/>
  <c r="M509" i="74" s="1"/>
  <c r="O325" i="74"/>
  <c r="O330" i="74" s="1"/>
  <c r="O313" i="74"/>
  <c r="O314" i="74" s="1"/>
  <c r="P308" i="74"/>
  <c r="M347" i="74" s="1"/>
  <c r="O308" i="74"/>
  <c r="O305" i="74"/>
  <c r="O304" i="74"/>
  <c r="S269" i="74"/>
  <c r="S344" i="74" s="1"/>
  <c r="R269" i="74"/>
  <c r="R344" i="74" s="1"/>
  <c r="Q269" i="74"/>
  <c r="Q344" i="74" s="1"/>
  <c r="P269" i="74"/>
  <c r="P344" i="74" s="1"/>
  <c r="O269" i="74"/>
  <c r="O344" i="74" s="1"/>
  <c r="N269" i="74"/>
  <c r="N344" i="74" s="1"/>
  <c r="AI252" i="74"/>
  <c r="AI251" i="74"/>
  <c r="AI250" i="74"/>
  <c r="AI249" i="74"/>
  <c r="AI248" i="74"/>
  <c r="AI246" i="74"/>
  <c r="AI245" i="74"/>
  <c r="AI244" i="74"/>
  <c r="T199" i="74"/>
  <c r="T221" i="74" s="1"/>
  <c r="S199" i="74"/>
  <c r="S221" i="74" s="1"/>
  <c r="R199" i="74"/>
  <c r="R221" i="74" s="1"/>
  <c r="Q199" i="74"/>
  <c r="Q221" i="74" s="1"/>
  <c r="P199" i="74"/>
  <c r="O199" i="74"/>
  <c r="N199" i="74"/>
  <c r="N221" i="74" s="1"/>
  <c r="M199" i="74"/>
  <c r="M221" i="74" s="1"/>
  <c r="T198" i="74"/>
  <c r="T220" i="74" s="1"/>
  <c r="S198" i="74"/>
  <c r="S220" i="74" s="1"/>
  <c r="R198" i="74"/>
  <c r="R220" i="74" s="1"/>
  <c r="Q198" i="74"/>
  <c r="Q220" i="74" s="1"/>
  <c r="P198" i="74"/>
  <c r="O198" i="74"/>
  <c r="N198" i="74"/>
  <c r="N220" i="74" s="1"/>
  <c r="M198" i="74"/>
  <c r="M220" i="74" s="1"/>
  <c r="T197" i="74"/>
  <c r="T219" i="74" s="1"/>
  <c r="S197" i="74"/>
  <c r="S219" i="74" s="1"/>
  <c r="R197" i="74"/>
  <c r="R219" i="74" s="1"/>
  <c r="Q197" i="74"/>
  <c r="Q219" i="74" s="1"/>
  <c r="P197" i="74"/>
  <c r="N197" i="74"/>
  <c r="N219" i="74" s="1"/>
  <c r="M197" i="74"/>
  <c r="M219" i="74" s="1"/>
  <c r="V196" i="74"/>
  <c r="V218" i="74" s="1"/>
  <c r="U196" i="74"/>
  <c r="U218" i="74" s="1"/>
  <c r="T196" i="74"/>
  <c r="T218" i="74" s="1"/>
  <c r="S196" i="74"/>
  <c r="S218" i="74" s="1"/>
  <c r="R196" i="74"/>
  <c r="R218" i="74" s="1"/>
  <c r="Q196" i="74"/>
  <c r="N196" i="74"/>
  <c r="N218" i="74" s="1"/>
  <c r="M196" i="74"/>
  <c r="M218" i="74" s="1"/>
  <c r="W195" i="74"/>
  <c r="V195" i="74"/>
  <c r="V217" i="74" s="1"/>
  <c r="U195" i="74"/>
  <c r="U217" i="74" s="1"/>
  <c r="T195" i="74"/>
  <c r="T217" i="74" s="1"/>
  <c r="S195" i="74"/>
  <c r="S217" i="74" s="1"/>
  <c r="R195" i="74"/>
  <c r="R217" i="74" s="1"/>
  <c r="Q195" i="74"/>
  <c r="P195" i="74"/>
  <c r="O195" i="74"/>
  <c r="N195" i="74"/>
  <c r="N217" i="74" s="1"/>
  <c r="M195" i="74"/>
  <c r="M217" i="74" s="1"/>
  <c r="W194" i="74"/>
  <c r="V194" i="74"/>
  <c r="V216" i="74" s="1"/>
  <c r="U194" i="74"/>
  <c r="U216" i="74" s="1"/>
  <c r="T194" i="74"/>
  <c r="T216" i="74" s="1"/>
  <c r="S194" i="74"/>
  <c r="S216" i="74" s="1"/>
  <c r="R194" i="74"/>
  <c r="R216" i="74" s="1"/>
  <c r="Q194" i="74"/>
  <c r="Q216" i="74" s="1"/>
  <c r="P194" i="74"/>
  <c r="O194" i="74"/>
  <c r="N194" i="74"/>
  <c r="N216" i="74" s="1"/>
  <c r="M194" i="74"/>
  <c r="M216" i="74" s="1"/>
  <c r="T191" i="74"/>
  <c r="T213" i="74" s="1"/>
  <c r="S191" i="74"/>
  <c r="S213" i="74" s="1"/>
  <c r="R191" i="74"/>
  <c r="R213" i="74" s="1"/>
  <c r="Q191" i="74"/>
  <c r="N191" i="74"/>
  <c r="N213" i="74" s="1"/>
  <c r="M191" i="74"/>
  <c r="M213" i="74" s="1"/>
  <c r="T190" i="74"/>
  <c r="T212" i="74" s="1"/>
  <c r="S190" i="74"/>
  <c r="S212" i="74" s="1"/>
  <c r="R190" i="74"/>
  <c r="R212" i="74" s="1"/>
  <c r="Q190" i="74"/>
  <c r="Q212" i="74" s="1"/>
  <c r="P190" i="74"/>
  <c r="O190" i="74"/>
  <c r="N190" i="74"/>
  <c r="N212" i="74" s="1"/>
  <c r="M190" i="74"/>
  <c r="M212" i="74" s="1"/>
  <c r="U182" i="74"/>
  <c r="U205" i="74" s="1"/>
  <c r="T182" i="74"/>
  <c r="T205" i="74" s="1"/>
  <c r="S182" i="74"/>
  <c r="S205" i="74" s="1"/>
  <c r="R182" i="74"/>
  <c r="R205" i="74" s="1"/>
  <c r="Q182" i="74"/>
  <c r="Q205" i="74" s="1"/>
  <c r="P182" i="74"/>
  <c r="N182" i="74"/>
  <c r="S193" i="74" s="1"/>
  <c r="L182" i="74"/>
  <c r="M177" i="74"/>
  <c r="M176" i="74"/>
  <c r="M175" i="74"/>
  <c r="M174" i="74"/>
  <c r="M173" i="74"/>
  <c r="M182" i="74" s="1"/>
  <c r="W165" i="74"/>
  <c r="W196" i="74" s="1"/>
  <c r="P165" i="74"/>
  <c r="P196" i="74" s="1"/>
  <c r="O165" i="74"/>
  <c r="O196" i="74" s="1"/>
  <c r="P157" i="74"/>
  <c r="O157" i="74"/>
  <c r="P156" i="74"/>
  <c r="O156" i="74"/>
  <c r="P155" i="74"/>
  <c r="O155" i="74"/>
  <c r="P153" i="74"/>
  <c r="O153" i="74"/>
  <c r="P152" i="74"/>
  <c r="P191" i="74" s="1"/>
  <c r="O152" i="74"/>
  <c r="O191" i="74" s="1"/>
  <c r="T149" i="74"/>
  <c r="S149" i="74"/>
  <c r="P149" i="74"/>
  <c r="T148" i="74"/>
  <c r="S148" i="74"/>
  <c r="P148" i="74"/>
  <c r="T147" i="74"/>
  <c r="S147" i="74"/>
  <c r="P147" i="74"/>
  <c r="T146" i="74"/>
  <c r="T135" i="74"/>
  <c r="T150" i="74" s="1"/>
  <c r="S135" i="74"/>
  <c r="S150" i="74" s="1"/>
  <c r="P135" i="74"/>
  <c r="P150" i="74" s="1"/>
  <c r="T131" i="74"/>
  <c r="S131" i="74"/>
  <c r="S146" i="74" s="1"/>
  <c r="P131" i="74"/>
  <c r="P146" i="74" s="1"/>
  <c r="T110" i="74"/>
  <c r="S86" i="74"/>
  <c r="S85" i="74"/>
  <c r="S84" i="74"/>
  <c r="S83" i="74"/>
  <c r="S82" i="74"/>
  <c r="C62" i="74"/>
  <c r="B48" i="75" s="1"/>
  <c r="C48" i="75" s="1"/>
  <c r="C61" i="74"/>
  <c r="B47" i="75" s="1"/>
  <c r="C47" i="75" s="1"/>
  <c r="C60" i="74"/>
  <c r="B46" i="75" s="1"/>
  <c r="C46" i="75" s="1"/>
  <c r="C59" i="74"/>
  <c r="B45" i="75" s="1"/>
  <c r="C45" i="75" s="1"/>
  <c r="C58" i="74"/>
  <c r="B44" i="75" s="1"/>
  <c r="C44" i="75" s="1"/>
  <c r="C57" i="74"/>
  <c r="B43" i="75" s="1"/>
  <c r="C43" i="75" s="1"/>
  <c r="C56" i="74"/>
  <c r="B42" i="75" s="1"/>
  <c r="C42" i="75" s="1"/>
  <c r="C55" i="74"/>
  <c r="B41" i="75" s="1"/>
  <c r="C41" i="75" s="1"/>
  <c r="C54" i="74"/>
  <c r="B40" i="75" s="1"/>
  <c r="C40" i="75" s="1"/>
  <c r="C53" i="74"/>
  <c r="B39" i="75" s="1"/>
  <c r="C39" i="75" s="1"/>
  <c r="C52" i="74"/>
  <c r="B38" i="75" s="1"/>
  <c r="C38" i="75" s="1"/>
  <c r="C49" i="74"/>
  <c r="B35" i="75" s="1"/>
  <c r="I47" i="74"/>
  <c r="H33" i="75" s="1"/>
  <c r="H47" i="74"/>
  <c r="G33" i="75" s="1"/>
  <c r="G47" i="74"/>
  <c r="F33" i="75" s="1"/>
  <c r="D47" i="74"/>
  <c r="C33" i="75" s="1"/>
  <c r="N46" i="74"/>
  <c r="I46" i="74"/>
  <c r="H32" i="75" s="1"/>
  <c r="H46" i="74"/>
  <c r="G32" i="75" s="1"/>
  <c r="G46" i="74"/>
  <c r="F32" i="75" s="1"/>
  <c r="F46" i="74"/>
  <c r="E32" i="75" s="1"/>
  <c r="E46" i="74"/>
  <c r="D32" i="75" s="1"/>
  <c r="D46" i="74"/>
  <c r="C32" i="75" s="1"/>
  <c r="I45" i="74"/>
  <c r="H31" i="75" s="1"/>
  <c r="H45" i="74"/>
  <c r="G31" i="75" s="1"/>
  <c r="G45" i="74"/>
  <c r="F31" i="75" s="1"/>
  <c r="D45" i="74"/>
  <c r="C31" i="75" s="1"/>
  <c r="I44" i="74"/>
  <c r="H30" i="75" s="1"/>
  <c r="H44" i="74"/>
  <c r="G30" i="75" s="1"/>
  <c r="G44" i="74"/>
  <c r="F30" i="75" s="1"/>
  <c r="F44" i="74"/>
  <c r="E30" i="75" s="1"/>
  <c r="D44" i="74"/>
  <c r="C30" i="75" s="1"/>
  <c r="I24" i="74"/>
  <c r="H10" i="75" s="1"/>
  <c r="F24" i="74"/>
  <c r="E10" i="75" s="1"/>
  <c r="D24" i="74"/>
  <c r="C10" i="75" s="1"/>
  <c r="F402" i="73"/>
  <c r="D402" i="73"/>
  <c r="F390" i="73"/>
  <c r="D390" i="73"/>
  <c r="F389" i="73"/>
  <c r="D389" i="73"/>
  <c r="F388" i="73"/>
  <c r="D388" i="73"/>
  <c r="F387" i="73"/>
  <c r="D387" i="73"/>
  <c r="F384" i="73"/>
  <c r="F408" i="73" s="1"/>
  <c r="D384" i="73"/>
  <c r="D408" i="73" s="1"/>
  <c r="F378" i="73"/>
  <c r="D378" i="73"/>
  <c r="D366" i="73"/>
  <c r="D379" i="73" s="1"/>
  <c r="F365" i="73"/>
  <c r="F363" i="73"/>
  <c r="D363" i="73"/>
  <c r="F362" i="73"/>
  <c r="D362" i="73"/>
  <c r="F361" i="73"/>
  <c r="D361" i="73"/>
  <c r="F360" i="73"/>
  <c r="D360" i="73"/>
  <c r="D345" i="73"/>
  <c r="F344" i="73"/>
  <c r="D344" i="73"/>
  <c r="F332" i="73"/>
  <c r="D332" i="73"/>
  <c r="F331" i="73"/>
  <c r="D331" i="73"/>
  <c r="F330" i="73"/>
  <c r="D330" i="73"/>
  <c r="F329" i="73"/>
  <c r="D329" i="73"/>
  <c r="D334" i="73" s="1"/>
  <c r="F326" i="73"/>
  <c r="F350" i="73" s="1"/>
  <c r="D326" i="73"/>
  <c r="D350" i="73" s="1"/>
  <c r="D321" i="73"/>
  <c r="F320" i="73"/>
  <c r="D320" i="73"/>
  <c r="F308" i="73"/>
  <c r="F306" i="73"/>
  <c r="D306" i="73"/>
  <c r="F305" i="73"/>
  <c r="D305" i="73"/>
  <c r="F304" i="73"/>
  <c r="D304" i="73"/>
  <c r="F303" i="73"/>
  <c r="F310" i="73" s="1"/>
  <c r="F315" i="73" s="1"/>
  <c r="D303" i="73"/>
  <c r="D310" i="73" s="1"/>
  <c r="H223" i="73"/>
  <c r="H228" i="73" s="1"/>
  <c r="H218" i="73"/>
  <c r="H220" i="73" s="1"/>
  <c r="H197" i="73"/>
  <c r="H198" i="73" s="1"/>
  <c r="H199" i="73" s="1"/>
  <c r="H200" i="73" s="1"/>
  <c r="H202" i="73" s="1"/>
  <c r="H192" i="73"/>
  <c r="H193" i="73" s="1"/>
  <c r="H194" i="73" s="1"/>
  <c r="H195" i="73" s="1"/>
  <c r="H113" i="73"/>
  <c r="H360" i="73" s="1"/>
  <c r="H366" i="73" s="1"/>
  <c r="N50" i="73"/>
  <c r="P40" i="73"/>
  <c r="P39" i="73"/>
  <c r="D40" i="72"/>
  <c r="N228" i="74" s="1"/>
  <c r="D39" i="72"/>
  <c r="D38" i="72"/>
  <c r="Z460" i="74" s="1"/>
  <c r="D37" i="72"/>
  <c r="Y460" i="74" s="1"/>
  <c r="D36" i="72"/>
  <c r="X460" i="74" s="1"/>
  <c r="D35" i="72"/>
  <c r="W460" i="74" s="1"/>
  <c r="D34" i="72"/>
  <c r="V460" i="74" s="1"/>
  <c r="D33" i="72"/>
  <c r="U460" i="74" s="1"/>
  <c r="D32" i="72"/>
  <c r="T460" i="74" s="1"/>
  <c r="D31" i="72"/>
  <c r="S460" i="74" s="1"/>
  <c r="D30" i="72"/>
  <c r="R460" i="74" s="1"/>
  <c r="D29" i="72"/>
  <c r="Q460" i="74" s="1"/>
  <c r="D28" i="72"/>
  <c r="P460" i="74" s="1"/>
  <c r="D27" i="72"/>
  <c r="P456" i="74" s="1"/>
  <c r="D26" i="72"/>
  <c r="P205" i="74" s="1"/>
  <c r="D25" i="72"/>
  <c r="Z459" i="74" s="1"/>
  <c r="D24" i="72"/>
  <c r="Y459" i="74" s="1"/>
  <c r="D23" i="72"/>
  <c r="X459" i="74" s="1"/>
  <c r="D22" i="72"/>
  <c r="W459" i="74" s="1"/>
  <c r="D21" i="72"/>
  <c r="V459" i="74" s="1"/>
  <c r="D20" i="72"/>
  <c r="U459" i="74" s="1"/>
  <c r="D19" i="72"/>
  <c r="T459" i="74" s="1"/>
  <c r="D18" i="72"/>
  <c r="S459" i="74" s="1"/>
  <c r="D17" i="72"/>
  <c r="R459" i="74" s="1"/>
  <c r="D16" i="72"/>
  <c r="Q459" i="74" s="1"/>
  <c r="D15" i="72"/>
  <c r="P459" i="74" s="1"/>
  <c r="D14" i="72"/>
  <c r="D6" i="72"/>
  <c r="N100" i="74" s="1"/>
  <c r="D4" i="72"/>
  <c r="B24" i="74" s="1"/>
  <c r="A10" i="75" s="1"/>
  <c r="O746" i="74" l="1"/>
  <c r="D368" i="73"/>
  <c r="D403" i="73"/>
  <c r="M44" i="74"/>
  <c r="O44" i="74" s="1"/>
  <c r="P44" i="74" s="1"/>
  <c r="Q44" i="74" s="1"/>
  <c r="O649" i="74"/>
  <c r="P649" i="74"/>
  <c r="Q649" i="74"/>
  <c r="O553" i="74"/>
  <c r="P553" i="74"/>
  <c r="S553" i="74"/>
  <c r="N577" i="74"/>
  <c r="N673" i="74"/>
  <c r="R673" i="74"/>
  <c r="N699" i="74"/>
  <c r="O699" i="74"/>
  <c r="P699" i="74"/>
  <c r="R699" i="74"/>
  <c r="D392" i="73"/>
  <c r="D397" i="73" s="1"/>
  <c r="N601" i="74"/>
  <c r="O601" i="74"/>
  <c r="P601" i="74"/>
  <c r="R601" i="74"/>
  <c r="S601" i="74"/>
  <c r="M42" i="74"/>
  <c r="O42" i="74" s="1"/>
  <c r="P42" i="74" s="1"/>
  <c r="Q42" i="74" s="1"/>
  <c r="F366" i="73"/>
  <c r="F403" i="73" s="1"/>
  <c r="Q530" i="74"/>
  <c r="M43" i="74"/>
  <c r="O43" i="74" s="1"/>
  <c r="P43" i="74" s="1"/>
  <c r="Q43" i="74" s="1"/>
  <c r="H114" i="73"/>
  <c r="H115" i="73" s="1"/>
  <c r="H116" i="73" s="1"/>
  <c r="H124" i="73" s="1"/>
  <c r="H125" i="73" s="1"/>
  <c r="H126" i="73" s="1"/>
  <c r="H127" i="73" s="1"/>
  <c r="H219" i="73"/>
  <c r="H226" i="73"/>
  <c r="N52" i="74"/>
  <c r="N53" i="74" s="1"/>
  <c r="N54" i="74" s="1"/>
  <c r="N55" i="74" s="1"/>
  <c r="N56" i="74" s="1"/>
  <c r="O186" i="74"/>
  <c r="O208" i="74" s="1"/>
  <c r="M187" i="74"/>
  <c r="M209" i="74" s="1"/>
  <c r="U187" i="74"/>
  <c r="N189" i="74"/>
  <c r="N211" i="74" s="1"/>
  <c r="O328" i="74"/>
  <c r="N376" i="74"/>
  <c r="O530" i="74"/>
  <c r="P530" i="74"/>
  <c r="S530" i="74"/>
  <c r="Q553" i="74"/>
  <c r="P673" i="74"/>
  <c r="H221" i="73"/>
  <c r="P52" i="74"/>
  <c r="P53" i="74" s="1"/>
  <c r="P54" i="74" s="1"/>
  <c r="P55" i="74" s="1"/>
  <c r="P56" i="74" s="1"/>
  <c r="P186" i="74"/>
  <c r="N187" i="74"/>
  <c r="N209" i="74" s="1"/>
  <c r="V187" i="74"/>
  <c r="R189" i="74"/>
  <c r="R211" i="74" s="1"/>
  <c r="P192" i="74"/>
  <c r="N374" i="74"/>
  <c r="W420" i="74" s="1"/>
  <c r="P577" i="74"/>
  <c r="S649" i="74"/>
  <c r="O722" i="74"/>
  <c r="S722" i="74"/>
  <c r="Q52" i="74"/>
  <c r="Q53" i="74" s="1"/>
  <c r="Q54" i="74" s="1"/>
  <c r="Q55" i="74" s="1"/>
  <c r="Q56" i="74" s="1"/>
  <c r="S186" i="74"/>
  <c r="Q187" i="74"/>
  <c r="Q209" i="74" s="1"/>
  <c r="P188" i="74"/>
  <c r="P210" i="74" s="1"/>
  <c r="V189" i="74"/>
  <c r="T192" i="74"/>
  <c r="T214" i="74" s="1"/>
  <c r="N372" i="74"/>
  <c r="N384" i="74"/>
  <c r="N389" i="74" s="1"/>
  <c r="Q577" i="74"/>
  <c r="R577" i="74"/>
  <c r="S699" i="74"/>
  <c r="H224" i="73"/>
  <c r="T186" i="74"/>
  <c r="R187" i="74"/>
  <c r="R209" i="74" s="1"/>
  <c r="T188" i="74"/>
  <c r="T210" i="74" s="1"/>
  <c r="N382" i="74"/>
  <c r="N387" i="74" s="1"/>
  <c r="P746" i="74"/>
  <c r="P455" i="74"/>
  <c r="D373" i="73"/>
  <c r="P219" i="74"/>
  <c r="P220" i="74"/>
  <c r="P221" i="74"/>
  <c r="W450" i="74"/>
  <c r="W449" i="74"/>
  <c r="W448" i="74"/>
  <c r="W447" i="74"/>
  <c r="W445" i="74"/>
  <c r="W444" i="74"/>
  <c r="W443" i="74"/>
  <c r="W442" i="74"/>
  <c r="D335" i="73"/>
  <c r="D340" i="73" s="1"/>
  <c r="D339" i="73"/>
  <c r="D311" i="73"/>
  <c r="D316" i="73" s="1"/>
  <c r="D315" i="73"/>
  <c r="M496" i="74"/>
  <c r="M348" i="74"/>
  <c r="M349" i="74" s="1"/>
  <c r="M350" i="74" s="1"/>
  <c r="O220" i="74"/>
  <c r="O221" i="74"/>
  <c r="F311" i="73"/>
  <c r="F316" i="73" s="1"/>
  <c r="F321" i="73"/>
  <c r="F345" i="73"/>
  <c r="M100" i="74"/>
  <c r="O166" i="74" s="1"/>
  <c r="O197" i="74" s="1"/>
  <c r="O219" i="74" s="1"/>
  <c r="P193" i="74"/>
  <c r="T193" i="74"/>
  <c r="CN893" i="74"/>
  <c r="CJ893" i="74"/>
  <c r="CF893" i="74"/>
  <c r="CB893" i="74"/>
  <c r="BX893" i="74"/>
  <c r="BT893" i="74"/>
  <c r="BP893" i="74"/>
  <c r="BL893" i="74"/>
  <c r="BH893" i="74"/>
  <c r="BD893" i="74"/>
  <c r="AZ893" i="74"/>
  <c r="AV893" i="74"/>
  <c r="AR893" i="74"/>
  <c r="AN893" i="74"/>
  <c r="AJ893" i="74"/>
  <c r="AF893" i="74"/>
  <c r="AB893" i="74"/>
  <c r="X893" i="74"/>
  <c r="CM893" i="74"/>
  <c r="CI893" i="74"/>
  <c r="CE893" i="74"/>
  <c r="CA893" i="74"/>
  <c r="BW893" i="74"/>
  <c r="BS893" i="74"/>
  <c r="BO893" i="74"/>
  <c r="BK893" i="74"/>
  <c r="BG893" i="74"/>
  <c r="BC893" i="74"/>
  <c r="AY893" i="74"/>
  <c r="AU893" i="74"/>
  <c r="AQ893" i="74"/>
  <c r="AM893" i="74"/>
  <c r="AI893" i="74"/>
  <c r="AE893" i="74"/>
  <c r="AA893" i="74"/>
  <c r="W893" i="74"/>
  <c r="CG893" i="74"/>
  <c r="BY893" i="74"/>
  <c r="BQ893" i="74"/>
  <c r="BI893" i="74"/>
  <c r="BA893" i="74"/>
  <c r="AS893" i="74"/>
  <c r="AK893" i="74"/>
  <c r="AC893" i="74"/>
  <c r="U893" i="74"/>
  <c r="CL893" i="74"/>
  <c r="CD893" i="74"/>
  <c r="BV893" i="74"/>
  <c r="BN893" i="74"/>
  <c r="BF893" i="74"/>
  <c r="AX893" i="74"/>
  <c r="AP893" i="74"/>
  <c r="AH893" i="74"/>
  <c r="Z893" i="74"/>
  <c r="CK893" i="74"/>
  <c r="CC893" i="74"/>
  <c r="BU893" i="74"/>
  <c r="BM893" i="74"/>
  <c r="BE893" i="74"/>
  <c r="AW893" i="74"/>
  <c r="AO893" i="74"/>
  <c r="AG893" i="74"/>
  <c r="Y893" i="74"/>
  <c r="CH893" i="74"/>
  <c r="BZ893" i="74"/>
  <c r="BR893" i="74"/>
  <c r="BJ893" i="74"/>
  <c r="BB893" i="74"/>
  <c r="AT893" i="74"/>
  <c r="AL893" i="74"/>
  <c r="AD893" i="74"/>
  <c r="V893" i="74"/>
  <c r="N392" i="74"/>
  <c r="N394" i="74"/>
  <c r="N398" i="74"/>
  <c r="N403" i="74" s="1"/>
  <c r="N400" i="74"/>
  <c r="N405" i="74" s="1"/>
  <c r="N408" i="74"/>
  <c r="N410" i="74"/>
  <c r="T420" i="74"/>
  <c r="X420" i="74"/>
  <c r="P436" i="74"/>
  <c r="T436" i="74"/>
  <c r="X436" i="74"/>
  <c r="P439" i="74"/>
  <c r="T439" i="74"/>
  <c r="X439" i="74"/>
  <c r="P440" i="74"/>
  <c r="T440" i="74"/>
  <c r="X440" i="74"/>
  <c r="M475" i="74"/>
  <c r="H225" i="73"/>
  <c r="H361" i="73"/>
  <c r="H362" i="73" s="1"/>
  <c r="H363" i="73" s="1"/>
  <c r="F368" i="73"/>
  <c r="F373" i="73" s="1"/>
  <c r="F392" i="73"/>
  <c r="F397" i="73" s="1"/>
  <c r="N45" i="74"/>
  <c r="R57" i="74"/>
  <c r="S58" i="74"/>
  <c r="M186" i="74"/>
  <c r="M208" i="74" s="1"/>
  <c r="Q186" i="74"/>
  <c r="Q208" i="74" s="1"/>
  <c r="U186" i="74"/>
  <c r="O187" i="74"/>
  <c r="O209" i="74" s="1"/>
  <c r="S187" i="74"/>
  <c r="M188" i="74"/>
  <c r="M210" i="74" s="1"/>
  <c r="Q188" i="74"/>
  <c r="Q210" i="74" s="1"/>
  <c r="U188" i="74"/>
  <c r="O189" i="74"/>
  <c r="O211" i="74" s="1"/>
  <c r="S189" i="74"/>
  <c r="M192" i="74"/>
  <c r="M214" i="74" s="1"/>
  <c r="Q192" i="74"/>
  <c r="Q214" i="74" s="1"/>
  <c r="M193" i="74"/>
  <c r="M215" i="74" s="1"/>
  <c r="Q193" i="74"/>
  <c r="Q215" i="74" s="1"/>
  <c r="CM917" i="74"/>
  <c r="CI917" i="74"/>
  <c r="CE917" i="74"/>
  <c r="CA917" i="74"/>
  <c r="BW917" i="74"/>
  <c r="BS917" i="74"/>
  <c r="BO917" i="74"/>
  <c r="BK917" i="74"/>
  <c r="BG917" i="74"/>
  <c r="BC917" i="74"/>
  <c r="AY917" i="74"/>
  <c r="AU917" i="74"/>
  <c r="AQ917" i="74"/>
  <c r="AM917" i="74"/>
  <c r="AI917" i="74"/>
  <c r="AE917" i="74"/>
  <c r="AA917" i="74"/>
  <c r="W917" i="74"/>
  <c r="CL917" i="74"/>
  <c r="CH917" i="74"/>
  <c r="CD917" i="74"/>
  <c r="BZ917" i="74"/>
  <c r="BV917" i="74"/>
  <c r="BR917" i="74"/>
  <c r="BN917" i="74"/>
  <c r="BJ917" i="74"/>
  <c r="BF917" i="74"/>
  <c r="BB917" i="74"/>
  <c r="AX917" i="74"/>
  <c r="AT917" i="74"/>
  <c r="AP917" i="74"/>
  <c r="AL917" i="74"/>
  <c r="AH917" i="74"/>
  <c r="AD917" i="74"/>
  <c r="CK917" i="74"/>
  <c r="CC917" i="74"/>
  <c r="BU917" i="74"/>
  <c r="BM917" i="74"/>
  <c r="BE917" i="74"/>
  <c r="AW917" i="74"/>
  <c r="AO917" i="74"/>
  <c r="AG917" i="74"/>
  <c r="Z917" i="74"/>
  <c r="U917" i="74"/>
  <c r="CJ917" i="74"/>
  <c r="CB917" i="74"/>
  <c r="BT917" i="74"/>
  <c r="BL917" i="74"/>
  <c r="BD917" i="74"/>
  <c r="AV917" i="74"/>
  <c r="AN917" i="74"/>
  <c r="AF917" i="74"/>
  <c r="Y917" i="74"/>
  <c r="CG917" i="74"/>
  <c r="BY917" i="74"/>
  <c r="BQ917" i="74"/>
  <c r="BI917" i="74"/>
  <c r="BA917" i="74"/>
  <c r="AS917" i="74"/>
  <c r="AK917" i="74"/>
  <c r="AC917" i="74"/>
  <c r="X917" i="74"/>
  <c r="CN917" i="74"/>
  <c r="CF917" i="74"/>
  <c r="BX917" i="74"/>
  <c r="BP917" i="74"/>
  <c r="BH917" i="74"/>
  <c r="AZ917" i="74"/>
  <c r="AR917" i="74"/>
  <c r="AJ917" i="74"/>
  <c r="AB917" i="74"/>
  <c r="V917" i="74"/>
  <c r="Q420" i="74"/>
  <c r="U420" i="74"/>
  <c r="Y420" i="74"/>
  <c r="Q436" i="74"/>
  <c r="U436" i="74"/>
  <c r="Y436" i="74"/>
  <c r="Q439" i="74"/>
  <c r="U439" i="74"/>
  <c r="Y439" i="74"/>
  <c r="Q440" i="74"/>
  <c r="U440" i="74"/>
  <c r="Y440" i="74"/>
  <c r="O459" i="74"/>
  <c r="N459" i="74" s="1"/>
  <c r="F312" i="73"/>
  <c r="F317" i="73" s="1"/>
  <c r="F334" i="73"/>
  <c r="F339" i="73" s="1"/>
  <c r="H368" i="73"/>
  <c r="H369" i="73" s="1"/>
  <c r="H370" i="73" s="1"/>
  <c r="H371" i="73" s="1"/>
  <c r="H387" i="73"/>
  <c r="H388" i="73" s="1"/>
  <c r="H389" i="73" s="1"/>
  <c r="H390" i="73" s="1"/>
  <c r="H392" i="73" s="1"/>
  <c r="H393" i="73" s="1"/>
  <c r="H394" i="73" s="1"/>
  <c r="H395" i="73" s="1"/>
  <c r="N186" i="74"/>
  <c r="N208" i="74" s="1"/>
  <c r="R186" i="74"/>
  <c r="R208" i="74" s="1"/>
  <c r="V186" i="74"/>
  <c r="P187" i="74"/>
  <c r="P209" i="74" s="1"/>
  <c r="T187" i="74"/>
  <c r="N188" i="74"/>
  <c r="N210" i="74" s="1"/>
  <c r="R188" i="74"/>
  <c r="R210" i="74" s="1"/>
  <c r="V188" i="74"/>
  <c r="V210" i="74" s="1"/>
  <c r="P189" i="74"/>
  <c r="T189" i="74"/>
  <c r="N192" i="74"/>
  <c r="N214" i="74" s="1"/>
  <c r="R192" i="74"/>
  <c r="R214" i="74" s="1"/>
  <c r="N193" i="74"/>
  <c r="N215" i="74" s="1"/>
  <c r="R193" i="74"/>
  <c r="R215" i="74" s="1"/>
  <c r="N203" i="74"/>
  <c r="O217" i="74" s="1"/>
  <c r="N373" i="74"/>
  <c r="N375" i="74"/>
  <c r="N381" i="74"/>
  <c r="N386" i="74" s="1"/>
  <c r="N383" i="74"/>
  <c r="N388" i="74" s="1"/>
  <c r="N391" i="74"/>
  <c r="N393" i="74"/>
  <c r="N397" i="74"/>
  <c r="N402" i="74" s="1"/>
  <c r="N399" i="74"/>
  <c r="N404" i="74" s="1"/>
  <c r="N407" i="74"/>
  <c r="N420" i="74"/>
  <c r="R420" i="74"/>
  <c r="V420" i="74"/>
  <c r="N436" i="74"/>
  <c r="R436" i="74"/>
  <c r="V436" i="74"/>
  <c r="N439" i="74"/>
  <c r="R439" i="74"/>
  <c r="V439" i="74"/>
  <c r="N440" i="74"/>
  <c r="R440" i="74"/>
  <c r="V440" i="74"/>
  <c r="O460" i="74"/>
  <c r="D369" i="73"/>
  <c r="D374" i="73" s="1"/>
  <c r="F379" i="73"/>
  <c r="C50" i="75"/>
  <c r="O52" i="74"/>
  <c r="O53" i="74" s="1"/>
  <c r="O54" i="74" s="1"/>
  <c r="O55" i="74" s="1"/>
  <c r="O56" i="74" s="1"/>
  <c r="O188" i="74"/>
  <c r="O210" i="74" s="1"/>
  <c r="S188" i="74"/>
  <c r="S210" i="74" s="1"/>
  <c r="M189" i="74"/>
  <c r="M211" i="74" s="1"/>
  <c r="Q189" i="74"/>
  <c r="Q211" i="74" s="1"/>
  <c r="U189" i="74"/>
  <c r="O192" i="74"/>
  <c r="S192" i="74"/>
  <c r="S214" i="74" s="1"/>
  <c r="O193" i="74"/>
  <c r="O215" i="74" s="1"/>
  <c r="O420" i="74"/>
  <c r="S420" i="74"/>
  <c r="O436" i="74"/>
  <c r="S436" i="74"/>
  <c r="O439" i="74"/>
  <c r="S439" i="74"/>
  <c r="O440" i="74"/>
  <c r="S440" i="74"/>
  <c r="O673" i="74"/>
  <c r="S673" i="74"/>
  <c r="O1018" i="74"/>
  <c r="O1016" i="74"/>
  <c r="O1019" i="74"/>
  <c r="O1017" i="74"/>
  <c r="S1018" i="74"/>
  <c r="S1016" i="74"/>
  <c r="S1019" i="74"/>
  <c r="S1017" i="74"/>
  <c r="Q1015" i="74"/>
  <c r="Q1014" i="74"/>
  <c r="P1018" i="74"/>
  <c r="P1016" i="74"/>
  <c r="P1019" i="74"/>
  <c r="P1017" i="74"/>
  <c r="N1015" i="74"/>
  <c r="N1014" i="74"/>
  <c r="R1015" i="74"/>
  <c r="R1014" i="74"/>
  <c r="Q1019" i="74"/>
  <c r="Q1017" i="74"/>
  <c r="Q1018" i="74"/>
  <c r="Q1016" i="74"/>
  <c r="O1014" i="74"/>
  <c r="O1015" i="74"/>
  <c r="S1014" i="74"/>
  <c r="S1015" i="74"/>
  <c r="N1019" i="74"/>
  <c r="N1017" i="74"/>
  <c r="N1018" i="74"/>
  <c r="N1016" i="74"/>
  <c r="R1019" i="74"/>
  <c r="R1017" i="74"/>
  <c r="R1018" i="74"/>
  <c r="R1016" i="74"/>
  <c r="P1014" i="74"/>
  <c r="P1015" i="74"/>
  <c r="N468" i="74" l="1"/>
  <c r="D393" i="73"/>
  <c r="D398" i="73" s="1"/>
  <c r="H118" i="73"/>
  <c r="U211" i="74"/>
  <c r="S209" i="74"/>
  <c r="P420" i="74"/>
  <c r="P211" i="74"/>
  <c r="T209" i="74"/>
  <c r="U210" i="74"/>
  <c r="V450" i="74"/>
  <c r="V449" i="74"/>
  <c r="V448" i="74"/>
  <c r="V447" i="74"/>
  <c r="V445" i="74"/>
  <c r="V444" i="74"/>
  <c r="V443" i="74"/>
  <c r="V442" i="74"/>
  <c r="V208" i="74"/>
  <c r="R917" i="74"/>
  <c r="N917" i="74"/>
  <c r="O214" i="74"/>
  <c r="N460" i="74"/>
  <c r="O463" i="74" s="1"/>
  <c r="R450" i="74"/>
  <c r="R449" i="74"/>
  <c r="R448" i="74"/>
  <c r="R447" i="74"/>
  <c r="R445" i="74"/>
  <c r="R444" i="74"/>
  <c r="R443" i="74"/>
  <c r="R442" i="74"/>
  <c r="W416" i="74"/>
  <c r="S416" i="74"/>
  <c r="O416" i="74"/>
  <c r="V416" i="74"/>
  <c r="R416" i="74"/>
  <c r="N416" i="74"/>
  <c r="Y416" i="74"/>
  <c r="U416" i="74"/>
  <c r="Q416" i="74"/>
  <c r="X416" i="74"/>
  <c r="T416" i="74"/>
  <c r="P416" i="74"/>
  <c r="T211" i="74"/>
  <c r="P917" i="74"/>
  <c r="Q917" i="74"/>
  <c r="S211" i="74"/>
  <c r="X450" i="74"/>
  <c r="X449" i="74"/>
  <c r="X448" i="74"/>
  <c r="X447" i="74"/>
  <c r="X445" i="74"/>
  <c r="X444" i="74"/>
  <c r="X443" i="74"/>
  <c r="X442" i="74"/>
  <c r="S893" i="74"/>
  <c r="F393" i="73"/>
  <c r="F335" i="73"/>
  <c r="F340" i="73" s="1"/>
  <c r="P212" i="74"/>
  <c r="O213" i="74"/>
  <c r="P217" i="74"/>
  <c r="Q213" i="74"/>
  <c r="S215" i="74"/>
  <c r="D312" i="73"/>
  <c r="D317" i="73" s="1"/>
  <c r="U209" i="74"/>
  <c r="D336" i="73"/>
  <c r="D341" i="73" s="1"/>
  <c r="H131" i="73"/>
  <c r="H130" i="73"/>
  <c r="H119" i="73"/>
  <c r="H120" i="73" s="1"/>
  <c r="H121" i="73" s="1"/>
  <c r="H134" i="73"/>
  <c r="H129" i="73"/>
  <c r="H132" i="73"/>
  <c r="Q218" i="74"/>
  <c r="N450" i="74"/>
  <c r="N449" i="74"/>
  <c r="N448" i="74"/>
  <c r="N447" i="74"/>
  <c r="N445" i="74"/>
  <c r="N444" i="74"/>
  <c r="N443" i="74"/>
  <c r="N442" i="74"/>
  <c r="W419" i="74"/>
  <c r="S419" i="74"/>
  <c r="O419" i="74"/>
  <c r="V419" i="74"/>
  <c r="R419" i="74"/>
  <c r="N419" i="74"/>
  <c r="Y419" i="74"/>
  <c r="U419" i="74"/>
  <c r="Q419" i="74"/>
  <c r="X419" i="74"/>
  <c r="T419" i="74"/>
  <c r="P419" i="74"/>
  <c r="Y450" i="74"/>
  <c r="Y449" i="74"/>
  <c r="Y448" i="74"/>
  <c r="Y447" i="74"/>
  <c r="Y445" i="74"/>
  <c r="Y444" i="74"/>
  <c r="Y443" i="74"/>
  <c r="Y442" i="74"/>
  <c r="O917" i="74"/>
  <c r="T450" i="74"/>
  <c r="T449" i="74"/>
  <c r="T448" i="74"/>
  <c r="T447" i="74"/>
  <c r="T445" i="74"/>
  <c r="T444" i="74"/>
  <c r="T443" i="74"/>
  <c r="T442" i="74"/>
  <c r="Q893" i="74"/>
  <c r="R893" i="74"/>
  <c r="F369" i="73"/>
  <c r="V211" i="74"/>
  <c r="W216" i="74"/>
  <c r="O212" i="74"/>
  <c r="P218" i="74"/>
  <c r="N377" i="74"/>
  <c r="N378" i="74" s="1"/>
  <c r="O218" i="74"/>
  <c r="T208" i="74"/>
  <c r="S450" i="74"/>
  <c r="S449" i="74"/>
  <c r="S448" i="74"/>
  <c r="S447" i="74"/>
  <c r="S445" i="74"/>
  <c r="S444" i="74"/>
  <c r="S443" i="74"/>
  <c r="S442" i="74"/>
  <c r="W462" i="74"/>
  <c r="W465" i="74" s="1"/>
  <c r="S462" i="74"/>
  <c r="S465" i="74" s="1"/>
  <c r="O462" i="74"/>
  <c r="Z462" i="74"/>
  <c r="Z465" i="74" s="1"/>
  <c r="V462" i="74"/>
  <c r="V465" i="74" s="1"/>
  <c r="R462" i="74"/>
  <c r="R465" i="74" s="1"/>
  <c r="N226" i="74"/>
  <c r="Y462" i="74"/>
  <c r="Y465" i="74" s="1"/>
  <c r="U462" i="74"/>
  <c r="U465" i="74" s="1"/>
  <c r="Q462" i="74"/>
  <c r="Q465" i="74" s="1"/>
  <c r="X462" i="74"/>
  <c r="X465" i="74" s="1"/>
  <c r="T462" i="74"/>
  <c r="T465" i="74" s="1"/>
  <c r="P462" i="74"/>
  <c r="P465" i="74" s="1"/>
  <c r="U450" i="74"/>
  <c r="U449" i="74"/>
  <c r="U448" i="74"/>
  <c r="U447" i="74"/>
  <c r="U445" i="74"/>
  <c r="U444" i="74"/>
  <c r="U443" i="74"/>
  <c r="U442" i="74"/>
  <c r="P450" i="74"/>
  <c r="P449" i="74"/>
  <c r="P448" i="74"/>
  <c r="P447" i="74"/>
  <c r="P445" i="74"/>
  <c r="P444" i="74"/>
  <c r="P443" i="74"/>
  <c r="P442" i="74"/>
  <c r="O893" i="74"/>
  <c r="P893" i="74"/>
  <c r="T215" i="74"/>
  <c r="F313" i="73"/>
  <c r="F318" i="73" s="1"/>
  <c r="F322" i="73" s="1"/>
  <c r="Q217" i="74"/>
  <c r="S208" i="74"/>
  <c r="O216" i="74"/>
  <c r="V209" i="74"/>
  <c r="W217" i="74"/>
  <c r="P213" i="74"/>
  <c r="D370" i="73"/>
  <c r="D375" i="73" s="1"/>
  <c r="O450" i="74"/>
  <c r="O449" i="74"/>
  <c r="O448" i="74"/>
  <c r="O447" i="74"/>
  <c r="O445" i="74"/>
  <c r="O444" i="74"/>
  <c r="O443" i="74"/>
  <c r="O442" i="74"/>
  <c r="Q450" i="74"/>
  <c r="Q449" i="74"/>
  <c r="Q448" i="74"/>
  <c r="Q447" i="74"/>
  <c r="Q445" i="74"/>
  <c r="Q444" i="74"/>
  <c r="Q443" i="74"/>
  <c r="Q442" i="74"/>
  <c r="S917" i="74"/>
  <c r="U208" i="74"/>
  <c r="N893" i="74"/>
  <c r="P215" i="74"/>
  <c r="P216" i="74"/>
  <c r="W218" i="74"/>
  <c r="M738" i="74"/>
  <c r="M739" i="74"/>
  <c r="M737" i="74"/>
  <c r="M715" i="74"/>
  <c r="M710" i="74"/>
  <c r="M691" i="74"/>
  <c r="M712" i="74"/>
  <c r="M692" i="74"/>
  <c r="M687" i="74"/>
  <c r="M734" i="74"/>
  <c r="M713" i="74"/>
  <c r="M689" i="74"/>
  <c r="M736" i="74"/>
  <c r="M714" i="74"/>
  <c r="M690" i="74"/>
  <c r="M497" i="74"/>
  <c r="M498" i="74" s="1"/>
  <c r="P214" i="74"/>
  <c r="P208" i="74"/>
  <c r="D394" i="73"/>
  <c r="D337" i="73"/>
  <c r="D342" i="73" s="1"/>
  <c r="S256" i="74"/>
  <c r="O256" i="74"/>
  <c r="R256" i="74"/>
  <c r="Q256" i="74"/>
  <c r="P256" i="74"/>
  <c r="D346" i="73" l="1"/>
  <c r="D313" i="73"/>
  <c r="D318" i="73" s="1"/>
  <c r="D322" i="73" s="1"/>
  <c r="D323" i="73" s="1"/>
  <c r="D324" i="73" s="1"/>
  <c r="P248" i="74"/>
  <c r="P265" i="74" s="1"/>
  <c r="P361" i="74" s="1"/>
  <c r="BA479" i="74" s="1"/>
  <c r="R246" i="74"/>
  <c r="R263" i="74" s="1"/>
  <c r="R342" i="74" s="1"/>
  <c r="BZ476" i="74" s="1"/>
  <c r="Q246" i="74"/>
  <c r="Q263" i="74" s="1"/>
  <c r="Q342" i="74" s="1"/>
  <c r="BK476" i="74" s="1"/>
  <c r="Q248" i="74"/>
  <c r="Q265" i="74" s="1"/>
  <c r="Q361" i="74" s="1"/>
  <c r="BP479" i="74" s="1"/>
  <c r="F323" i="73"/>
  <c r="F324" i="73" s="1"/>
  <c r="D347" i="73"/>
  <c r="D348" i="73" s="1"/>
  <c r="AZ479" i="74"/>
  <c r="AY479" i="74"/>
  <c r="AU479" i="74"/>
  <c r="Q430" i="74"/>
  <c r="Q429" i="74"/>
  <c r="Q428" i="74"/>
  <c r="Q427" i="74"/>
  <c r="Q425" i="74"/>
  <c r="Q424" i="74"/>
  <c r="Q423" i="74"/>
  <c r="Q422" i="74"/>
  <c r="R430" i="74"/>
  <c r="R429" i="74"/>
  <c r="R428" i="74"/>
  <c r="R427" i="74"/>
  <c r="R425" i="74"/>
  <c r="R424" i="74"/>
  <c r="R423" i="74"/>
  <c r="R422" i="74"/>
  <c r="W430" i="74"/>
  <c r="W429" i="74"/>
  <c r="W428" i="74"/>
  <c r="W427" i="74"/>
  <c r="W425" i="74"/>
  <c r="W424" i="74"/>
  <c r="W423" i="74"/>
  <c r="W422" i="74"/>
  <c r="R273" i="74"/>
  <c r="R296" i="74" s="1"/>
  <c r="R363" i="74" s="1"/>
  <c r="R257" i="74"/>
  <c r="R274" i="74" s="1"/>
  <c r="R297" i="74" s="1"/>
  <c r="R364" i="74" s="1"/>
  <c r="D399" i="73"/>
  <c r="D395" i="73"/>
  <c r="D400" i="73" s="1"/>
  <c r="S251" i="74"/>
  <c r="S268" i="74" s="1"/>
  <c r="S279" i="74" s="1"/>
  <c r="O251" i="74"/>
  <c r="R251" i="74"/>
  <c r="R268" i="74" s="1"/>
  <c r="R279" i="74" s="1"/>
  <c r="Q251" i="74"/>
  <c r="Q268" i="74" s="1"/>
  <c r="Q279" i="74" s="1"/>
  <c r="P251" i="74"/>
  <c r="P268" i="74" s="1"/>
  <c r="P279" i="74" s="1"/>
  <c r="P120" i="74"/>
  <c r="N233" i="74"/>
  <c r="N235" i="74" s="1"/>
  <c r="N238" i="74" s="1"/>
  <c r="O254" i="74" s="1"/>
  <c r="N462" i="74"/>
  <c r="O465" i="74"/>
  <c r="N465" i="74" s="1"/>
  <c r="O246" i="74"/>
  <c r="R248" i="74"/>
  <c r="R265" i="74" s="1"/>
  <c r="R361" i="74" s="1"/>
  <c r="F398" i="73"/>
  <c r="F394" i="73"/>
  <c r="F399" i="73" s="1"/>
  <c r="P430" i="74"/>
  <c r="P429" i="74"/>
  <c r="P428" i="74"/>
  <c r="P427" i="74"/>
  <c r="P425" i="74"/>
  <c r="P424" i="74"/>
  <c r="P423" i="74"/>
  <c r="P422" i="74"/>
  <c r="U430" i="74"/>
  <c r="U429" i="74"/>
  <c r="U428" i="74"/>
  <c r="U427" i="74"/>
  <c r="U425" i="74"/>
  <c r="U424" i="74"/>
  <c r="U423" i="74"/>
  <c r="U422" i="74"/>
  <c r="V430" i="74"/>
  <c r="V429" i="74"/>
  <c r="V428" i="74"/>
  <c r="V427" i="74"/>
  <c r="V425" i="74"/>
  <c r="V424" i="74"/>
  <c r="V423" i="74"/>
  <c r="V422" i="74"/>
  <c r="O466" i="74"/>
  <c r="Q273" i="74"/>
  <c r="Q296" i="74" s="1"/>
  <c r="Q363" i="74" s="1"/>
  <c r="Q257" i="74"/>
  <c r="Q274" i="74" s="1"/>
  <c r="Q297" i="74" s="1"/>
  <c r="Q364" i="74" s="1"/>
  <c r="P245" i="74"/>
  <c r="P262" i="74" s="1"/>
  <c r="S245" i="74"/>
  <c r="S262" i="74" s="1"/>
  <c r="O245" i="74"/>
  <c r="R245" i="74"/>
  <c r="R262" i="74" s="1"/>
  <c r="Q245" i="74"/>
  <c r="Q262" i="74" s="1"/>
  <c r="BO476" i="74"/>
  <c r="BN476" i="74"/>
  <c r="BJ476" i="74"/>
  <c r="BI476" i="74"/>
  <c r="BH476" i="74"/>
  <c r="N256" i="74"/>
  <c r="N273" i="74" s="1"/>
  <c r="N296" i="74" s="1"/>
  <c r="N363" i="74" s="1"/>
  <c r="O273" i="74"/>
  <c r="O296" i="74" s="1"/>
  <c r="O363" i="74" s="1"/>
  <c r="O257" i="74"/>
  <c r="R250" i="74"/>
  <c r="R267" i="74" s="1"/>
  <c r="Q250" i="74"/>
  <c r="Q267" i="74" s="1"/>
  <c r="P250" i="74"/>
  <c r="P267" i="74" s="1"/>
  <c r="S250" i="74"/>
  <c r="S267" i="74" s="1"/>
  <c r="O250" i="74"/>
  <c r="S246" i="74"/>
  <c r="S263" i="74" s="1"/>
  <c r="S342" i="74" s="1"/>
  <c r="D371" i="73"/>
  <c r="D376" i="73" s="1"/>
  <c r="D380" i="73" s="1"/>
  <c r="O248" i="74"/>
  <c r="T430" i="74"/>
  <c r="T429" i="74"/>
  <c r="T428" i="74"/>
  <c r="T427" i="74"/>
  <c r="T425" i="74"/>
  <c r="T424" i="74"/>
  <c r="T423" i="74"/>
  <c r="T422" i="74"/>
  <c r="Y430" i="74"/>
  <c r="Y429" i="74"/>
  <c r="Y428" i="74"/>
  <c r="Y427" i="74"/>
  <c r="Y425" i="74"/>
  <c r="Y424" i="74"/>
  <c r="Y423" i="74"/>
  <c r="Y422" i="74"/>
  <c r="O430" i="74"/>
  <c r="O429" i="74"/>
  <c r="O428" i="74"/>
  <c r="O427" i="74"/>
  <c r="O425" i="74"/>
  <c r="O424" i="74"/>
  <c r="O423" i="74"/>
  <c r="O422" i="74"/>
  <c r="N227" i="74"/>
  <c r="T463" i="74"/>
  <c r="T466" i="74" s="1"/>
  <c r="U463" i="74"/>
  <c r="U466" i="74" s="1"/>
  <c r="R463" i="74"/>
  <c r="R466" i="74" s="1"/>
  <c r="S463" i="74"/>
  <c r="S466" i="74" s="1"/>
  <c r="Y463" i="74"/>
  <c r="Y466" i="74" s="1"/>
  <c r="V463" i="74"/>
  <c r="V466" i="74" s="1"/>
  <c r="W463" i="74"/>
  <c r="W466" i="74" s="1"/>
  <c r="X463" i="74"/>
  <c r="X466" i="74" s="1"/>
  <c r="Z463" i="74"/>
  <c r="Z466" i="74" s="1"/>
  <c r="Q463" i="74"/>
  <c r="Q466" i="74" s="1"/>
  <c r="P463" i="74"/>
  <c r="P466" i="74" s="1"/>
  <c r="N469" i="74"/>
  <c r="P273" i="74"/>
  <c r="P296" i="74" s="1"/>
  <c r="P363" i="74" s="1"/>
  <c r="P257" i="74"/>
  <c r="P274" i="74" s="1"/>
  <c r="P297" i="74" s="1"/>
  <c r="P364" i="74" s="1"/>
  <c r="S273" i="74"/>
  <c r="S296" i="74" s="1"/>
  <c r="S363" i="74" s="1"/>
  <c r="S257" i="74"/>
  <c r="S274" i="74" s="1"/>
  <c r="S297" i="74" s="1"/>
  <c r="S364" i="74" s="1"/>
  <c r="F336" i="73"/>
  <c r="P246" i="74"/>
  <c r="P263" i="74" s="1"/>
  <c r="P342" i="74" s="1"/>
  <c r="F374" i="73"/>
  <c r="F370" i="73"/>
  <c r="F375" i="73" s="1"/>
  <c r="F371" i="73"/>
  <c r="F376" i="73" s="1"/>
  <c r="S248" i="74"/>
  <c r="S265" i="74" s="1"/>
  <c r="S361" i="74" s="1"/>
  <c r="Q249" i="74"/>
  <c r="Q266" i="74" s="1"/>
  <c r="Q288" i="74" s="1"/>
  <c r="P249" i="74"/>
  <c r="P266" i="74" s="1"/>
  <c r="P288" i="74" s="1"/>
  <c r="S249" i="74"/>
  <c r="S266" i="74" s="1"/>
  <c r="S288" i="74" s="1"/>
  <c r="O249" i="74"/>
  <c r="R249" i="74"/>
  <c r="R266" i="74" s="1"/>
  <c r="R288" i="74" s="1"/>
  <c r="X430" i="74"/>
  <c r="X429" i="74"/>
  <c r="X428" i="74"/>
  <c r="X427" i="74"/>
  <c r="X425" i="74"/>
  <c r="X424" i="74"/>
  <c r="X423" i="74"/>
  <c r="X422" i="74"/>
  <c r="N430" i="74"/>
  <c r="N429" i="74"/>
  <c r="N428" i="74"/>
  <c r="N427" i="74"/>
  <c r="N425" i="74"/>
  <c r="N424" i="74"/>
  <c r="N423" i="74"/>
  <c r="N422" i="74"/>
  <c r="S430" i="74"/>
  <c r="S429" i="74"/>
  <c r="S428" i="74"/>
  <c r="S427" i="74"/>
  <c r="S425" i="74"/>
  <c r="S424" i="74"/>
  <c r="S423" i="74"/>
  <c r="S422" i="74"/>
  <c r="BD479" i="74" l="1"/>
  <c r="AT479" i="74"/>
  <c r="Q255" i="74"/>
  <c r="Q272" i="74" s="1"/>
  <c r="Q293" i="74" s="1"/>
  <c r="BX476" i="74"/>
  <c r="BV476" i="74"/>
  <c r="AX479" i="74"/>
  <c r="BC479" i="74"/>
  <c r="AW479" i="74"/>
  <c r="BW476" i="74"/>
  <c r="BE476" i="74"/>
  <c r="BB479" i="74"/>
  <c r="AV479" i="74"/>
  <c r="CA476" i="74"/>
  <c r="D404" i="73"/>
  <c r="BO479" i="74"/>
  <c r="BJ479" i="74"/>
  <c r="BI479" i="74"/>
  <c r="CB476" i="74"/>
  <c r="BN479" i="74"/>
  <c r="BM479" i="74"/>
  <c r="O253" i="74"/>
  <c r="BL476" i="74"/>
  <c r="Q476" i="74" s="1"/>
  <c r="BM476" i="74"/>
  <c r="BG476" i="74"/>
  <c r="BG479" i="74"/>
  <c r="BL479" i="74"/>
  <c r="BH479" i="74"/>
  <c r="R255" i="74"/>
  <c r="R272" i="74" s="1"/>
  <c r="R293" i="74" s="1"/>
  <c r="R359" i="74" s="1"/>
  <c r="P255" i="74"/>
  <c r="P272" i="74" s="1"/>
  <c r="P293" i="74" s="1"/>
  <c r="P359" i="74" s="1"/>
  <c r="S253" i="74"/>
  <c r="S270" i="74" s="1"/>
  <c r="S289" i="74" s="1"/>
  <c r="BP476" i="74"/>
  <c r="BF476" i="74"/>
  <c r="R254" i="74"/>
  <c r="R271" i="74" s="1"/>
  <c r="BF479" i="74"/>
  <c r="BK479" i="74"/>
  <c r="BR476" i="74"/>
  <c r="BT476" i="74"/>
  <c r="BY476" i="74"/>
  <c r="BS476" i="74"/>
  <c r="BU476" i="74"/>
  <c r="P253" i="74"/>
  <c r="P270" i="74" s="1"/>
  <c r="P289" i="74" s="1"/>
  <c r="O255" i="74"/>
  <c r="O272" i="74" s="1"/>
  <c r="O293" i="74" s="1"/>
  <c r="S255" i="74"/>
  <c r="S272" i="74" s="1"/>
  <c r="S293" i="74" s="1"/>
  <c r="R253" i="74"/>
  <c r="R270" i="74" s="1"/>
  <c r="R289" i="74" s="1"/>
  <c r="Q253" i="74"/>
  <c r="Q270" i="74" s="1"/>
  <c r="Q289" i="74" s="1"/>
  <c r="Q254" i="74"/>
  <c r="Q271" i="74" s="1"/>
  <c r="D381" i="73"/>
  <c r="D382" i="73"/>
  <c r="N254" i="74"/>
  <c r="N271" i="74" s="1"/>
  <c r="O271" i="74"/>
  <c r="P347" i="74"/>
  <c r="P353" i="74"/>
  <c r="Q347" i="74"/>
  <c r="Q353" i="74"/>
  <c r="O266" i="74"/>
  <c r="O288" i="74" s="1"/>
  <c r="N249" i="74"/>
  <c r="N266" i="74" s="1"/>
  <c r="N288" i="74" s="1"/>
  <c r="CK479" i="74"/>
  <c r="CG479" i="74"/>
  <c r="CC479" i="74"/>
  <c r="CN479" i="74"/>
  <c r="CJ479" i="74"/>
  <c r="CF479" i="74"/>
  <c r="CM479" i="74"/>
  <c r="CI479" i="74"/>
  <c r="CE479" i="74"/>
  <c r="CL479" i="74"/>
  <c r="CH479" i="74"/>
  <c r="CD479" i="74"/>
  <c r="R294" i="74"/>
  <c r="R360" i="74" s="1"/>
  <c r="Q359" i="74"/>
  <c r="Q294" i="74"/>
  <c r="Q360" i="74" s="1"/>
  <c r="CL510" i="74"/>
  <c r="CL905" i="74" s="1"/>
  <c r="CH510" i="74"/>
  <c r="CH905" i="74" s="1"/>
  <c r="CD510" i="74"/>
  <c r="CD905" i="74" s="1"/>
  <c r="CK510" i="74"/>
  <c r="CK905" i="74" s="1"/>
  <c r="CG510" i="74"/>
  <c r="CG905" i="74" s="1"/>
  <c r="CC510" i="74"/>
  <c r="CN510" i="74"/>
  <c r="CN905" i="74" s="1"/>
  <c r="CJ510" i="74"/>
  <c r="CJ905" i="74" s="1"/>
  <c r="CF510" i="74"/>
  <c r="CF905" i="74" s="1"/>
  <c r="CM510" i="74"/>
  <c r="CM905" i="74" s="1"/>
  <c r="CI510" i="74"/>
  <c r="CI905" i="74" s="1"/>
  <c r="CE510" i="74"/>
  <c r="CE905" i="74" s="1"/>
  <c r="AD481" i="74"/>
  <c r="BZ481" i="74"/>
  <c r="BN481" i="74"/>
  <c r="AP481" i="74"/>
  <c r="CL481" i="74"/>
  <c r="BB481" i="74"/>
  <c r="Y481" i="74"/>
  <c r="BU481" i="74"/>
  <c r="BI481" i="74"/>
  <c r="AK481" i="74"/>
  <c r="CG481" i="74"/>
  <c r="AW481" i="74"/>
  <c r="P252" i="74"/>
  <c r="S252" i="74"/>
  <c r="O252" i="74"/>
  <c r="N252" i="74" s="1"/>
  <c r="R252" i="74"/>
  <c r="Q252" i="74"/>
  <c r="N250" i="74"/>
  <c r="N267" i="74" s="1"/>
  <c r="O267" i="74"/>
  <c r="Q356" i="74"/>
  <c r="Q350" i="74"/>
  <c r="P356" i="74"/>
  <c r="P350" i="74"/>
  <c r="N463" i="74"/>
  <c r="P254" i="74"/>
  <c r="P271" i="74" s="1"/>
  <c r="S254" i="74"/>
  <c r="S271" i="74" s="1"/>
  <c r="Q335" i="74"/>
  <c r="Q280" i="74"/>
  <c r="S347" i="74"/>
  <c r="S353" i="74"/>
  <c r="BC476" i="74"/>
  <c r="AY476" i="74"/>
  <c r="AU476" i="74"/>
  <c r="BB476" i="74"/>
  <c r="AX476" i="74"/>
  <c r="AT476" i="74"/>
  <c r="BA476" i="74"/>
  <c r="AW476" i="74"/>
  <c r="AS476" i="74"/>
  <c r="BD476" i="74"/>
  <c r="AZ476" i="74"/>
  <c r="AV476" i="74"/>
  <c r="CK509" i="74"/>
  <c r="CK881" i="74" s="1"/>
  <c r="CG509" i="74"/>
  <c r="CG881" i="74" s="1"/>
  <c r="CC509" i="74"/>
  <c r="CN509" i="74"/>
  <c r="CN881" i="74" s="1"/>
  <c r="CJ509" i="74"/>
  <c r="CJ881" i="74" s="1"/>
  <c r="CF509" i="74"/>
  <c r="CF881" i="74" s="1"/>
  <c r="CM509" i="74"/>
  <c r="CM881" i="74" s="1"/>
  <c r="CI509" i="74"/>
  <c r="CI881" i="74" s="1"/>
  <c r="CE509" i="74"/>
  <c r="CE881" i="74" s="1"/>
  <c r="CL509" i="74"/>
  <c r="CL881" i="74" s="1"/>
  <c r="CH509" i="74"/>
  <c r="CH881" i="74" s="1"/>
  <c r="CD509" i="74"/>
  <c r="CD881" i="74" s="1"/>
  <c r="BF481" i="74"/>
  <c r="AH481" i="74"/>
  <c r="CD481" i="74"/>
  <c r="AT481" i="74"/>
  <c r="V481" i="74"/>
  <c r="BR481" i="74"/>
  <c r="AC481" i="74"/>
  <c r="BY481" i="74"/>
  <c r="BM481" i="74"/>
  <c r="AO481" i="74"/>
  <c r="CK481" i="74"/>
  <c r="BA481" i="74"/>
  <c r="X481" i="74"/>
  <c r="BT481" i="74"/>
  <c r="BH481" i="74"/>
  <c r="AJ481" i="74"/>
  <c r="CF481" i="74"/>
  <c r="AV481" i="74"/>
  <c r="O265" i="74"/>
  <c r="O361" i="74" s="1"/>
  <c r="N248" i="74"/>
  <c r="N265" i="74" s="1"/>
  <c r="N361" i="74" s="1"/>
  <c r="O274" i="74"/>
  <c r="O297" i="74" s="1"/>
  <c r="O364" i="74" s="1"/>
  <c r="N257" i="74"/>
  <c r="N274" i="74" s="1"/>
  <c r="N297" i="74" s="1"/>
  <c r="N364" i="74" s="1"/>
  <c r="R356" i="74"/>
  <c r="R350" i="74"/>
  <c r="BN510" i="74"/>
  <c r="BN905" i="74" s="1"/>
  <c r="BJ510" i="74"/>
  <c r="BJ905" i="74" s="1"/>
  <c r="BF510" i="74"/>
  <c r="BF905" i="74" s="1"/>
  <c r="BM510" i="74"/>
  <c r="BM905" i="74" s="1"/>
  <c r="BI510" i="74"/>
  <c r="BI905" i="74" s="1"/>
  <c r="BE510" i="74"/>
  <c r="BP510" i="74"/>
  <c r="BP905" i="74" s="1"/>
  <c r="BL510" i="74"/>
  <c r="BL905" i="74" s="1"/>
  <c r="BH510" i="74"/>
  <c r="BH905" i="74" s="1"/>
  <c r="BO510" i="74"/>
  <c r="BO905" i="74" s="1"/>
  <c r="BK510" i="74"/>
  <c r="BK905" i="74" s="1"/>
  <c r="BG510" i="74"/>
  <c r="BG905" i="74" s="1"/>
  <c r="BY479" i="74"/>
  <c r="BU479" i="74"/>
  <c r="BQ479" i="74"/>
  <c r="CB479" i="74"/>
  <c r="BX479" i="74"/>
  <c r="BT479" i="74"/>
  <c r="CA479" i="74"/>
  <c r="BW479" i="74"/>
  <c r="BS479" i="74"/>
  <c r="BZ479" i="74"/>
  <c r="BV479" i="74"/>
  <c r="BR479" i="74"/>
  <c r="R335" i="74"/>
  <c r="R280" i="74"/>
  <c r="D405" i="73"/>
  <c r="D406" i="73"/>
  <c r="BE479" i="74"/>
  <c r="Q479" i="74" s="1"/>
  <c r="AS479" i="74"/>
  <c r="BB510" i="74"/>
  <c r="BB905" i="74" s="1"/>
  <c r="AX510" i="74"/>
  <c r="AX905" i="74" s="1"/>
  <c r="AT510" i="74"/>
  <c r="AT905" i="74" s="1"/>
  <c r="BA510" i="74"/>
  <c r="BA905" i="74" s="1"/>
  <c r="AW510" i="74"/>
  <c r="AW905" i="74" s="1"/>
  <c r="AS510" i="74"/>
  <c r="BD510" i="74"/>
  <c r="BD905" i="74" s="1"/>
  <c r="AZ510" i="74"/>
  <c r="AZ905" i="74" s="1"/>
  <c r="AV510" i="74"/>
  <c r="AV905" i="74" s="1"/>
  <c r="BC510" i="74"/>
  <c r="BC905" i="74" s="1"/>
  <c r="AY510" i="74"/>
  <c r="AY905" i="74" s="1"/>
  <c r="AU510" i="74"/>
  <c r="AU905" i="74" s="1"/>
  <c r="W481" i="74"/>
  <c r="BS481" i="74"/>
  <c r="BG481" i="74"/>
  <c r="AI481" i="74"/>
  <c r="CE481" i="74"/>
  <c r="AU481" i="74"/>
  <c r="AB481" i="74"/>
  <c r="BX481" i="74"/>
  <c r="BL481" i="74"/>
  <c r="AN481" i="74"/>
  <c r="CJ481" i="74"/>
  <c r="AZ481" i="74"/>
  <c r="BK481" i="74"/>
  <c r="AM481" i="74"/>
  <c r="CI481" i="74"/>
  <c r="AY481" i="74"/>
  <c r="AA481" i="74"/>
  <c r="BW481" i="74"/>
  <c r="AO509" i="74"/>
  <c r="AO881" i="74" s="1"/>
  <c r="AK509" i="74"/>
  <c r="AK881" i="74" s="1"/>
  <c r="AG509" i="74"/>
  <c r="AR509" i="74"/>
  <c r="AR881" i="74" s="1"/>
  <c r="AN509" i="74"/>
  <c r="AN881" i="74" s="1"/>
  <c r="AJ509" i="74"/>
  <c r="AJ881" i="74" s="1"/>
  <c r="AQ509" i="74"/>
  <c r="AQ881" i="74" s="1"/>
  <c r="AM509" i="74"/>
  <c r="AM881" i="74" s="1"/>
  <c r="AI509" i="74"/>
  <c r="AI881" i="74" s="1"/>
  <c r="AP509" i="74"/>
  <c r="AP881" i="74" s="1"/>
  <c r="AL509" i="74"/>
  <c r="AL881" i="74" s="1"/>
  <c r="AH509" i="74"/>
  <c r="AH881" i="74" s="1"/>
  <c r="O262" i="74"/>
  <c r="N245" i="74"/>
  <c r="N262" i="74" s="1"/>
  <c r="BM509" i="74"/>
  <c r="BM881" i="74" s="1"/>
  <c r="BI509" i="74"/>
  <c r="BI881" i="74" s="1"/>
  <c r="BE509" i="74"/>
  <c r="BP509" i="74"/>
  <c r="BP881" i="74" s="1"/>
  <c r="BL509" i="74"/>
  <c r="BL881" i="74" s="1"/>
  <c r="BH509" i="74"/>
  <c r="BH881" i="74" s="1"/>
  <c r="BO509" i="74"/>
  <c r="BO881" i="74" s="1"/>
  <c r="BK509" i="74"/>
  <c r="BK881" i="74" s="1"/>
  <c r="BG509" i="74"/>
  <c r="BG881" i="74" s="1"/>
  <c r="BN509" i="74"/>
  <c r="BN881" i="74" s="1"/>
  <c r="BJ509" i="74"/>
  <c r="BJ881" i="74" s="1"/>
  <c r="BF509" i="74"/>
  <c r="BF881" i="74" s="1"/>
  <c r="F395" i="73"/>
  <c r="F400" i="73" s="1"/>
  <c r="O263" i="74"/>
  <c r="O342" i="74" s="1"/>
  <c r="N246" i="74"/>
  <c r="N263" i="74" s="1"/>
  <c r="N342" i="74" s="1"/>
  <c r="R247" i="74"/>
  <c r="R264" i="74" s="1"/>
  <c r="R343" i="74" s="1"/>
  <c r="Q247" i="74"/>
  <c r="Q264" i="74" s="1"/>
  <c r="Q343" i="74" s="1"/>
  <c r="O247" i="74"/>
  <c r="S247" i="74"/>
  <c r="S264" i="74" s="1"/>
  <c r="S343" i="74" s="1"/>
  <c r="P247" i="74"/>
  <c r="P264" i="74" s="1"/>
  <c r="P343" i="74" s="1"/>
  <c r="O268" i="74"/>
  <c r="O279" i="74" s="1"/>
  <c r="N251" i="74"/>
  <c r="N268" i="74" s="1"/>
  <c r="N279" i="74" s="1"/>
  <c r="BZ510" i="74"/>
  <c r="BZ905" i="74" s="1"/>
  <c r="BV510" i="74"/>
  <c r="BV905" i="74" s="1"/>
  <c r="BR510" i="74"/>
  <c r="BR905" i="74" s="1"/>
  <c r="BY510" i="74"/>
  <c r="BY905" i="74" s="1"/>
  <c r="BU510" i="74"/>
  <c r="BU905" i="74" s="1"/>
  <c r="BQ510" i="74"/>
  <c r="CB510" i="74"/>
  <c r="CB905" i="74" s="1"/>
  <c r="BX510" i="74"/>
  <c r="BX905" i="74" s="1"/>
  <c r="BT510" i="74"/>
  <c r="BT905" i="74" s="1"/>
  <c r="CA510" i="74"/>
  <c r="CA905" i="74" s="1"/>
  <c r="BW510" i="74"/>
  <c r="BW905" i="74" s="1"/>
  <c r="BS510" i="74"/>
  <c r="BS905" i="74" s="1"/>
  <c r="D352" i="73"/>
  <c r="S294" i="74"/>
  <c r="S360" i="74" s="1"/>
  <c r="S359" i="74"/>
  <c r="R353" i="74"/>
  <c r="R347" i="74"/>
  <c r="F380" i="73"/>
  <c r="O270" i="74"/>
  <c r="N253" i="74"/>
  <c r="N270" i="74" s="1"/>
  <c r="F341" i="73"/>
  <c r="F337" i="73"/>
  <c r="F342" i="73" s="1"/>
  <c r="BA509" i="74"/>
  <c r="BA881" i="74" s="1"/>
  <c r="AW509" i="74"/>
  <c r="AW881" i="74" s="1"/>
  <c r="AS509" i="74"/>
  <c r="BD509" i="74"/>
  <c r="BD881" i="74" s="1"/>
  <c r="AZ509" i="74"/>
  <c r="AZ881" i="74" s="1"/>
  <c r="AV509" i="74"/>
  <c r="AV881" i="74" s="1"/>
  <c r="BC509" i="74"/>
  <c r="BC881" i="74" s="1"/>
  <c r="AY509" i="74"/>
  <c r="AY881" i="74" s="1"/>
  <c r="AU509" i="74"/>
  <c r="AU881" i="74" s="1"/>
  <c r="BB509" i="74"/>
  <c r="BB881" i="74" s="1"/>
  <c r="AX509" i="74"/>
  <c r="AX881" i="74" s="1"/>
  <c r="AT509" i="74"/>
  <c r="AT881" i="74" s="1"/>
  <c r="BP481" i="74"/>
  <c r="AR481" i="74"/>
  <c r="CN481" i="74"/>
  <c r="BD481" i="74"/>
  <c r="AF481" i="74"/>
  <c r="CB481" i="74"/>
  <c r="AQ481" i="74"/>
  <c r="CM481" i="74"/>
  <c r="BC481" i="74"/>
  <c r="AE481" i="74"/>
  <c r="CA481" i="74"/>
  <c r="BO481" i="74"/>
  <c r="AL481" i="74"/>
  <c r="CH481" i="74"/>
  <c r="AX481" i="74"/>
  <c r="Z481" i="74"/>
  <c r="BV481" i="74"/>
  <c r="BJ481" i="74"/>
  <c r="CM476" i="74"/>
  <c r="CI476" i="74"/>
  <c r="CE476" i="74"/>
  <c r="CL476" i="74"/>
  <c r="CH476" i="74"/>
  <c r="CD476" i="74"/>
  <c r="CK476" i="74"/>
  <c r="CG476" i="74"/>
  <c r="CC476" i="74"/>
  <c r="CN476" i="74"/>
  <c r="CJ476" i="74"/>
  <c r="CF476" i="74"/>
  <c r="AC509" i="74"/>
  <c r="AC881" i="74" s="1"/>
  <c r="Y509" i="74"/>
  <c r="Y881" i="74" s="1"/>
  <c r="U509" i="74"/>
  <c r="AF509" i="74"/>
  <c r="AF881" i="74" s="1"/>
  <c r="AB509" i="74"/>
  <c r="AB881" i="74" s="1"/>
  <c r="X509" i="74"/>
  <c r="X881" i="74" s="1"/>
  <c r="AE509" i="74"/>
  <c r="AE881" i="74" s="1"/>
  <c r="AA509" i="74"/>
  <c r="AA881" i="74" s="1"/>
  <c r="W509" i="74"/>
  <c r="W881" i="74" s="1"/>
  <c r="AD509" i="74"/>
  <c r="AD881" i="74" s="1"/>
  <c r="Z509" i="74"/>
  <c r="Z881" i="74" s="1"/>
  <c r="V509" i="74"/>
  <c r="V881" i="74" s="1"/>
  <c r="S356" i="74"/>
  <c r="S350" i="74"/>
  <c r="N466" i="74"/>
  <c r="AG481" i="74"/>
  <c r="CC481" i="74"/>
  <c r="AS481" i="74"/>
  <c r="U481" i="74"/>
  <c r="BQ481" i="74"/>
  <c r="BE481" i="74"/>
  <c r="F404" i="73"/>
  <c r="P335" i="74"/>
  <c r="P280" i="74"/>
  <c r="S280" i="74"/>
  <c r="S335" i="74"/>
  <c r="BY509" i="74"/>
  <c r="BY881" i="74" s="1"/>
  <c r="BU509" i="74"/>
  <c r="BU881" i="74" s="1"/>
  <c r="BQ509" i="74"/>
  <c r="CB509" i="74"/>
  <c r="CB881" i="74" s="1"/>
  <c r="BX509" i="74"/>
  <c r="BX881" i="74" s="1"/>
  <c r="BT509" i="74"/>
  <c r="BT881" i="74" s="1"/>
  <c r="CA509" i="74"/>
  <c r="CA881" i="74" s="1"/>
  <c r="BW509" i="74"/>
  <c r="BW881" i="74" s="1"/>
  <c r="BS509" i="74"/>
  <c r="BS881" i="74" s="1"/>
  <c r="BZ509" i="74"/>
  <c r="BZ881" i="74" s="1"/>
  <c r="BV509" i="74"/>
  <c r="BV881" i="74" s="1"/>
  <c r="BR509" i="74"/>
  <c r="BR881" i="74" s="1"/>
  <c r="BQ476" i="74"/>
  <c r="P479" i="74" l="1"/>
  <c r="N255" i="74"/>
  <c r="N272" i="74" s="1"/>
  <c r="N293" i="74" s="1"/>
  <c r="P294" i="74"/>
  <c r="P360" i="74" s="1"/>
  <c r="R476" i="74"/>
  <c r="S481" i="74"/>
  <c r="Q481" i="74"/>
  <c r="O481" i="74"/>
  <c r="R481" i="74"/>
  <c r="BU894" i="74"/>
  <c r="BU883" i="74"/>
  <c r="BU888" i="74" s="1"/>
  <c r="BS894" i="74"/>
  <c r="BS883" i="74"/>
  <c r="BS888" i="74" s="1"/>
  <c r="BY894" i="74"/>
  <c r="BY883" i="74"/>
  <c r="BY888" i="74" s="1"/>
  <c r="N481" i="74"/>
  <c r="V894" i="74"/>
  <c r="V883" i="74"/>
  <c r="V888" i="74" s="1"/>
  <c r="AA883" i="74"/>
  <c r="AA888" i="74" s="1"/>
  <c r="AA894" i="74"/>
  <c r="BR894" i="74"/>
  <c r="BR883" i="74"/>
  <c r="BR888" i="74" s="1"/>
  <c r="BW883" i="74"/>
  <c r="BW888" i="74" s="1"/>
  <c r="BW894" i="74"/>
  <c r="CB883" i="74"/>
  <c r="CB888" i="74" s="1"/>
  <c r="CB894" i="74"/>
  <c r="CK487" i="74"/>
  <c r="CK518" i="74" s="1"/>
  <c r="CG487" i="74"/>
  <c r="CG518" i="74" s="1"/>
  <c r="CC487" i="74"/>
  <c r="CN487" i="74"/>
  <c r="CN518" i="74" s="1"/>
  <c r="CJ487" i="74"/>
  <c r="CJ518" i="74" s="1"/>
  <c r="CF487" i="74"/>
  <c r="CF518" i="74" s="1"/>
  <c r="CM487" i="74"/>
  <c r="CM518" i="74" s="1"/>
  <c r="CI487" i="74"/>
  <c r="CI518" i="74" s="1"/>
  <c r="CE487" i="74"/>
  <c r="CE518" i="74" s="1"/>
  <c r="CL487" i="74"/>
  <c r="CL518" i="74" s="1"/>
  <c r="CH487" i="74"/>
  <c r="CH518" i="74" s="1"/>
  <c r="CD487" i="74"/>
  <c r="CD518" i="74" s="1"/>
  <c r="F405" i="73"/>
  <c r="F406" i="73" s="1"/>
  <c r="P481" i="74"/>
  <c r="CK475" i="74"/>
  <c r="CG475" i="74"/>
  <c r="CC475" i="74"/>
  <c r="CN475" i="74"/>
  <c r="CJ475" i="74"/>
  <c r="CF475" i="74"/>
  <c r="CM475" i="74"/>
  <c r="CI475" i="74"/>
  <c r="CE475" i="74"/>
  <c r="CL475" i="74"/>
  <c r="CH475" i="74"/>
  <c r="CD475" i="74"/>
  <c r="Z894" i="74"/>
  <c r="Z883" i="74"/>
  <c r="Z888" i="74" s="1"/>
  <c r="AE894" i="74"/>
  <c r="AE883" i="74"/>
  <c r="AE888" i="74" s="1"/>
  <c r="U881" i="74"/>
  <c r="N509" i="74"/>
  <c r="AU894" i="74"/>
  <c r="AU883" i="74"/>
  <c r="AU888" i="74" s="1"/>
  <c r="AZ883" i="74"/>
  <c r="AZ888" i="74" s="1"/>
  <c r="AZ894" i="74"/>
  <c r="BA894" i="74"/>
  <c r="BA883" i="74"/>
  <c r="BA888" i="74" s="1"/>
  <c r="CB501" i="74"/>
  <c r="CB760" i="74" s="1"/>
  <c r="BX501" i="74"/>
  <c r="BX760" i="74" s="1"/>
  <c r="BT501" i="74"/>
  <c r="BT760" i="74" s="1"/>
  <c r="CA501" i="74"/>
  <c r="CA760" i="74" s="1"/>
  <c r="BW501" i="74"/>
  <c r="BW760" i="74" s="1"/>
  <c r="BS501" i="74"/>
  <c r="BS760" i="74" s="1"/>
  <c r="BZ501" i="74"/>
  <c r="BZ760" i="74" s="1"/>
  <c r="BV501" i="74"/>
  <c r="BV760" i="74" s="1"/>
  <c r="BR501" i="74"/>
  <c r="BR760" i="74" s="1"/>
  <c r="BY501" i="74"/>
  <c r="BY760" i="74" s="1"/>
  <c r="BU501" i="74"/>
  <c r="BU760" i="74" s="1"/>
  <c r="BQ501" i="74"/>
  <c r="O294" i="74"/>
  <c r="O360" i="74" s="1"/>
  <c r="O359" i="74"/>
  <c r="CA918" i="74"/>
  <c r="CA907" i="74"/>
  <c r="CA912" i="74" s="1"/>
  <c r="BQ905" i="74"/>
  <c r="R510" i="74"/>
  <c r="BV918" i="74"/>
  <c r="BV907" i="74"/>
  <c r="BV912" i="74" s="1"/>
  <c r="BA477" i="74"/>
  <c r="AW477" i="74"/>
  <c r="AS477" i="74"/>
  <c r="BD477" i="74"/>
  <c r="AZ477" i="74"/>
  <c r="AV477" i="74"/>
  <c r="BC477" i="74"/>
  <c r="AY477" i="74"/>
  <c r="AU477" i="74"/>
  <c r="BB477" i="74"/>
  <c r="AX477" i="74"/>
  <c r="AT477" i="74"/>
  <c r="BY477" i="74"/>
  <c r="BU477" i="74"/>
  <c r="BQ477" i="74"/>
  <c r="CB477" i="74"/>
  <c r="BX477" i="74"/>
  <c r="BT477" i="74"/>
  <c r="CA477" i="74"/>
  <c r="BW477" i="74"/>
  <c r="BS477" i="74"/>
  <c r="BZ477" i="74"/>
  <c r="BV477" i="74"/>
  <c r="BR477" i="74"/>
  <c r="BF894" i="74"/>
  <c r="BF883" i="74"/>
  <c r="BF888" i="74" s="1"/>
  <c r="BK894" i="74"/>
  <c r="BK883" i="74"/>
  <c r="BK888" i="74" s="1"/>
  <c r="BP883" i="74"/>
  <c r="BP888" i="74" s="1"/>
  <c r="BP894" i="74"/>
  <c r="N356" i="74"/>
  <c r="N350" i="74"/>
  <c r="AP894" i="74"/>
  <c r="AP883" i="74"/>
  <c r="AP888" i="74" s="1"/>
  <c r="AJ883" i="74"/>
  <c r="AJ888" i="74" s="1"/>
  <c r="AJ894" i="74"/>
  <c r="AK894" i="74"/>
  <c r="AK883" i="74"/>
  <c r="AK888" i="74" s="1"/>
  <c r="AU918" i="74"/>
  <c r="AU907" i="74"/>
  <c r="AU912" i="74" s="1"/>
  <c r="AZ918" i="74"/>
  <c r="AZ907" i="74"/>
  <c r="AZ912" i="74" s="1"/>
  <c r="BA918" i="74"/>
  <c r="BA907" i="74"/>
  <c r="BA912" i="74" s="1"/>
  <c r="R479" i="74"/>
  <c r="BK918" i="74"/>
  <c r="BK907" i="74"/>
  <c r="BK912" i="74" s="1"/>
  <c r="BP918" i="74"/>
  <c r="BP907" i="74"/>
  <c r="BP912" i="74" s="1"/>
  <c r="BF918" i="74"/>
  <c r="BF907" i="74"/>
  <c r="BF912" i="74" s="1"/>
  <c r="CA478" i="74"/>
  <c r="BW478" i="74"/>
  <c r="BS478" i="74"/>
  <c r="BZ478" i="74"/>
  <c r="BV478" i="74"/>
  <c r="BR478" i="74"/>
  <c r="BY478" i="74"/>
  <c r="BU478" i="74"/>
  <c r="BQ478" i="74"/>
  <c r="CB478" i="74"/>
  <c r="BX478" i="74"/>
  <c r="BT478" i="74"/>
  <c r="AO479" i="74"/>
  <c r="AK479" i="74"/>
  <c r="AG479" i="74"/>
  <c r="AR479" i="74"/>
  <c r="AN479" i="74"/>
  <c r="AJ479" i="74"/>
  <c r="AQ479" i="74"/>
  <c r="AM479" i="74"/>
  <c r="AI479" i="74"/>
  <c r="AP479" i="74"/>
  <c r="AL479" i="74"/>
  <c r="AH479" i="74"/>
  <c r="CH894" i="74"/>
  <c r="CH883" i="74"/>
  <c r="CH888" i="74" s="1"/>
  <c r="CM883" i="74"/>
  <c r="CM888" i="74" s="1"/>
  <c r="CM894" i="74"/>
  <c r="CC881" i="74"/>
  <c r="S509" i="74"/>
  <c r="S290" i="74"/>
  <c r="S354" i="74"/>
  <c r="S348" i="74"/>
  <c r="BC478" i="74"/>
  <c r="AY478" i="74"/>
  <c r="AU478" i="74"/>
  <c r="BB478" i="74"/>
  <c r="AX478" i="74"/>
  <c r="AT478" i="74"/>
  <c r="BA478" i="74"/>
  <c r="AW478" i="74"/>
  <c r="AS478" i="74"/>
  <c r="BD478" i="74"/>
  <c r="AZ478" i="74"/>
  <c r="AV478" i="74"/>
  <c r="CM918" i="74"/>
  <c r="CM907" i="74"/>
  <c r="CM912" i="74" s="1"/>
  <c r="CC905" i="74"/>
  <c r="S510" i="74"/>
  <c r="CH918" i="74"/>
  <c r="CH907" i="74"/>
  <c r="CH912" i="74" s="1"/>
  <c r="BP496" i="74"/>
  <c r="BP687" i="74" s="1"/>
  <c r="BL496" i="74"/>
  <c r="BL687" i="74" s="1"/>
  <c r="BH496" i="74"/>
  <c r="BH687" i="74" s="1"/>
  <c r="BO496" i="74"/>
  <c r="BO687" i="74" s="1"/>
  <c r="BK496" i="74"/>
  <c r="BK687" i="74" s="1"/>
  <c r="BG496" i="74"/>
  <c r="BG687" i="74" s="1"/>
  <c r="BN496" i="74"/>
  <c r="BN687" i="74" s="1"/>
  <c r="BJ496" i="74"/>
  <c r="BJ687" i="74" s="1"/>
  <c r="BF496" i="74"/>
  <c r="BF687" i="74" s="1"/>
  <c r="BM496" i="74"/>
  <c r="BM687" i="74" s="1"/>
  <c r="BI496" i="74"/>
  <c r="BI687" i="74" s="1"/>
  <c r="BE496" i="74"/>
  <c r="BV894" i="74"/>
  <c r="BV883" i="74"/>
  <c r="BV888" i="74" s="1"/>
  <c r="CM478" i="74"/>
  <c r="CI478" i="74"/>
  <c r="CE478" i="74"/>
  <c r="CL478" i="74"/>
  <c r="CH478" i="74"/>
  <c r="CD478" i="74"/>
  <c r="CK478" i="74"/>
  <c r="CG478" i="74"/>
  <c r="CC478" i="74"/>
  <c r="CN478" i="74"/>
  <c r="CJ478" i="74"/>
  <c r="CF478" i="74"/>
  <c r="AD894" i="74"/>
  <c r="AD883" i="74"/>
  <c r="AD888" i="74" s="1"/>
  <c r="X883" i="74"/>
  <c r="X888" i="74" s="1"/>
  <c r="X894" i="74"/>
  <c r="Y894" i="74"/>
  <c r="Y883" i="74"/>
  <c r="Y888" i="74" s="1"/>
  <c r="AT894" i="74"/>
  <c r="AT883" i="74"/>
  <c r="AT888" i="74" s="1"/>
  <c r="AY883" i="74"/>
  <c r="AY888" i="74" s="1"/>
  <c r="AY894" i="74"/>
  <c r="BD883" i="74"/>
  <c r="BD888" i="74" s="1"/>
  <c r="BD894" i="74"/>
  <c r="F381" i="73"/>
  <c r="F382" i="73" s="1"/>
  <c r="F410" i="73" s="1"/>
  <c r="CL506" i="74"/>
  <c r="CH506" i="74"/>
  <c r="CD506" i="74"/>
  <c r="CK506" i="74"/>
  <c r="CG506" i="74"/>
  <c r="CC506" i="74"/>
  <c r="CN506" i="74"/>
  <c r="CJ506" i="74"/>
  <c r="CF506" i="74"/>
  <c r="CM506" i="74"/>
  <c r="CI506" i="74"/>
  <c r="CE506" i="74"/>
  <c r="BT918" i="74"/>
  <c r="BT907" i="74"/>
  <c r="BT912" i="74" s="1"/>
  <c r="BU918" i="74"/>
  <c r="BU907" i="74"/>
  <c r="BU912" i="74" s="1"/>
  <c r="BZ918" i="74"/>
  <c r="BZ907" i="74"/>
  <c r="BZ912" i="74" s="1"/>
  <c r="CK477" i="74"/>
  <c r="CG477" i="74"/>
  <c r="CC477" i="74"/>
  <c r="CN477" i="74"/>
  <c r="CJ477" i="74"/>
  <c r="CF477" i="74"/>
  <c r="CM477" i="74"/>
  <c r="CI477" i="74"/>
  <c r="CE477" i="74"/>
  <c r="CL477" i="74"/>
  <c r="CH477" i="74"/>
  <c r="CD477" i="74"/>
  <c r="AE476" i="74"/>
  <c r="AA476" i="74"/>
  <c r="W476" i="74"/>
  <c r="AD476" i="74"/>
  <c r="Z476" i="74"/>
  <c r="V476" i="74"/>
  <c r="AC476" i="74"/>
  <c r="Y476" i="74"/>
  <c r="U476" i="74"/>
  <c r="AF476" i="74"/>
  <c r="AB476" i="74"/>
  <c r="X476" i="74"/>
  <c r="BJ894" i="74"/>
  <c r="BJ883" i="74"/>
  <c r="BJ888" i="74" s="1"/>
  <c r="BO883" i="74"/>
  <c r="BO888" i="74" s="1"/>
  <c r="BO894" i="74"/>
  <c r="BE881" i="74"/>
  <c r="Q509" i="74"/>
  <c r="O356" i="74"/>
  <c r="O350" i="74"/>
  <c r="AI883" i="74"/>
  <c r="AI888" i="74" s="1"/>
  <c r="AI894" i="74"/>
  <c r="AN883" i="74"/>
  <c r="AN888" i="74" s="1"/>
  <c r="AN894" i="74"/>
  <c r="AO894" i="74"/>
  <c r="AO883" i="74"/>
  <c r="AO888" i="74" s="1"/>
  <c r="AY918" i="74"/>
  <c r="AY907" i="74"/>
  <c r="AY912" i="74" s="1"/>
  <c r="BD918" i="74"/>
  <c r="BD907" i="74"/>
  <c r="BD912" i="74" s="1"/>
  <c r="AT918" i="74"/>
  <c r="AT907" i="74"/>
  <c r="AT912" i="74" s="1"/>
  <c r="R336" i="74"/>
  <c r="R281" i="74"/>
  <c r="BO918" i="74"/>
  <c r="BO907" i="74"/>
  <c r="BO912" i="74" s="1"/>
  <c r="BE905" i="74"/>
  <c r="Q510" i="74"/>
  <c r="BJ918" i="74"/>
  <c r="BJ907" i="74"/>
  <c r="BJ912" i="74" s="1"/>
  <c r="AD510" i="74"/>
  <c r="AD905" i="74" s="1"/>
  <c r="Z510" i="74"/>
  <c r="Z905" i="74" s="1"/>
  <c r="V510" i="74"/>
  <c r="V905" i="74" s="1"/>
  <c r="AC510" i="74"/>
  <c r="AC905" i="74" s="1"/>
  <c r="Y510" i="74"/>
  <c r="Y905" i="74" s="1"/>
  <c r="U510" i="74"/>
  <c r="AF510" i="74"/>
  <c r="AF905" i="74" s="1"/>
  <c r="AB510" i="74"/>
  <c r="AB905" i="74" s="1"/>
  <c r="X510" i="74"/>
  <c r="X905" i="74" s="1"/>
  <c r="AE510" i="74"/>
  <c r="AE905" i="74" s="1"/>
  <c r="AA510" i="74"/>
  <c r="AA905" i="74" s="1"/>
  <c r="W510" i="74"/>
  <c r="W905" i="74" s="1"/>
  <c r="CL894" i="74"/>
  <c r="CL883" i="74"/>
  <c r="CL888" i="74" s="1"/>
  <c r="CF883" i="74"/>
  <c r="CF888" i="74" s="1"/>
  <c r="CF894" i="74"/>
  <c r="CG894" i="74"/>
  <c r="CG883" i="74"/>
  <c r="CG888" i="74" s="1"/>
  <c r="CN496" i="74"/>
  <c r="CN687" i="74" s="1"/>
  <c r="CJ496" i="74"/>
  <c r="CJ687" i="74" s="1"/>
  <c r="CF496" i="74"/>
  <c r="CF687" i="74" s="1"/>
  <c r="CM496" i="74"/>
  <c r="CM687" i="74" s="1"/>
  <c r="CI496" i="74"/>
  <c r="CI687" i="74" s="1"/>
  <c r="CE496" i="74"/>
  <c r="CE687" i="74" s="1"/>
  <c r="CL496" i="74"/>
  <c r="CL687" i="74" s="1"/>
  <c r="CH496" i="74"/>
  <c r="CH687" i="74" s="1"/>
  <c r="CD496" i="74"/>
  <c r="CD687" i="74" s="1"/>
  <c r="CK496" i="74"/>
  <c r="CK687" i="74" s="1"/>
  <c r="CG496" i="74"/>
  <c r="CG687" i="74" s="1"/>
  <c r="CC496" i="74"/>
  <c r="BM475" i="74"/>
  <c r="BI475" i="74"/>
  <c r="BE475" i="74"/>
  <c r="BP475" i="74"/>
  <c r="BL475" i="74"/>
  <c r="BH475" i="74"/>
  <c r="BO475" i="74"/>
  <c r="BK475" i="74"/>
  <c r="BG475" i="74"/>
  <c r="BN475" i="74"/>
  <c r="BJ475" i="74"/>
  <c r="BF475" i="74"/>
  <c r="CF918" i="74"/>
  <c r="CF907" i="74"/>
  <c r="CF912" i="74" s="1"/>
  <c r="CG918" i="74"/>
  <c r="CG907" i="74"/>
  <c r="CG912" i="74" s="1"/>
  <c r="CL918" i="74"/>
  <c r="CL907" i="74"/>
  <c r="CL912" i="74" s="1"/>
  <c r="BZ506" i="74"/>
  <c r="BV506" i="74"/>
  <c r="BR506" i="74"/>
  <c r="BY506" i="74"/>
  <c r="BU506" i="74"/>
  <c r="BQ506" i="74"/>
  <c r="CB506" i="74"/>
  <c r="BX506" i="74"/>
  <c r="BT506" i="74"/>
  <c r="CA506" i="74"/>
  <c r="BW506" i="74"/>
  <c r="BS506" i="74"/>
  <c r="BB506" i="74"/>
  <c r="AX506" i="74"/>
  <c r="AT506" i="74"/>
  <c r="BA506" i="74"/>
  <c r="AW506" i="74"/>
  <c r="AS506" i="74"/>
  <c r="BD506" i="74"/>
  <c r="AZ506" i="74"/>
  <c r="AV506" i="74"/>
  <c r="BC506" i="74"/>
  <c r="AY506" i="74"/>
  <c r="AU506" i="74"/>
  <c r="BD501" i="74"/>
  <c r="BD760" i="74" s="1"/>
  <c r="AZ501" i="74"/>
  <c r="AZ760" i="74" s="1"/>
  <c r="AV501" i="74"/>
  <c r="AV760" i="74" s="1"/>
  <c r="BC501" i="74"/>
  <c r="BC760" i="74" s="1"/>
  <c r="AY501" i="74"/>
  <c r="AY760" i="74" s="1"/>
  <c r="AU501" i="74"/>
  <c r="AU760" i="74" s="1"/>
  <c r="BB501" i="74"/>
  <c r="BB760" i="74" s="1"/>
  <c r="AX501" i="74"/>
  <c r="AX760" i="74" s="1"/>
  <c r="AT501" i="74"/>
  <c r="AT760" i="74" s="1"/>
  <c r="BA501" i="74"/>
  <c r="BA760" i="74" s="1"/>
  <c r="AW501" i="74"/>
  <c r="AW760" i="74" s="1"/>
  <c r="AS501" i="74"/>
  <c r="BQ881" i="74"/>
  <c r="R509" i="74"/>
  <c r="S336" i="74"/>
  <c r="S281" i="74"/>
  <c r="BT883" i="74"/>
  <c r="BT888" i="74" s="1"/>
  <c r="BT894" i="74"/>
  <c r="W894" i="74"/>
  <c r="W883" i="74"/>
  <c r="W888" i="74" s="1"/>
  <c r="AB883" i="74"/>
  <c r="AB888" i="74" s="1"/>
  <c r="AB894" i="74"/>
  <c r="AC894" i="74"/>
  <c r="AC883" i="74"/>
  <c r="AC888" i="74" s="1"/>
  <c r="S476" i="74"/>
  <c r="AX894" i="74"/>
  <c r="AX883" i="74"/>
  <c r="AX888" i="74" s="1"/>
  <c r="BC894" i="74"/>
  <c r="BC883" i="74"/>
  <c r="BC888" i="74" s="1"/>
  <c r="AS881" i="74"/>
  <c r="P509" i="74"/>
  <c r="F346" i="73"/>
  <c r="R348" i="74"/>
  <c r="R290" i="74"/>
  <c r="R354" i="74"/>
  <c r="BS918" i="74"/>
  <c r="BS907" i="74"/>
  <c r="BS912" i="74" s="1"/>
  <c r="BX918" i="74"/>
  <c r="BX907" i="74"/>
  <c r="BX912" i="74" s="1"/>
  <c r="BY918" i="74"/>
  <c r="BY907" i="74"/>
  <c r="BY912" i="74" s="1"/>
  <c r="N335" i="74"/>
  <c r="N280" i="74"/>
  <c r="O264" i="74"/>
  <c r="O343" i="74" s="1"/>
  <c r="N247" i="74"/>
  <c r="N264" i="74" s="1"/>
  <c r="N343" i="74" s="1"/>
  <c r="AQ476" i="74"/>
  <c r="AM476" i="74"/>
  <c r="AI476" i="74"/>
  <c r="AP476" i="74"/>
  <c r="AL476" i="74"/>
  <c r="AH476" i="74"/>
  <c r="AO476" i="74"/>
  <c r="AK476" i="74"/>
  <c r="AG476" i="74"/>
  <c r="AR476" i="74"/>
  <c r="AN476" i="74"/>
  <c r="AJ476" i="74"/>
  <c r="BN894" i="74"/>
  <c r="BN883" i="74"/>
  <c r="BN888" i="74" s="1"/>
  <c r="BH883" i="74"/>
  <c r="BH888" i="74" s="1"/>
  <c r="BH894" i="74"/>
  <c r="BI894" i="74"/>
  <c r="BI883" i="74"/>
  <c r="BI888" i="74" s="1"/>
  <c r="AH894" i="74"/>
  <c r="AH883" i="74"/>
  <c r="AH888" i="74" s="1"/>
  <c r="AM894" i="74"/>
  <c r="AM883" i="74"/>
  <c r="AM888" i="74" s="1"/>
  <c r="AR883" i="74"/>
  <c r="AR888" i="74" s="1"/>
  <c r="AR894" i="74"/>
  <c r="BC918" i="74"/>
  <c r="BC907" i="74"/>
  <c r="BC912" i="74" s="1"/>
  <c r="AS905" i="74"/>
  <c r="P510" i="74"/>
  <c r="AX918" i="74"/>
  <c r="AX907" i="74"/>
  <c r="AX912" i="74" s="1"/>
  <c r="BY487" i="74"/>
  <c r="BY518" i="74" s="1"/>
  <c r="BU487" i="74"/>
  <c r="BU518" i="74" s="1"/>
  <c r="BQ487" i="74"/>
  <c r="CB487" i="74"/>
  <c r="CB518" i="74" s="1"/>
  <c r="BX487" i="74"/>
  <c r="BX518" i="74" s="1"/>
  <c r="BT487" i="74"/>
  <c r="BT518" i="74" s="1"/>
  <c r="CA487" i="74"/>
  <c r="CA518" i="74" s="1"/>
  <c r="BW487" i="74"/>
  <c r="BW518" i="74" s="1"/>
  <c r="BS487" i="74"/>
  <c r="BS518" i="74" s="1"/>
  <c r="BZ487" i="74"/>
  <c r="BZ518" i="74" s="1"/>
  <c r="BV487" i="74"/>
  <c r="BV518" i="74" s="1"/>
  <c r="BR487" i="74"/>
  <c r="BR518" i="74" s="1"/>
  <c r="BH918" i="74"/>
  <c r="BH907" i="74"/>
  <c r="BH912" i="74" s="1"/>
  <c r="BI918" i="74"/>
  <c r="BI907" i="74"/>
  <c r="BI912" i="74" s="1"/>
  <c r="BN918" i="74"/>
  <c r="BN907" i="74"/>
  <c r="BN912" i="74" s="1"/>
  <c r="AP510" i="74"/>
  <c r="AP905" i="74" s="1"/>
  <c r="AL510" i="74"/>
  <c r="AL905" i="74" s="1"/>
  <c r="AH510" i="74"/>
  <c r="AH905" i="74" s="1"/>
  <c r="AO510" i="74"/>
  <c r="AO905" i="74" s="1"/>
  <c r="AK510" i="74"/>
  <c r="AK905" i="74" s="1"/>
  <c r="AG510" i="74"/>
  <c r="AR510" i="74"/>
  <c r="AR905" i="74" s="1"/>
  <c r="AN510" i="74"/>
  <c r="AN905" i="74" s="1"/>
  <c r="AJ510" i="74"/>
  <c r="AJ905" i="74" s="1"/>
  <c r="AQ510" i="74"/>
  <c r="AQ905" i="74" s="1"/>
  <c r="AM510" i="74"/>
  <c r="AM905" i="74" s="1"/>
  <c r="AI510" i="74"/>
  <c r="AI905" i="74" s="1"/>
  <c r="CE883" i="74"/>
  <c r="CE888" i="74" s="1"/>
  <c r="CE894" i="74"/>
  <c r="CJ883" i="74"/>
  <c r="CJ888" i="74" s="1"/>
  <c r="CJ894" i="74"/>
  <c r="CK894" i="74"/>
  <c r="CK883" i="74"/>
  <c r="CK888" i="74" s="1"/>
  <c r="P476" i="74"/>
  <c r="Q281" i="74"/>
  <c r="Q336" i="74"/>
  <c r="BO478" i="74"/>
  <c r="BK478" i="74"/>
  <c r="BG478" i="74"/>
  <c r="BN478" i="74"/>
  <c r="BJ478" i="74"/>
  <c r="BF478" i="74"/>
  <c r="BM478" i="74"/>
  <c r="BI478" i="74"/>
  <c r="BE478" i="74"/>
  <c r="BP478" i="74"/>
  <c r="BL478" i="74"/>
  <c r="BH478" i="74"/>
  <c r="CE918" i="74"/>
  <c r="CE907" i="74"/>
  <c r="CE912" i="74" s="1"/>
  <c r="CJ918" i="74"/>
  <c r="CJ907" i="74"/>
  <c r="CJ912" i="74" s="1"/>
  <c r="CK918" i="74"/>
  <c r="CK907" i="74"/>
  <c r="CK912" i="74" s="1"/>
  <c r="N353" i="74"/>
  <c r="N347" i="74"/>
  <c r="N289" i="74"/>
  <c r="BP501" i="74"/>
  <c r="BP760" i="74" s="1"/>
  <c r="BL501" i="74"/>
  <c r="BL760" i="74" s="1"/>
  <c r="BH501" i="74"/>
  <c r="BH760" i="74" s="1"/>
  <c r="BO501" i="74"/>
  <c r="BO760" i="74" s="1"/>
  <c r="BK501" i="74"/>
  <c r="BK760" i="74" s="1"/>
  <c r="BG501" i="74"/>
  <c r="BG760" i="74" s="1"/>
  <c r="BN501" i="74"/>
  <c r="BN760" i="74" s="1"/>
  <c r="BJ501" i="74"/>
  <c r="BJ760" i="74" s="1"/>
  <c r="BF501" i="74"/>
  <c r="BF760" i="74" s="1"/>
  <c r="BM501" i="74"/>
  <c r="BM760" i="74" s="1"/>
  <c r="BI501" i="74"/>
  <c r="BI760" i="74" s="1"/>
  <c r="BE501" i="74"/>
  <c r="P354" i="74"/>
  <c r="P348" i="74"/>
  <c r="P290" i="74"/>
  <c r="D410" i="73"/>
  <c r="CA894" i="74"/>
  <c r="CA883" i="74"/>
  <c r="CA888" i="74" s="1"/>
  <c r="BZ894" i="74"/>
  <c r="BZ883" i="74"/>
  <c r="BZ888" i="74" s="1"/>
  <c r="P336" i="74"/>
  <c r="P281" i="74"/>
  <c r="BX883" i="74"/>
  <c r="BX888" i="74" s="1"/>
  <c r="BX894" i="74"/>
  <c r="BA487" i="74"/>
  <c r="BA518" i="74" s="1"/>
  <c r="AW487" i="74"/>
  <c r="AW518" i="74" s="1"/>
  <c r="AS487" i="74"/>
  <c r="BD487" i="74"/>
  <c r="BD518" i="74" s="1"/>
  <c r="AZ487" i="74"/>
  <c r="AZ518" i="74" s="1"/>
  <c r="AV487" i="74"/>
  <c r="AV518" i="74" s="1"/>
  <c r="BC487" i="74"/>
  <c r="BC518" i="74" s="1"/>
  <c r="AY487" i="74"/>
  <c r="AY518" i="74" s="1"/>
  <c r="AU487" i="74"/>
  <c r="AU518" i="74" s="1"/>
  <c r="BB487" i="74"/>
  <c r="BB518" i="74" s="1"/>
  <c r="AX487" i="74"/>
  <c r="AX518" i="74" s="1"/>
  <c r="AT487" i="74"/>
  <c r="AT518" i="74" s="1"/>
  <c r="AF883" i="74"/>
  <c r="AF888" i="74" s="1"/>
  <c r="AF894" i="74"/>
  <c r="BB894" i="74"/>
  <c r="BB883" i="74"/>
  <c r="BB888" i="74" s="1"/>
  <c r="AV883" i="74"/>
  <c r="AV888" i="74" s="1"/>
  <c r="AV894" i="74"/>
  <c r="AW894" i="74"/>
  <c r="AW883" i="74"/>
  <c r="AW888" i="74" s="1"/>
  <c r="CB496" i="74"/>
  <c r="CB687" i="74" s="1"/>
  <c r="BX496" i="74"/>
  <c r="BX687" i="74" s="1"/>
  <c r="BT496" i="74"/>
  <c r="BT687" i="74" s="1"/>
  <c r="CA496" i="74"/>
  <c r="CA687" i="74" s="1"/>
  <c r="BW496" i="74"/>
  <c r="BW687" i="74" s="1"/>
  <c r="BS496" i="74"/>
  <c r="BS687" i="74" s="1"/>
  <c r="BZ496" i="74"/>
  <c r="BZ687" i="74" s="1"/>
  <c r="BV496" i="74"/>
  <c r="BV687" i="74" s="1"/>
  <c r="BR496" i="74"/>
  <c r="BR687" i="74" s="1"/>
  <c r="BY496" i="74"/>
  <c r="BY687" i="74" s="1"/>
  <c r="BU496" i="74"/>
  <c r="BU687" i="74" s="1"/>
  <c r="BQ496" i="74"/>
  <c r="N359" i="74"/>
  <c r="N294" i="74"/>
  <c r="N360" i="74" s="1"/>
  <c r="BW918" i="74"/>
  <c r="BW907" i="74"/>
  <c r="BW912" i="74" s="1"/>
  <c r="CB918" i="74"/>
  <c r="CB907" i="74"/>
  <c r="CB912" i="74" s="1"/>
  <c r="BR918" i="74"/>
  <c r="BR907" i="74"/>
  <c r="BR912" i="74" s="1"/>
  <c r="O280" i="74"/>
  <c r="O335" i="74"/>
  <c r="BM477" i="74"/>
  <c r="BI477" i="74"/>
  <c r="BE477" i="74"/>
  <c r="BP477" i="74"/>
  <c r="BL477" i="74"/>
  <c r="BH477" i="74"/>
  <c r="BO477" i="74"/>
  <c r="BK477" i="74"/>
  <c r="BG477" i="74"/>
  <c r="BN477" i="74"/>
  <c r="BJ477" i="74"/>
  <c r="BF477" i="74"/>
  <c r="BG883" i="74"/>
  <c r="BG888" i="74" s="1"/>
  <c r="BG894" i="74"/>
  <c r="BL883" i="74"/>
  <c r="BL888" i="74" s="1"/>
  <c r="BL894" i="74"/>
  <c r="BM894" i="74"/>
  <c r="BM883" i="74"/>
  <c r="BM888" i="74" s="1"/>
  <c r="AL894" i="74"/>
  <c r="AL883" i="74"/>
  <c r="AL888" i="74" s="1"/>
  <c r="AQ883" i="74"/>
  <c r="AQ888" i="74" s="1"/>
  <c r="AQ894" i="74"/>
  <c r="AG881" i="74"/>
  <c r="O509" i="74"/>
  <c r="AV918" i="74"/>
  <c r="AV907" i="74"/>
  <c r="AV912" i="74" s="1"/>
  <c r="AW918" i="74"/>
  <c r="AW907" i="74"/>
  <c r="AW912" i="74" s="1"/>
  <c r="BB918" i="74"/>
  <c r="BB907" i="74"/>
  <c r="BB912" i="74" s="1"/>
  <c r="BG918" i="74"/>
  <c r="BG907" i="74"/>
  <c r="BG912" i="74" s="1"/>
  <c r="BL918" i="74"/>
  <c r="BL907" i="74"/>
  <c r="BL912" i="74" s="1"/>
  <c r="BM918" i="74"/>
  <c r="BM907" i="74"/>
  <c r="BM912" i="74" s="1"/>
  <c r="BY475" i="74"/>
  <c r="BU475" i="74"/>
  <c r="BQ475" i="74"/>
  <c r="CB475" i="74"/>
  <c r="BX475" i="74"/>
  <c r="BT475" i="74"/>
  <c r="CA475" i="74"/>
  <c r="BW475" i="74"/>
  <c r="BS475" i="74"/>
  <c r="BZ475" i="74"/>
  <c r="BV475" i="74"/>
  <c r="BR475" i="74"/>
  <c r="AC479" i="74"/>
  <c r="Y479" i="74"/>
  <c r="U479" i="74"/>
  <c r="AF479" i="74"/>
  <c r="AB479" i="74"/>
  <c r="X479" i="74"/>
  <c r="AE479" i="74"/>
  <c r="AA479" i="74"/>
  <c r="W479" i="74"/>
  <c r="AD479" i="74"/>
  <c r="Z479" i="74"/>
  <c r="V479" i="74"/>
  <c r="CD894" i="74"/>
  <c r="CD883" i="74"/>
  <c r="CD888" i="74" s="1"/>
  <c r="CI894" i="74"/>
  <c r="CI883" i="74"/>
  <c r="CI888" i="74" s="1"/>
  <c r="CN883" i="74"/>
  <c r="CN888" i="74" s="1"/>
  <c r="CN894" i="74"/>
  <c r="CN501" i="74"/>
  <c r="CN760" i="74" s="1"/>
  <c r="CJ501" i="74"/>
  <c r="CJ760" i="74" s="1"/>
  <c r="CF501" i="74"/>
  <c r="CF760" i="74" s="1"/>
  <c r="CM501" i="74"/>
  <c r="CM760" i="74" s="1"/>
  <c r="CI501" i="74"/>
  <c r="CI760" i="74" s="1"/>
  <c r="CE501" i="74"/>
  <c r="CE760" i="74" s="1"/>
  <c r="CL501" i="74"/>
  <c r="CL760" i="74" s="1"/>
  <c r="CH501" i="74"/>
  <c r="CH760" i="74" s="1"/>
  <c r="CD501" i="74"/>
  <c r="CD760" i="74" s="1"/>
  <c r="CK501" i="74"/>
  <c r="CK760" i="74" s="1"/>
  <c r="CG501" i="74"/>
  <c r="CG760" i="74" s="1"/>
  <c r="CC501" i="74"/>
  <c r="BM487" i="74"/>
  <c r="BM518" i="74" s="1"/>
  <c r="BI487" i="74"/>
  <c r="BI518" i="74" s="1"/>
  <c r="BE487" i="74"/>
  <c r="BP487" i="74"/>
  <c r="BP518" i="74" s="1"/>
  <c r="BL487" i="74"/>
  <c r="BL518" i="74" s="1"/>
  <c r="BH487" i="74"/>
  <c r="BH518" i="74" s="1"/>
  <c r="BO487" i="74"/>
  <c r="BO518" i="74" s="1"/>
  <c r="BK487" i="74"/>
  <c r="BK518" i="74" s="1"/>
  <c r="BG487" i="74"/>
  <c r="BG518" i="74" s="1"/>
  <c r="BN487" i="74"/>
  <c r="BN518" i="74" s="1"/>
  <c r="BJ487" i="74"/>
  <c r="BJ518" i="74" s="1"/>
  <c r="BF487" i="74"/>
  <c r="BF518" i="74" s="1"/>
  <c r="BA475" i="74"/>
  <c r="AW475" i="74"/>
  <c r="AS475" i="74"/>
  <c r="BD475" i="74"/>
  <c r="AZ475" i="74"/>
  <c r="AV475" i="74"/>
  <c r="BC475" i="74"/>
  <c r="AY475" i="74"/>
  <c r="AU475" i="74"/>
  <c r="BB475" i="74"/>
  <c r="AX475" i="74"/>
  <c r="AT475" i="74"/>
  <c r="CI918" i="74"/>
  <c r="CI907" i="74"/>
  <c r="CI912" i="74" s="1"/>
  <c r="CN918" i="74"/>
  <c r="CN907" i="74"/>
  <c r="CN912" i="74" s="1"/>
  <c r="CD918" i="74"/>
  <c r="CD907" i="74"/>
  <c r="CD912" i="74" s="1"/>
  <c r="BN506" i="74"/>
  <c r="BJ506" i="74"/>
  <c r="BF506" i="74"/>
  <c r="BM506" i="74"/>
  <c r="BI506" i="74"/>
  <c r="BE506" i="74"/>
  <c r="BP506" i="74"/>
  <c r="BL506" i="74"/>
  <c r="BH506" i="74"/>
  <c r="BO506" i="74"/>
  <c r="BK506" i="74"/>
  <c r="BG506" i="74"/>
  <c r="S479" i="74"/>
  <c r="O347" i="74"/>
  <c r="O289" i="74"/>
  <c r="O353" i="74"/>
  <c r="Q348" i="74"/>
  <c r="Q290" i="74"/>
  <c r="Q354" i="74"/>
  <c r="BD496" i="74"/>
  <c r="BD687" i="74" s="1"/>
  <c r="AZ496" i="74"/>
  <c r="AZ687" i="74" s="1"/>
  <c r="AV496" i="74"/>
  <c r="AV687" i="74" s="1"/>
  <c r="BC496" i="74"/>
  <c r="BC687" i="74" s="1"/>
  <c r="AY496" i="74"/>
  <c r="AY687" i="74" s="1"/>
  <c r="AU496" i="74"/>
  <c r="AU687" i="74" s="1"/>
  <c r="BB496" i="74"/>
  <c r="BB687" i="74" s="1"/>
  <c r="AX496" i="74"/>
  <c r="AX687" i="74" s="1"/>
  <c r="AT496" i="74"/>
  <c r="AT687" i="74" s="1"/>
  <c r="BA496" i="74"/>
  <c r="BA687" i="74" s="1"/>
  <c r="AW496" i="74"/>
  <c r="AW687" i="74" s="1"/>
  <c r="AS496" i="74"/>
  <c r="BG884" i="74" l="1"/>
  <c r="BG889" i="74" s="1"/>
  <c r="AY884" i="74"/>
  <c r="AY889" i="74" s="1"/>
  <c r="BV908" i="74"/>
  <c r="BV913" i="74" s="1"/>
  <c r="CI908" i="74"/>
  <c r="CI913" i="74" s="1"/>
  <c r="CB908" i="74"/>
  <c r="CB913" i="74" s="1"/>
  <c r="X884" i="74"/>
  <c r="X889" i="74" s="1"/>
  <c r="CH908" i="74"/>
  <c r="CH913" i="74" s="1"/>
  <c r="BX884" i="74"/>
  <c r="BX889" i="74" s="1"/>
  <c r="CK908" i="74"/>
  <c r="CK913" i="74" s="1"/>
  <c r="BT908" i="74"/>
  <c r="BT913" i="74" s="1"/>
  <c r="AT908" i="74"/>
  <c r="AT913" i="74" s="1"/>
  <c r="BF884" i="74"/>
  <c r="BF889" i="74" s="1"/>
  <c r="CE908" i="74"/>
  <c r="CE913" i="74" s="1"/>
  <c r="CF908" i="74"/>
  <c r="CF913" i="74" s="1"/>
  <c r="BP908" i="74"/>
  <c r="BP913" i="74" s="1"/>
  <c r="AZ908" i="74"/>
  <c r="AZ913" i="74" s="1"/>
  <c r="AV908" i="74"/>
  <c r="AV913" i="74" s="1"/>
  <c r="Z884" i="74"/>
  <c r="Z889" i="74" s="1"/>
  <c r="BZ908" i="74"/>
  <c r="BZ913" i="74" s="1"/>
  <c r="BG908" i="74"/>
  <c r="BG913" i="74" s="1"/>
  <c r="BM884" i="74"/>
  <c r="BM889" i="74" s="1"/>
  <c r="BH884" i="74"/>
  <c r="BH889" i="74" s="1"/>
  <c r="BS908" i="74"/>
  <c r="BS913" i="74" s="1"/>
  <c r="CG908" i="74"/>
  <c r="CG913" i="74" s="1"/>
  <c r="BO908" i="74"/>
  <c r="BO913" i="74" s="1"/>
  <c r="BD884" i="74"/>
  <c r="BD889" i="74" s="1"/>
  <c r="BU884" i="74"/>
  <c r="BU889" i="74" s="1"/>
  <c r="AF884" i="74"/>
  <c r="AF889" i="74" s="1"/>
  <c r="BZ884" i="74"/>
  <c r="BZ889" i="74" s="1"/>
  <c r="CK884" i="74"/>
  <c r="CK889" i="74" s="1"/>
  <c r="CE884" i="74"/>
  <c r="CE889" i="74" s="1"/>
  <c r="BN908" i="74"/>
  <c r="BN913" i="74" s="1"/>
  <c r="AR884" i="74"/>
  <c r="AR889" i="74" s="1"/>
  <c r="AM884" i="74"/>
  <c r="AM889" i="74" s="1"/>
  <c r="CL908" i="74"/>
  <c r="CL913" i="74" s="1"/>
  <c r="S478" i="74"/>
  <c r="BW884" i="74"/>
  <c r="BW889" i="74" s="1"/>
  <c r="AP884" i="74"/>
  <c r="AP889" i="74" s="1"/>
  <c r="CD908" i="74"/>
  <c r="CD913" i="74" s="1"/>
  <c r="AQ884" i="74"/>
  <c r="AQ889" i="74" s="1"/>
  <c r="AV884" i="74"/>
  <c r="BB884" i="74"/>
  <c r="BB889" i="74" s="1"/>
  <c r="CA884" i="74"/>
  <c r="CA889" i="74" s="1"/>
  <c r="CJ884" i="74"/>
  <c r="CJ889" i="74" s="1"/>
  <c r="AH884" i="74"/>
  <c r="AH889" i="74" s="1"/>
  <c r="BI884" i="74"/>
  <c r="BI889" i="74" s="1"/>
  <c r="AC884" i="74"/>
  <c r="AC889" i="74" s="1"/>
  <c r="W884" i="74"/>
  <c r="W889" i="74" s="1"/>
  <c r="CL884" i="74"/>
  <c r="CL889" i="74" s="1"/>
  <c r="BU908" i="74"/>
  <c r="BU913" i="74" s="1"/>
  <c r="Y884" i="74"/>
  <c r="Y889" i="74" s="1"/>
  <c r="R478" i="74"/>
  <c r="V884" i="74"/>
  <c r="V889" i="74" s="1"/>
  <c r="BY884" i="74"/>
  <c r="BY889" i="74" s="1"/>
  <c r="CD884" i="74"/>
  <c r="CD889" i="74" s="1"/>
  <c r="BL908" i="74"/>
  <c r="BL913" i="74" s="1"/>
  <c r="BL884" i="74"/>
  <c r="BL889" i="74" s="1"/>
  <c r="CJ908" i="74"/>
  <c r="CJ913" i="74" s="1"/>
  <c r="BJ908" i="74"/>
  <c r="BO884" i="74"/>
  <c r="BO889" i="74" s="1"/>
  <c r="BP909" i="74"/>
  <c r="BP914" i="74" s="1"/>
  <c r="BK884" i="74"/>
  <c r="BK889" i="74" s="1"/>
  <c r="CB884" i="74"/>
  <c r="CB889" i="74" s="1"/>
  <c r="AV689" i="74"/>
  <c r="AV694" i="74" s="1"/>
  <c r="AV700" i="74"/>
  <c r="BO833" i="74"/>
  <c r="BO507" i="74"/>
  <c r="BO856" i="74" s="1"/>
  <c r="BJ833" i="74"/>
  <c r="BJ507" i="74"/>
  <c r="BJ856" i="74" s="1"/>
  <c r="BM520" i="74"/>
  <c r="BM525" i="74" s="1"/>
  <c r="BM531" i="74"/>
  <c r="CI762" i="74"/>
  <c r="CI767" i="74" s="1"/>
  <c r="CI773" i="74"/>
  <c r="CI763" i="74"/>
  <c r="CI768" i="74" s="1"/>
  <c r="BQ687" i="74"/>
  <c r="R496" i="74"/>
  <c r="CA700" i="74"/>
  <c r="CA689" i="74"/>
  <c r="CA694" i="74" s="1"/>
  <c r="AT520" i="74"/>
  <c r="AT525" i="74" s="1"/>
  <c r="AT531" i="74"/>
  <c r="AT521" i="74"/>
  <c r="AT526" i="74" s="1"/>
  <c r="BD531" i="74"/>
  <c r="BD520" i="74"/>
  <c r="BD525" i="74" s="1"/>
  <c r="BA700" i="74"/>
  <c r="BA689" i="74"/>
  <c r="BA694" i="74" s="1"/>
  <c r="AZ689" i="74"/>
  <c r="AZ694" i="74" s="1"/>
  <c r="AZ700" i="74"/>
  <c r="BI833" i="74"/>
  <c r="BI507" i="74"/>
  <c r="BI856" i="74" s="1"/>
  <c r="BN833" i="74"/>
  <c r="BN507" i="74"/>
  <c r="BN856" i="74" s="1"/>
  <c r="BF520" i="74"/>
  <c r="BF525" i="74" s="1"/>
  <c r="BF531" i="74"/>
  <c r="BP531" i="74"/>
  <c r="BP520" i="74"/>
  <c r="BP525" i="74" s="1"/>
  <c r="CH773" i="74"/>
  <c r="CH762" i="74"/>
  <c r="CH767" i="74" s="1"/>
  <c r="N479" i="74"/>
  <c r="R475" i="74"/>
  <c r="BM908" i="74"/>
  <c r="BM913" i="74" s="1"/>
  <c r="AO487" i="74"/>
  <c r="AO518" i="74" s="1"/>
  <c r="AK487" i="74"/>
  <c r="AK518" i="74" s="1"/>
  <c r="AG487" i="74"/>
  <c r="AR487" i="74"/>
  <c r="AR518" i="74" s="1"/>
  <c r="AN487" i="74"/>
  <c r="AN518" i="74" s="1"/>
  <c r="AJ487" i="74"/>
  <c r="AJ518" i="74" s="1"/>
  <c r="AQ487" i="74"/>
  <c r="AQ518" i="74" s="1"/>
  <c r="AM487" i="74"/>
  <c r="AM518" i="74" s="1"/>
  <c r="AI487" i="74"/>
  <c r="AI518" i="74" s="1"/>
  <c r="AP487" i="74"/>
  <c r="AP518" i="74" s="1"/>
  <c r="AL487" i="74"/>
  <c r="AL518" i="74" s="1"/>
  <c r="AH487" i="74"/>
  <c r="AH518" i="74" s="1"/>
  <c r="BU700" i="74"/>
  <c r="BU689" i="74"/>
  <c r="BU694" i="74" s="1"/>
  <c r="BZ700" i="74"/>
  <c r="BZ689" i="74"/>
  <c r="BZ694" i="74" s="1"/>
  <c r="BT689" i="74"/>
  <c r="BT694" i="74" s="1"/>
  <c r="BT700" i="74"/>
  <c r="AX520" i="74"/>
  <c r="AX525" i="74" s="1"/>
  <c r="AX531" i="74"/>
  <c r="BC531" i="74"/>
  <c r="BC520" i="74"/>
  <c r="BC525" i="74" s="1"/>
  <c r="AS518" i="74"/>
  <c r="P487" i="74"/>
  <c r="P337" i="74"/>
  <c r="P284" i="74"/>
  <c r="P282" i="74"/>
  <c r="BE760" i="74"/>
  <c r="Q501" i="74"/>
  <c r="BJ773" i="74"/>
  <c r="BJ762" i="74"/>
  <c r="BJ767" i="74" s="1"/>
  <c r="BO762" i="74"/>
  <c r="BO767" i="74" s="1"/>
  <c r="BO773" i="74"/>
  <c r="N348" i="74"/>
  <c r="N290" i="74"/>
  <c r="N354" i="74"/>
  <c r="AI918" i="74"/>
  <c r="AI907" i="74"/>
  <c r="AI912" i="74" s="1"/>
  <c r="AN918" i="74"/>
  <c r="AN907" i="74"/>
  <c r="AN912" i="74" s="1"/>
  <c r="AO918" i="74"/>
  <c r="AO907" i="74"/>
  <c r="AO912" i="74" s="1"/>
  <c r="BV520" i="74"/>
  <c r="BV525" i="74" s="1"/>
  <c r="BV531" i="74"/>
  <c r="CA531" i="74"/>
  <c r="CA520" i="74"/>
  <c r="CA525" i="74" s="1"/>
  <c r="BQ518" i="74"/>
  <c r="R487" i="74"/>
  <c r="O476" i="74"/>
  <c r="AC487" i="74"/>
  <c r="AC518" i="74" s="1"/>
  <c r="Y487" i="74"/>
  <c r="Y518" i="74" s="1"/>
  <c r="U487" i="74"/>
  <c r="AF487" i="74"/>
  <c r="AF518" i="74" s="1"/>
  <c r="AB487" i="74"/>
  <c r="AB518" i="74" s="1"/>
  <c r="X487" i="74"/>
  <c r="X518" i="74" s="1"/>
  <c r="AE487" i="74"/>
  <c r="AE518" i="74" s="1"/>
  <c r="AA487" i="74"/>
  <c r="AA518" i="74" s="1"/>
  <c r="W487" i="74"/>
  <c r="W518" i="74" s="1"/>
  <c r="AD487" i="74"/>
  <c r="AD518" i="74" s="1"/>
  <c r="Z487" i="74"/>
  <c r="Z518" i="74" s="1"/>
  <c r="V487" i="74"/>
  <c r="V518" i="74" s="1"/>
  <c r="BZ502" i="74"/>
  <c r="BV502" i="74"/>
  <c r="BR502" i="74"/>
  <c r="BY502" i="74"/>
  <c r="BU502" i="74"/>
  <c r="BQ502" i="74"/>
  <c r="CB502" i="74"/>
  <c r="BX502" i="74"/>
  <c r="BT502" i="74"/>
  <c r="CA502" i="74"/>
  <c r="BW502" i="74"/>
  <c r="BS502" i="74"/>
  <c r="BQ894" i="74"/>
  <c r="R894" i="74" s="1"/>
  <c r="BQ883" i="74"/>
  <c r="BQ884" i="74" s="1"/>
  <c r="BQ885" i="74" s="1"/>
  <c r="R881" i="74"/>
  <c r="AT773" i="74"/>
  <c r="AT762" i="74"/>
  <c r="AT767" i="74" s="1"/>
  <c r="AT763" i="74"/>
  <c r="AT768" i="74" s="1"/>
  <c r="AY762" i="74"/>
  <c r="AY767" i="74" s="1"/>
  <c r="AY773" i="74"/>
  <c r="BD773" i="74"/>
  <c r="BD762" i="74"/>
  <c r="BD767" i="74" s="1"/>
  <c r="AV833" i="74"/>
  <c r="AV507" i="74"/>
  <c r="AV856" i="74" s="1"/>
  <c r="AW833" i="74"/>
  <c r="AW507" i="74"/>
  <c r="AW856" i="74" s="1"/>
  <c r="BB833" i="74"/>
  <c r="BB507" i="74"/>
  <c r="BB856" i="74" s="1"/>
  <c r="BT833" i="74"/>
  <c r="BT507" i="74"/>
  <c r="BT856" i="74" s="1"/>
  <c r="BU833" i="74"/>
  <c r="BU507" i="74"/>
  <c r="BU856" i="74" s="1"/>
  <c r="BZ833" i="74"/>
  <c r="BZ507" i="74"/>
  <c r="BZ856" i="74" s="1"/>
  <c r="CC687" i="74"/>
  <c r="S496" i="74"/>
  <c r="CH700" i="74"/>
  <c r="CH689" i="74"/>
  <c r="CH694" i="74" s="1"/>
  <c r="CM700" i="74"/>
  <c r="CM689" i="74"/>
  <c r="CM694" i="74" s="1"/>
  <c r="AA918" i="74"/>
  <c r="AA907" i="74"/>
  <c r="AA912" i="74" s="1"/>
  <c r="AF918" i="74"/>
  <c r="AF907" i="74"/>
  <c r="AF912" i="74" s="1"/>
  <c r="V918" i="74"/>
  <c r="V907" i="74"/>
  <c r="V912" i="74" s="1"/>
  <c r="CA488" i="74"/>
  <c r="CA541" i="74" s="1"/>
  <c r="BW488" i="74"/>
  <c r="BW541" i="74" s="1"/>
  <c r="BS488" i="74"/>
  <c r="BS541" i="74" s="1"/>
  <c r="BZ488" i="74"/>
  <c r="BZ541" i="74" s="1"/>
  <c r="BV488" i="74"/>
  <c r="BV541" i="74" s="1"/>
  <c r="BR488" i="74"/>
  <c r="BR541" i="74" s="1"/>
  <c r="BY488" i="74"/>
  <c r="BY541" i="74" s="1"/>
  <c r="BU488" i="74"/>
  <c r="BU541" i="74" s="1"/>
  <c r="BQ488" i="74"/>
  <c r="CB488" i="74"/>
  <c r="CB541" i="74" s="1"/>
  <c r="BX488" i="74"/>
  <c r="BX541" i="74" s="1"/>
  <c r="BT488" i="74"/>
  <c r="BT541" i="74" s="1"/>
  <c r="AQ478" i="74"/>
  <c r="AM478" i="74"/>
  <c r="AI478" i="74"/>
  <c r="AP478" i="74"/>
  <c r="AL478" i="74"/>
  <c r="AH478" i="74"/>
  <c r="AO478" i="74"/>
  <c r="AK478" i="74"/>
  <c r="AG478" i="74"/>
  <c r="AR478" i="74"/>
  <c r="AN478" i="74"/>
  <c r="AJ478" i="74"/>
  <c r="N476" i="74"/>
  <c r="BU909" i="74"/>
  <c r="BU914" i="74" s="1"/>
  <c r="CE833" i="74"/>
  <c r="CE507" i="74"/>
  <c r="CE856" i="74" s="1"/>
  <c r="CJ833" i="74"/>
  <c r="CJ507" i="74"/>
  <c r="CJ856" i="74" s="1"/>
  <c r="CK833" i="74"/>
  <c r="CK507" i="74"/>
  <c r="CK856" i="74" s="1"/>
  <c r="F412" i="73"/>
  <c r="N93" i="73" s="1"/>
  <c r="N94" i="73" s="1"/>
  <c r="BF700" i="74"/>
  <c r="BF689" i="74"/>
  <c r="BF694" i="74" s="1"/>
  <c r="BK700" i="74"/>
  <c r="BK689" i="74"/>
  <c r="BK694" i="74" s="1"/>
  <c r="BK690" i="74"/>
  <c r="BK695" i="74" s="1"/>
  <c r="BP689" i="74"/>
  <c r="BP694" i="74" s="1"/>
  <c r="BP700" i="74"/>
  <c r="P478" i="74"/>
  <c r="BP910" i="74"/>
  <c r="BP915" i="74" s="1"/>
  <c r="BP919" i="74" s="1"/>
  <c r="AJ884" i="74"/>
  <c r="AJ889" i="74" s="1"/>
  <c r="BP884" i="74"/>
  <c r="BP889" i="74" s="1"/>
  <c r="R477" i="74"/>
  <c r="P477" i="74"/>
  <c r="BR773" i="74"/>
  <c r="BR762" i="74"/>
  <c r="BR767" i="74" s="1"/>
  <c r="BW762" i="74"/>
  <c r="BW767" i="74" s="1"/>
  <c r="BW773" i="74"/>
  <c r="CB773" i="74"/>
  <c r="CB762" i="74"/>
  <c r="CB767" i="74" s="1"/>
  <c r="CH520" i="74"/>
  <c r="CH525" i="74" s="1"/>
  <c r="CH531" i="74"/>
  <c r="CH521" i="74"/>
  <c r="CH526" i="74" s="1"/>
  <c r="CM531" i="74"/>
  <c r="CM520" i="74"/>
  <c r="CM525" i="74" s="1"/>
  <c r="CC518" i="74"/>
  <c r="S487" i="74"/>
  <c r="AY700" i="74"/>
  <c r="AY689" i="74"/>
  <c r="AY694" i="74" s="1"/>
  <c r="AY690" i="74"/>
  <c r="AY695" i="74" s="1"/>
  <c r="AR501" i="74"/>
  <c r="AR760" i="74" s="1"/>
  <c r="AN501" i="74"/>
  <c r="AN760" i="74" s="1"/>
  <c r="AJ501" i="74"/>
  <c r="AJ760" i="74" s="1"/>
  <c r="AQ501" i="74"/>
  <c r="AQ760" i="74" s="1"/>
  <c r="AM501" i="74"/>
  <c r="AM760" i="74" s="1"/>
  <c r="AI501" i="74"/>
  <c r="AI760" i="74" s="1"/>
  <c r="AP501" i="74"/>
  <c r="AP760" i="74" s="1"/>
  <c r="AL501" i="74"/>
  <c r="AL760" i="74" s="1"/>
  <c r="AH501" i="74"/>
  <c r="AH760" i="74" s="1"/>
  <c r="AO501" i="74"/>
  <c r="AO760" i="74" s="1"/>
  <c r="AK501" i="74"/>
  <c r="AK760" i="74" s="1"/>
  <c r="AG501" i="74"/>
  <c r="BL833" i="74"/>
  <c r="BL507" i="74"/>
  <c r="BL856" i="74" s="1"/>
  <c r="P475" i="74"/>
  <c r="BO531" i="74"/>
  <c r="BO520" i="74"/>
  <c r="BO525" i="74" s="1"/>
  <c r="CL773" i="74"/>
  <c r="CL762" i="74"/>
  <c r="CL767" i="74" s="1"/>
  <c r="CN884" i="74"/>
  <c r="CN889" i="74" s="1"/>
  <c r="BB908" i="74"/>
  <c r="BB913" i="74" s="1"/>
  <c r="O336" i="74"/>
  <c r="O281" i="74"/>
  <c r="CB909" i="74"/>
  <c r="CB914" i="74" s="1"/>
  <c r="BS700" i="74"/>
  <c r="BS689" i="74"/>
  <c r="BS694" i="74" s="1"/>
  <c r="AV531" i="74"/>
  <c r="AV520" i="74"/>
  <c r="AV525" i="74" s="1"/>
  <c r="BC488" i="74"/>
  <c r="BC541" i="74" s="1"/>
  <c r="AY488" i="74"/>
  <c r="AY541" i="74" s="1"/>
  <c r="AU488" i="74"/>
  <c r="AU541" i="74" s="1"/>
  <c r="BB488" i="74"/>
  <c r="BB541" i="74" s="1"/>
  <c r="AX488" i="74"/>
  <c r="AX541" i="74" s="1"/>
  <c r="AT488" i="74"/>
  <c r="AT541" i="74" s="1"/>
  <c r="BA488" i="74"/>
  <c r="BA541" i="74" s="1"/>
  <c r="AW488" i="74"/>
  <c r="AW541" i="74" s="1"/>
  <c r="AS488" i="74"/>
  <c r="BD488" i="74"/>
  <c r="BD541" i="74" s="1"/>
  <c r="AZ488" i="74"/>
  <c r="AZ541" i="74" s="1"/>
  <c r="AV488" i="74"/>
  <c r="AV541" i="74" s="1"/>
  <c r="P355" i="74"/>
  <c r="P349" i="74"/>
  <c r="BN773" i="74"/>
  <c r="BN762" i="74"/>
  <c r="BN767" i="74" s="1"/>
  <c r="BH773" i="74"/>
  <c r="BH762" i="74"/>
  <c r="BH767" i="74" s="1"/>
  <c r="AF496" i="74"/>
  <c r="AF687" i="74" s="1"/>
  <c r="AB496" i="74"/>
  <c r="AB687" i="74" s="1"/>
  <c r="X496" i="74"/>
  <c r="X687" i="74" s="1"/>
  <c r="AE496" i="74"/>
  <c r="AE687" i="74" s="1"/>
  <c r="AA496" i="74"/>
  <c r="AA687" i="74" s="1"/>
  <c r="W496" i="74"/>
  <c r="W687" i="74" s="1"/>
  <c r="AD496" i="74"/>
  <c r="AD687" i="74" s="1"/>
  <c r="Z496" i="74"/>
  <c r="Z687" i="74" s="1"/>
  <c r="V496" i="74"/>
  <c r="V687" i="74" s="1"/>
  <c r="AC496" i="74"/>
  <c r="AC687" i="74" s="1"/>
  <c r="Y496" i="74"/>
  <c r="Y687" i="74" s="1"/>
  <c r="U496" i="74"/>
  <c r="CK909" i="74"/>
  <c r="CK914" i="74" s="1"/>
  <c r="Q478" i="74"/>
  <c r="AM918" i="74"/>
  <c r="AM907" i="74"/>
  <c r="AM912" i="74" s="1"/>
  <c r="AR918" i="74"/>
  <c r="AR907" i="74"/>
  <c r="AR912" i="74" s="1"/>
  <c r="AH918" i="74"/>
  <c r="AH907" i="74"/>
  <c r="AH912" i="74" s="1"/>
  <c r="BZ520" i="74"/>
  <c r="BZ525" i="74" s="1"/>
  <c r="BZ531" i="74"/>
  <c r="BT531" i="74"/>
  <c r="BT520" i="74"/>
  <c r="BT525" i="74" s="1"/>
  <c r="BU520" i="74"/>
  <c r="BU525" i="74" s="1"/>
  <c r="BU531" i="74"/>
  <c r="BU521" i="74"/>
  <c r="BU526" i="74" s="1"/>
  <c r="AS918" i="74"/>
  <c r="P918" i="74" s="1"/>
  <c r="P905" i="74"/>
  <c r="AS907" i="74"/>
  <c r="AC477" i="74"/>
  <c r="Y477" i="74"/>
  <c r="U477" i="74"/>
  <c r="AF477" i="74"/>
  <c r="AB477" i="74"/>
  <c r="X477" i="74"/>
  <c r="AE477" i="74"/>
  <c r="AA477" i="74"/>
  <c r="W477" i="74"/>
  <c r="AD477" i="74"/>
  <c r="Z477" i="74"/>
  <c r="V477" i="74"/>
  <c r="R355" i="74"/>
  <c r="R349" i="74"/>
  <c r="AS894" i="74"/>
  <c r="P894" i="74" s="1"/>
  <c r="P881" i="74"/>
  <c r="AS883" i="74"/>
  <c r="AX884" i="74"/>
  <c r="AX889" i="74" s="1"/>
  <c r="BT884" i="74"/>
  <c r="BT889" i="74" s="1"/>
  <c r="S284" i="74"/>
  <c r="S282" i="74"/>
  <c r="S337" i="74"/>
  <c r="AS760" i="74"/>
  <c r="P501" i="74"/>
  <c r="AX773" i="74"/>
  <c r="AX762" i="74"/>
  <c r="AX767" i="74" s="1"/>
  <c r="BC762" i="74"/>
  <c r="BC767" i="74" s="1"/>
  <c r="BC773" i="74"/>
  <c r="AU833" i="74"/>
  <c r="AU507" i="74"/>
  <c r="AU856" i="74" s="1"/>
  <c r="AZ833" i="74"/>
  <c r="AZ507" i="74"/>
  <c r="AZ856" i="74" s="1"/>
  <c r="BA833" i="74"/>
  <c r="BA507" i="74"/>
  <c r="BA856" i="74" s="1"/>
  <c r="BS833" i="74"/>
  <c r="BS507" i="74"/>
  <c r="BS856" i="74" s="1"/>
  <c r="BX833" i="74"/>
  <c r="BX507" i="74"/>
  <c r="BX856" i="74" s="1"/>
  <c r="BY833" i="74"/>
  <c r="BY507" i="74"/>
  <c r="BY856" i="74" s="1"/>
  <c r="CF909" i="74"/>
  <c r="CF914" i="74" s="1"/>
  <c r="Q475" i="74"/>
  <c r="CG700" i="74"/>
  <c r="CG689" i="74"/>
  <c r="CG694" i="74" s="1"/>
  <c r="CL700" i="74"/>
  <c r="CL689" i="74"/>
  <c r="CL694" i="74" s="1"/>
  <c r="CF689" i="74"/>
  <c r="CF694" i="74" s="1"/>
  <c r="CF700" i="74"/>
  <c r="CF884" i="74"/>
  <c r="CF889" i="74" s="1"/>
  <c r="AE918" i="74"/>
  <c r="AE907" i="74"/>
  <c r="AE912" i="74" s="1"/>
  <c r="U905" i="74"/>
  <c r="N510" i="74"/>
  <c r="Z918" i="74"/>
  <c r="Z907" i="74"/>
  <c r="Z912" i="74" s="1"/>
  <c r="BE918" i="74"/>
  <c r="Q918" i="74" s="1"/>
  <c r="Q905" i="74"/>
  <c r="BE907" i="74"/>
  <c r="BE908" i="74" s="1"/>
  <c r="CI833" i="74"/>
  <c r="CI507" i="74"/>
  <c r="CI856" i="74" s="1"/>
  <c r="CN833" i="74"/>
  <c r="CN507" i="74"/>
  <c r="CN856" i="74" s="1"/>
  <c r="CD833" i="74"/>
  <c r="CD507" i="74"/>
  <c r="CD856" i="74" s="1"/>
  <c r="AD884" i="74"/>
  <c r="AD889" i="74" s="1"/>
  <c r="BE687" i="74"/>
  <c r="Q496" i="74"/>
  <c r="BJ700" i="74"/>
  <c r="BJ689" i="74"/>
  <c r="BJ694" i="74" s="1"/>
  <c r="BJ690" i="74"/>
  <c r="BJ695" i="74" s="1"/>
  <c r="BO700" i="74"/>
  <c r="BO689" i="74"/>
  <c r="BO694" i="74" s="1"/>
  <c r="CH909" i="74"/>
  <c r="CH914" i="74" s="1"/>
  <c r="CK497" i="74"/>
  <c r="CG497" i="74"/>
  <c r="CC497" i="74"/>
  <c r="CN497" i="74"/>
  <c r="CJ497" i="74"/>
  <c r="CF497" i="74"/>
  <c r="CM497" i="74"/>
  <c r="CI497" i="74"/>
  <c r="CE497" i="74"/>
  <c r="CL497" i="74"/>
  <c r="CH497" i="74"/>
  <c r="CD497" i="74"/>
  <c r="CC894" i="74"/>
  <c r="S894" i="74" s="1"/>
  <c r="CC883" i="74"/>
  <c r="S881" i="74"/>
  <c r="CH884" i="74"/>
  <c r="CH889" i="74" s="1"/>
  <c r="O479" i="74"/>
  <c r="BA908" i="74"/>
  <c r="BA909" i="74" s="1"/>
  <c r="BA914" i="74" s="1"/>
  <c r="AK884" i="74"/>
  <c r="AK889" i="74" s="1"/>
  <c r="BQ918" i="74"/>
  <c r="R918" i="74" s="1"/>
  <c r="BQ907" i="74"/>
  <c r="BQ908" i="74" s="1"/>
  <c r="R905" i="74"/>
  <c r="BQ760" i="74"/>
  <c r="R501" i="74"/>
  <c r="BV773" i="74"/>
  <c r="BV762" i="74"/>
  <c r="BV767" i="74" s="1"/>
  <c r="CA762" i="74"/>
  <c r="CA767" i="74" s="1"/>
  <c r="CA773" i="74"/>
  <c r="U894" i="74"/>
  <c r="N894" i="74" s="1"/>
  <c r="N881" i="74"/>
  <c r="U883" i="74"/>
  <c r="U884" i="74" s="1"/>
  <c r="S475" i="74"/>
  <c r="CL520" i="74"/>
  <c r="CL525" i="74" s="1"/>
  <c r="CL531" i="74"/>
  <c r="CF531" i="74"/>
  <c r="CF520" i="74"/>
  <c r="CF525" i="74" s="1"/>
  <c r="CG520" i="74"/>
  <c r="CG525" i="74" s="1"/>
  <c r="CG531" i="74"/>
  <c r="AW700" i="74"/>
  <c r="AW689" i="74"/>
  <c r="AW694" i="74" s="1"/>
  <c r="Q355" i="74"/>
  <c r="Q349" i="74"/>
  <c r="CI909" i="74"/>
  <c r="CI914" i="74" s="1"/>
  <c r="BL531" i="74"/>
  <c r="BL520" i="74"/>
  <c r="BL525" i="74" s="1"/>
  <c r="CN773" i="74"/>
  <c r="CN762" i="74"/>
  <c r="CN767" i="74" s="1"/>
  <c r="BV700" i="74"/>
  <c r="BV689" i="74"/>
  <c r="BV694" i="74" s="1"/>
  <c r="AU700" i="74"/>
  <c r="AU689" i="74"/>
  <c r="AU694" i="74" s="1"/>
  <c r="BM497" i="74"/>
  <c r="BI497" i="74"/>
  <c r="BE497" i="74"/>
  <c r="BP497" i="74"/>
  <c r="BL497" i="74"/>
  <c r="BH497" i="74"/>
  <c r="BO497" i="74"/>
  <c r="BK497" i="74"/>
  <c r="BG497" i="74"/>
  <c r="BN497" i="74"/>
  <c r="BJ497" i="74"/>
  <c r="BF497" i="74"/>
  <c r="BH833" i="74"/>
  <c r="BH507" i="74"/>
  <c r="BH856" i="74" s="1"/>
  <c r="BK531" i="74"/>
  <c r="BK520" i="74"/>
  <c r="BK525" i="74" s="1"/>
  <c r="CC760" i="74"/>
  <c r="S501" i="74"/>
  <c r="CM762" i="74"/>
  <c r="CM767" i="74" s="1"/>
  <c r="CM773" i="74"/>
  <c r="CM763" i="74"/>
  <c r="CM768" i="74" s="1"/>
  <c r="AW908" i="74"/>
  <c r="AW913" i="74" s="1"/>
  <c r="AT700" i="74"/>
  <c r="AT689" i="74"/>
  <c r="AT694" i="74" s="1"/>
  <c r="BD689" i="74"/>
  <c r="BD694" i="74" s="1"/>
  <c r="BD700" i="74"/>
  <c r="BG833" i="74"/>
  <c r="BG507" i="74"/>
  <c r="BG856" i="74" s="1"/>
  <c r="BM833" i="74"/>
  <c r="BM507" i="74"/>
  <c r="BM856" i="74" s="1"/>
  <c r="BJ520" i="74"/>
  <c r="BJ525" i="74" s="1"/>
  <c r="BJ531" i="74"/>
  <c r="BJ521" i="74"/>
  <c r="BJ526" i="74" s="1"/>
  <c r="BE518" i="74"/>
  <c r="Q487" i="74"/>
  <c r="CG773" i="74"/>
  <c r="CG762" i="74"/>
  <c r="CG767" i="74" s="1"/>
  <c r="CF773" i="74"/>
  <c r="CF762" i="74"/>
  <c r="CF767" i="74" s="1"/>
  <c r="CF763" i="74"/>
  <c r="CF768" i="74" s="1"/>
  <c r="CI884" i="74"/>
  <c r="CI889" i="74" s="1"/>
  <c r="Q477" i="74"/>
  <c r="BR908" i="74"/>
  <c r="BR913" i="74" s="1"/>
  <c r="BY700" i="74"/>
  <c r="BY689" i="74"/>
  <c r="BY694" i="74" s="1"/>
  <c r="BX689" i="74"/>
  <c r="BX694" i="74" s="1"/>
  <c r="BX700" i="74"/>
  <c r="BB520" i="74"/>
  <c r="BB525" i="74" s="1"/>
  <c r="BB531" i="74"/>
  <c r="AW520" i="74"/>
  <c r="AW525" i="74" s="1"/>
  <c r="AW531" i="74"/>
  <c r="AW521" i="74"/>
  <c r="AW526" i="74" s="1"/>
  <c r="CA885" i="74"/>
  <c r="CA890" i="74" s="1"/>
  <c r="BI773" i="74"/>
  <c r="BI762" i="74"/>
  <c r="BI767" i="74" s="1"/>
  <c r="AS687" i="74"/>
  <c r="P496" i="74"/>
  <c r="AX700" i="74"/>
  <c r="AX689" i="74"/>
  <c r="AX694" i="74" s="1"/>
  <c r="BC700" i="74"/>
  <c r="BC689" i="74"/>
  <c r="BC694" i="74" s="1"/>
  <c r="BN502" i="74"/>
  <c r="BJ502" i="74"/>
  <c r="BF502" i="74"/>
  <c r="BM502" i="74"/>
  <c r="BI502" i="74"/>
  <c r="BE502" i="74"/>
  <c r="BP502" i="74"/>
  <c r="BL502" i="74"/>
  <c r="BH502" i="74"/>
  <c r="BO502" i="74"/>
  <c r="BK502" i="74"/>
  <c r="BG502" i="74"/>
  <c r="O290" i="74"/>
  <c r="O354" i="74"/>
  <c r="O348" i="74"/>
  <c r="BK833" i="74"/>
  <c r="BK507" i="74"/>
  <c r="BK856" i="74" s="1"/>
  <c r="BP833" i="74"/>
  <c r="BP507" i="74"/>
  <c r="BP856" i="74" s="1"/>
  <c r="BF833" i="74"/>
  <c r="BF507" i="74"/>
  <c r="BF856" i="74" s="1"/>
  <c r="CN908" i="74"/>
  <c r="CN909" i="74" s="1"/>
  <c r="CN914" i="74" s="1"/>
  <c r="BN520" i="74"/>
  <c r="BN525" i="74" s="1"/>
  <c r="BN531" i="74"/>
  <c r="BH531" i="74"/>
  <c r="BH520" i="74"/>
  <c r="BH525" i="74" s="1"/>
  <c r="BI520" i="74"/>
  <c r="BI525" i="74" s="1"/>
  <c r="BI531" i="74"/>
  <c r="BI521" i="74"/>
  <c r="BI526" i="74" s="1"/>
  <c r="CK773" i="74"/>
  <c r="CK762" i="74"/>
  <c r="CK767" i="74" s="1"/>
  <c r="CE762" i="74"/>
  <c r="CE767" i="74" s="1"/>
  <c r="CE773" i="74"/>
  <c r="CJ773" i="74"/>
  <c r="CJ762" i="74"/>
  <c r="CJ767" i="74" s="1"/>
  <c r="BG909" i="74"/>
  <c r="BG914" i="74" s="1"/>
  <c r="BB909" i="74"/>
  <c r="BB914" i="74" s="1"/>
  <c r="AG894" i="74"/>
  <c r="O894" i="74" s="1"/>
  <c r="AG883" i="74"/>
  <c r="AG884" i="74" s="1"/>
  <c r="AG885" i="74" s="1"/>
  <c r="O881" i="74"/>
  <c r="AL884" i="74"/>
  <c r="AL885" i="74" s="1"/>
  <c r="AL890" i="74" s="1"/>
  <c r="BM885" i="74"/>
  <c r="BG885" i="74"/>
  <c r="BG890" i="74" s="1"/>
  <c r="BR909" i="74"/>
  <c r="BR914" i="74" s="1"/>
  <c r="BW908" i="74"/>
  <c r="BW909" i="74" s="1"/>
  <c r="BW914" i="74" s="1"/>
  <c r="AD506" i="74"/>
  <c r="Z506" i="74"/>
  <c r="V506" i="74"/>
  <c r="AC506" i="74"/>
  <c r="Y506" i="74"/>
  <c r="U506" i="74"/>
  <c r="AF506" i="74"/>
  <c r="AB506" i="74"/>
  <c r="X506" i="74"/>
  <c r="AE506" i="74"/>
  <c r="AA506" i="74"/>
  <c r="W506" i="74"/>
  <c r="BR700" i="74"/>
  <c r="BR689" i="74"/>
  <c r="BR694" i="74" s="1"/>
  <c r="BW700" i="74"/>
  <c r="BW689" i="74"/>
  <c r="BW694" i="74" s="1"/>
  <c r="CB689" i="74"/>
  <c r="CB694" i="74" s="1"/>
  <c r="CB700" i="74"/>
  <c r="AW884" i="74"/>
  <c r="AW889" i="74" s="1"/>
  <c r="BB885" i="74"/>
  <c r="BB890" i="74" s="1"/>
  <c r="AF885" i="74"/>
  <c r="AF890" i="74" s="1"/>
  <c r="AU531" i="74"/>
  <c r="AU520" i="74"/>
  <c r="AU525" i="74" s="1"/>
  <c r="AZ531" i="74"/>
  <c r="AZ520" i="74"/>
  <c r="AZ525" i="74" s="1"/>
  <c r="BA520" i="74"/>
  <c r="BA525" i="74" s="1"/>
  <c r="BA531" i="74"/>
  <c r="BA497" i="74"/>
  <c r="AW497" i="74"/>
  <c r="AS497" i="74"/>
  <c r="BD497" i="74"/>
  <c r="AZ497" i="74"/>
  <c r="AV497" i="74"/>
  <c r="BC497" i="74"/>
  <c r="AY497" i="74"/>
  <c r="AU497" i="74"/>
  <c r="BB497" i="74"/>
  <c r="AX497" i="74"/>
  <c r="AT497" i="74"/>
  <c r="BM773" i="74"/>
  <c r="BM762" i="74"/>
  <c r="BM767" i="74" s="1"/>
  <c r="BG762" i="74"/>
  <c r="BG767" i="74" s="1"/>
  <c r="BG773" i="74"/>
  <c r="BL773" i="74"/>
  <c r="BL762" i="74"/>
  <c r="BL767" i="74" s="1"/>
  <c r="BL763" i="74"/>
  <c r="BL768" i="74" s="1"/>
  <c r="AF501" i="74"/>
  <c r="AF760" i="74" s="1"/>
  <c r="AB501" i="74"/>
  <c r="AB760" i="74" s="1"/>
  <c r="X501" i="74"/>
  <c r="X760" i="74" s="1"/>
  <c r="AE501" i="74"/>
  <c r="AE760" i="74" s="1"/>
  <c r="AA501" i="74"/>
  <c r="AA760" i="74" s="1"/>
  <c r="W501" i="74"/>
  <c r="W760" i="74" s="1"/>
  <c r="AD501" i="74"/>
  <c r="AD760" i="74" s="1"/>
  <c r="Z501" i="74"/>
  <c r="Z760" i="74" s="1"/>
  <c r="V501" i="74"/>
  <c r="V760" i="74" s="1"/>
  <c r="AC501" i="74"/>
  <c r="AC760" i="74" s="1"/>
  <c r="Y501" i="74"/>
  <c r="Y760" i="74" s="1"/>
  <c r="U501" i="74"/>
  <c r="CK910" i="74"/>
  <c r="CK915" i="74" s="1"/>
  <c r="BO488" i="74"/>
  <c r="BO541" i="74" s="1"/>
  <c r="BK488" i="74"/>
  <c r="BK541" i="74" s="1"/>
  <c r="BG488" i="74"/>
  <c r="BG541" i="74" s="1"/>
  <c r="BN488" i="74"/>
  <c r="BN541" i="74" s="1"/>
  <c r="BJ488" i="74"/>
  <c r="BJ541" i="74" s="1"/>
  <c r="BF488" i="74"/>
  <c r="BF541" i="74" s="1"/>
  <c r="BM488" i="74"/>
  <c r="BM541" i="74" s="1"/>
  <c r="BI488" i="74"/>
  <c r="BI541" i="74" s="1"/>
  <c r="BE488" i="74"/>
  <c r="BP488" i="74"/>
  <c r="BP541" i="74" s="1"/>
  <c r="BL488" i="74"/>
  <c r="BL541" i="74" s="1"/>
  <c r="BH488" i="74"/>
  <c r="BH541" i="74" s="1"/>
  <c r="CJ885" i="74"/>
  <c r="CJ890" i="74" s="1"/>
  <c r="AQ918" i="74"/>
  <c r="AQ907" i="74"/>
  <c r="AQ912" i="74" s="1"/>
  <c r="AG905" i="74"/>
  <c r="O510" i="74"/>
  <c r="AL918" i="74"/>
  <c r="AL907" i="74"/>
  <c r="AL912" i="74" s="1"/>
  <c r="BI908" i="74"/>
  <c r="BH908" i="74"/>
  <c r="BS531" i="74"/>
  <c r="BS520" i="74"/>
  <c r="BS525" i="74" s="1"/>
  <c r="BX531" i="74"/>
  <c r="BX520" i="74"/>
  <c r="BX525" i="74" s="1"/>
  <c r="BY520" i="74"/>
  <c r="BY525" i="74" s="1"/>
  <c r="BY531" i="74"/>
  <c r="AX908" i="74"/>
  <c r="BC908" i="74"/>
  <c r="BC913" i="74" s="1"/>
  <c r="BN884" i="74"/>
  <c r="BN885" i="74" s="1"/>
  <c r="BN890" i="74" s="1"/>
  <c r="AO477" i="74"/>
  <c r="AK477" i="74"/>
  <c r="AG477" i="74"/>
  <c r="AR477" i="74"/>
  <c r="AN477" i="74"/>
  <c r="AJ477" i="74"/>
  <c r="AQ477" i="74"/>
  <c r="AM477" i="74"/>
  <c r="AI477" i="74"/>
  <c r="AP477" i="74"/>
  <c r="AL477" i="74"/>
  <c r="AH477" i="74"/>
  <c r="BY908" i="74"/>
  <c r="BX908" i="74"/>
  <c r="BY497" i="74"/>
  <c r="BU497" i="74"/>
  <c r="BQ497" i="74"/>
  <c r="CB497" i="74"/>
  <c r="BX497" i="74"/>
  <c r="BT497" i="74"/>
  <c r="CA497" i="74"/>
  <c r="BW497" i="74"/>
  <c r="BS497" i="74"/>
  <c r="BZ497" i="74"/>
  <c r="BV497" i="74"/>
  <c r="BR497" i="74"/>
  <c r="BC884" i="74"/>
  <c r="BC885" i="74" s="1"/>
  <c r="BC890" i="74" s="1"/>
  <c r="AB884" i="74"/>
  <c r="W885" i="74"/>
  <c r="W890" i="74" s="1"/>
  <c r="CM488" i="74"/>
  <c r="CM541" i="74" s="1"/>
  <c r="CI488" i="74"/>
  <c r="CI541" i="74" s="1"/>
  <c r="CE488" i="74"/>
  <c r="CE541" i="74" s="1"/>
  <c r="CL488" i="74"/>
  <c r="CL541" i="74" s="1"/>
  <c r="CH488" i="74"/>
  <c r="CH541" i="74" s="1"/>
  <c r="CD488" i="74"/>
  <c r="CD541" i="74" s="1"/>
  <c r="CK488" i="74"/>
  <c r="CK541" i="74" s="1"/>
  <c r="CG488" i="74"/>
  <c r="CG541" i="74" s="1"/>
  <c r="CC488" i="74"/>
  <c r="CN488" i="74"/>
  <c r="CN541" i="74" s="1"/>
  <c r="CJ488" i="74"/>
  <c r="CJ541" i="74" s="1"/>
  <c r="CF488" i="74"/>
  <c r="CF541" i="74" s="1"/>
  <c r="AW773" i="74"/>
  <c r="AW762" i="74"/>
  <c r="AW767" i="74" s="1"/>
  <c r="BB773" i="74"/>
  <c r="BB762" i="74"/>
  <c r="BB767" i="74" s="1"/>
  <c r="AV773" i="74"/>
  <c r="AV762" i="74"/>
  <c r="AV767" i="74" s="1"/>
  <c r="AY833" i="74"/>
  <c r="AY507" i="74"/>
  <c r="AY856" i="74" s="1"/>
  <c r="BD833" i="74"/>
  <c r="BD507" i="74"/>
  <c r="BD856" i="74" s="1"/>
  <c r="AT833" i="74"/>
  <c r="AT507" i="74"/>
  <c r="AT856" i="74" s="1"/>
  <c r="BW833" i="74"/>
  <c r="BW507" i="74"/>
  <c r="BW856" i="74" s="1"/>
  <c r="CB833" i="74"/>
  <c r="CB507" i="74"/>
  <c r="CB856" i="74" s="1"/>
  <c r="BR833" i="74"/>
  <c r="BR507" i="74"/>
  <c r="BR856" i="74" s="1"/>
  <c r="CK700" i="74"/>
  <c r="CK689" i="74"/>
  <c r="CK694" i="74" s="1"/>
  <c r="CE700" i="74"/>
  <c r="CE689" i="74"/>
  <c r="CE694" i="74" s="1"/>
  <c r="CJ689" i="74"/>
  <c r="CJ694" i="74" s="1"/>
  <c r="CJ700" i="74"/>
  <c r="CG884" i="74"/>
  <c r="CG885" i="74" s="1"/>
  <c r="CG890" i="74" s="1"/>
  <c r="X918" i="74"/>
  <c r="X907" i="74"/>
  <c r="X912" i="74" s="1"/>
  <c r="Y918" i="74"/>
  <c r="Y907" i="74"/>
  <c r="Y912" i="74" s="1"/>
  <c r="AD918" i="74"/>
  <c r="AD907" i="74"/>
  <c r="AD912" i="74" s="1"/>
  <c r="BD908" i="74"/>
  <c r="BD913" i="74" s="1"/>
  <c r="AY908" i="74"/>
  <c r="AY909" i="74" s="1"/>
  <c r="AY914" i="74" s="1"/>
  <c r="AO884" i="74"/>
  <c r="AO885" i="74" s="1"/>
  <c r="AO890" i="74" s="1"/>
  <c r="AN884" i="74"/>
  <c r="AI884" i="74"/>
  <c r="AI885" i="74" s="1"/>
  <c r="AI890" i="74" s="1"/>
  <c r="BE894" i="74"/>
  <c r="Q894" i="74" s="1"/>
  <c r="Q881" i="74"/>
  <c r="BE883" i="74"/>
  <c r="BJ884" i="74"/>
  <c r="BJ885" i="74" s="1"/>
  <c r="BJ890" i="74" s="1"/>
  <c r="S477" i="74"/>
  <c r="BT909" i="74"/>
  <c r="CM833" i="74"/>
  <c r="CM507" i="74"/>
  <c r="CM856" i="74" s="1"/>
  <c r="CC833" i="74"/>
  <c r="S506" i="74"/>
  <c r="CC507" i="74"/>
  <c r="CH833" i="74"/>
  <c r="CH507" i="74"/>
  <c r="CH856" i="74" s="1"/>
  <c r="BD885" i="74"/>
  <c r="BD890" i="74" s="1"/>
  <c r="AT884" i="74"/>
  <c r="Y885" i="74"/>
  <c r="Y890" i="74" s="1"/>
  <c r="BV884" i="74"/>
  <c r="BI700" i="74"/>
  <c r="BI689" i="74"/>
  <c r="BI694" i="74" s="1"/>
  <c r="BN700" i="74"/>
  <c r="BN689" i="74"/>
  <c r="BN694" i="74" s="1"/>
  <c r="BH689" i="74"/>
  <c r="BH694" i="74" s="1"/>
  <c r="BH700" i="74"/>
  <c r="CM908" i="74"/>
  <c r="CM909" i="74" s="1"/>
  <c r="CM914" i="74" s="1"/>
  <c r="CL502" i="74"/>
  <c r="CH502" i="74"/>
  <c r="CD502" i="74"/>
  <c r="CK502" i="74"/>
  <c r="CG502" i="74"/>
  <c r="CC502" i="74"/>
  <c r="CN502" i="74"/>
  <c r="CJ502" i="74"/>
  <c r="CF502" i="74"/>
  <c r="CM502" i="74"/>
  <c r="CI502" i="74"/>
  <c r="CE502" i="74"/>
  <c r="CM884" i="74"/>
  <c r="CM889" i="74" s="1"/>
  <c r="BF908" i="74"/>
  <c r="BF909" i="74" s="1"/>
  <c r="BF914" i="74" s="1"/>
  <c r="BK908" i="74"/>
  <c r="BK913" i="74" s="1"/>
  <c r="AU908" i="74"/>
  <c r="AU913" i="74" s="1"/>
  <c r="AP885" i="74"/>
  <c r="AP890" i="74" s="1"/>
  <c r="AC475" i="74"/>
  <c r="Y475" i="74"/>
  <c r="U475" i="74"/>
  <c r="AF475" i="74"/>
  <c r="AB475" i="74"/>
  <c r="X475" i="74"/>
  <c r="AE475" i="74"/>
  <c r="AA475" i="74"/>
  <c r="W475" i="74"/>
  <c r="AD475" i="74"/>
  <c r="Z475" i="74"/>
  <c r="V475" i="74"/>
  <c r="CA908" i="74"/>
  <c r="CA909" i="74" s="1"/>
  <c r="CA914" i="74" s="1"/>
  <c r="BU773" i="74"/>
  <c r="BU762" i="74"/>
  <c r="BU767" i="74" s="1"/>
  <c r="BZ773" i="74"/>
  <c r="BZ762" i="74"/>
  <c r="BZ767" i="74" s="1"/>
  <c r="BT773" i="74"/>
  <c r="BT762" i="74"/>
  <c r="BT767" i="74" s="1"/>
  <c r="AZ884" i="74"/>
  <c r="AZ889" i="74" s="1"/>
  <c r="AE884" i="74"/>
  <c r="AE889" i="74" s="1"/>
  <c r="CE531" i="74"/>
  <c r="CE520" i="74"/>
  <c r="CE525" i="74" s="1"/>
  <c r="CJ531" i="74"/>
  <c r="CJ520" i="74"/>
  <c r="CJ525" i="74" s="1"/>
  <c r="CK520" i="74"/>
  <c r="CK525" i="74" s="1"/>
  <c r="CK531" i="74"/>
  <c r="AA884" i="74"/>
  <c r="AA889" i="74" s="1"/>
  <c r="BY885" i="74"/>
  <c r="BY890" i="74" s="1"/>
  <c r="BS884" i="74"/>
  <c r="BS889" i="74" s="1"/>
  <c r="BB700" i="74"/>
  <c r="BB689" i="74"/>
  <c r="BB694" i="74" s="1"/>
  <c r="AR496" i="74"/>
  <c r="AR687" i="74" s="1"/>
  <c r="AN496" i="74"/>
  <c r="AN687" i="74" s="1"/>
  <c r="AJ496" i="74"/>
  <c r="AJ687" i="74" s="1"/>
  <c r="AQ496" i="74"/>
  <c r="AQ687" i="74" s="1"/>
  <c r="AM496" i="74"/>
  <c r="AM687" i="74" s="1"/>
  <c r="AI496" i="74"/>
  <c r="AI687" i="74" s="1"/>
  <c r="AP496" i="74"/>
  <c r="AP687" i="74" s="1"/>
  <c r="AL496" i="74"/>
  <c r="AL687" i="74" s="1"/>
  <c r="AH496" i="74"/>
  <c r="AH687" i="74" s="1"/>
  <c r="AO496" i="74"/>
  <c r="AO687" i="74" s="1"/>
  <c r="AK496" i="74"/>
  <c r="AK687" i="74" s="1"/>
  <c r="AG496" i="74"/>
  <c r="BE833" i="74"/>
  <c r="Q506" i="74"/>
  <c r="BE507" i="74"/>
  <c r="BG531" i="74"/>
  <c r="BG520" i="74"/>
  <c r="BG525" i="74" s="1"/>
  <c r="CD773" i="74"/>
  <c r="CD762" i="74"/>
  <c r="CD767" i="74" s="1"/>
  <c r="BG886" i="74"/>
  <c r="BG891" i="74" s="1"/>
  <c r="BG895" i="74" s="1"/>
  <c r="AY531" i="74"/>
  <c r="AY520" i="74"/>
  <c r="AY525" i="74" s="1"/>
  <c r="BB502" i="74"/>
  <c r="AX502" i="74"/>
  <c r="AT502" i="74"/>
  <c r="BA502" i="74"/>
  <c r="AW502" i="74"/>
  <c r="AS502" i="74"/>
  <c r="BD502" i="74"/>
  <c r="AZ502" i="74"/>
  <c r="AV502" i="74"/>
  <c r="BC502" i="74"/>
  <c r="AY502" i="74"/>
  <c r="AU502" i="74"/>
  <c r="BF773" i="74"/>
  <c r="BF762" i="74"/>
  <c r="BF767" i="74" s="1"/>
  <c r="BK762" i="74"/>
  <c r="BK767" i="74" s="1"/>
  <c r="BK773" i="74"/>
  <c r="BK763" i="74"/>
  <c r="BK768" i="74" s="1"/>
  <c r="BP773" i="74"/>
  <c r="BP762" i="74"/>
  <c r="BP767" i="74" s="1"/>
  <c r="Q337" i="74"/>
  <c r="Q284" i="74"/>
  <c r="Q282" i="74"/>
  <c r="CE885" i="74"/>
  <c r="CE890" i="74" s="1"/>
  <c r="AJ918" i="74"/>
  <c r="AJ907" i="74"/>
  <c r="AJ912" i="74" s="1"/>
  <c r="AK918" i="74"/>
  <c r="AK907" i="74"/>
  <c r="AK912" i="74" s="1"/>
  <c r="AP918" i="74"/>
  <c r="AP907" i="74"/>
  <c r="AP912" i="74" s="1"/>
  <c r="BR520" i="74"/>
  <c r="BR525" i="74" s="1"/>
  <c r="BR531" i="74"/>
  <c r="BW531" i="74"/>
  <c r="BW520" i="74"/>
  <c r="BW525" i="74" s="1"/>
  <c r="CB531" i="74"/>
  <c r="CB520" i="74"/>
  <c r="CB525" i="74" s="1"/>
  <c r="N336" i="74"/>
  <c r="N281" i="74"/>
  <c r="F347" i="73"/>
  <c r="F348" i="73" s="1"/>
  <c r="F352" i="73" s="1"/>
  <c r="F354" i="73" s="1"/>
  <c r="N4" i="73" s="1"/>
  <c r="N5" i="73" s="1"/>
  <c r="BA773" i="74"/>
  <c r="BA762" i="74"/>
  <c r="BA767" i="74" s="1"/>
  <c r="AU762" i="74"/>
  <c r="AU767" i="74" s="1"/>
  <c r="AU773" i="74"/>
  <c r="AZ773" i="74"/>
  <c r="AZ762" i="74"/>
  <c r="AZ767" i="74" s="1"/>
  <c r="BC833" i="74"/>
  <c r="BC507" i="74"/>
  <c r="BC856" i="74" s="1"/>
  <c r="AS833" i="74"/>
  <c r="P506" i="74"/>
  <c r="AS507" i="74"/>
  <c r="AX833" i="74"/>
  <c r="AX507" i="74"/>
  <c r="AX856" i="74" s="1"/>
  <c r="CA833" i="74"/>
  <c r="CA507" i="74"/>
  <c r="CA856" i="74" s="1"/>
  <c r="BQ833" i="74"/>
  <c r="BQ507" i="74"/>
  <c r="R506" i="74"/>
  <c r="BV833" i="74"/>
  <c r="BV507" i="74"/>
  <c r="BV856" i="74" s="1"/>
  <c r="CD700" i="74"/>
  <c r="CD689" i="74"/>
  <c r="CD694" i="74" s="1"/>
  <c r="CD690" i="74"/>
  <c r="CD695" i="74" s="1"/>
  <c r="CI700" i="74"/>
  <c r="CI689" i="74"/>
  <c r="CI694" i="74" s="1"/>
  <c r="CN689" i="74"/>
  <c r="CN694" i="74" s="1"/>
  <c r="CN700" i="74"/>
  <c r="W918" i="74"/>
  <c r="W907" i="74"/>
  <c r="W912" i="74" s="1"/>
  <c r="AB918" i="74"/>
  <c r="AB907" i="74"/>
  <c r="AB912" i="74" s="1"/>
  <c r="AC918" i="74"/>
  <c r="AC907" i="74"/>
  <c r="AC912" i="74" s="1"/>
  <c r="R337" i="74"/>
  <c r="R284" i="74"/>
  <c r="R282" i="74"/>
  <c r="AO475" i="74"/>
  <c r="AK475" i="74"/>
  <c r="AG475" i="74"/>
  <c r="AR475" i="74"/>
  <c r="AN475" i="74"/>
  <c r="AJ475" i="74"/>
  <c r="AQ475" i="74"/>
  <c r="AM475" i="74"/>
  <c r="AI475" i="74"/>
  <c r="AP475" i="74"/>
  <c r="AL475" i="74"/>
  <c r="AH475" i="74"/>
  <c r="BO885" i="74"/>
  <c r="BO890" i="74" s="1"/>
  <c r="CF833" i="74"/>
  <c r="CF507" i="74"/>
  <c r="CF856" i="74" s="1"/>
  <c r="CG833" i="74"/>
  <c r="CG507" i="74"/>
  <c r="CG856" i="74" s="1"/>
  <c r="CL833" i="74"/>
  <c r="CL507" i="74"/>
  <c r="CL856" i="74" s="1"/>
  <c r="AY885" i="74"/>
  <c r="AY890" i="74" s="1"/>
  <c r="BM700" i="74"/>
  <c r="BM689" i="74"/>
  <c r="BM694" i="74" s="1"/>
  <c r="BG700" i="74"/>
  <c r="BG689" i="74"/>
  <c r="BG694" i="74" s="1"/>
  <c r="BL689" i="74"/>
  <c r="BL694" i="74" s="1"/>
  <c r="BL700" i="74"/>
  <c r="CC918" i="74"/>
  <c r="S918" i="74" s="1"/>
  <c r="S905" i="74"/>
  <c r="CC907" i="74"/>
  <c r="CC908" i="74" s="1"/>
  <c r="CC909" i="74" s="1"/>
  <c r="S349" i="74"/>
  <c r="S355" i="74"/>
  <c r="AE478" i="74"/>
  <c r="AA478" i="74"/>
  <c r="W478" i="74"/>
  <c r="AD478" i="74"/>
  <c r="Z478" i="74"/>
  <c r="V478" i="74"/>
  <c r="AC478" i="74"/>
  <c r="Y478" i="74"/>
  <c r="U478" i="74"/>
  <c r="AF478" i="74"/>
  <c r="AB478" i="74"/>
  <c r="X478" i="74"/>
  <c r="AP506" i="74"/>
  <c r="AL506" i="74"/>
  <c r="AH506" i="74"/>
  <c r="AO506" i="74"/>
  <c r="AK506" i="74"/>
  <c r="AG506" i="74"/>
  <c r="AR506" i="74"/>
  <c r="AN506" i="74"/>
  <c r="AJ506" i="74"/>
  <c r="AQ506" i="74"/>
  <c r="AM506" i="74"/>
  <c r="AI506" i="74"/>
  <c r="BY773" i="74"/>
  <c r="BY762" i="74"/>
  <c r="BY767" i="74" s="1"/>
  <c r="BS762" i="74"/>
  <c r="BS767" i="74" s="1"/>
  <c r="BS773" i="74"/>
  <c r="BX773" i="74"/>
  <c r="BX762" i="74"/>
  <c r="BX767" i="74" s="1"/>
  <c r="BA884" i="74"/>
  <c r="BA885" i="74" s="1"/>
  <c r="BA890" i="74" s="1"/>
  <c r="AU884" i="74"/>
  <c r="AU889" i="74" s="1"/>
  <c r="Z895" i="74"/>
  <c r="CD520" i="74"/>
  <c r="CD525" i="74" s="1"/>
  <c r="CD531" i="74"/>
  <c r="CD521" i="74"/>
  <c r="CD526" i="74" s="1"/>
  <c r="CI531" i="74"/>
  <c r="CI520" i="74"/>
  <c r="CI525" i="74" s="1"/>
  <c r="CN531" i="74"/>
  <c r="CN520" i="74"/>
  <c r="CN525" i="74" s="1"/>
  <c r="BW885" i="74"/>
  <c r="BW890" i="74" s="1"/>
  <c r="BR884" i="74"/>
  <c r="BZ885" i="74" l="1"/>
  <c r="BZ890" i="74" s="1"/>
  <c r="AC885" i="74"/>
  <c r="AC890" i="74" s="1"/>
  <c r="BH763" i="74"/>
  <c r="BH768" i="74" s="1"/>
  <c r="CI690" i="74"/>
  <c r="CI695" i="74" s="1"/>
  <c r="CF910" i="74"/>
  <c r="CF915" i="74" s="1"/>
  <c r="X885" i="74"/>
  <c r="X890" i="74" s="1"/>
  <c r="CL909" i="74"/>
  <c r="CL914" i="74" s="1"/>
  <c r="BG763" i="74"/>
  <c r="BG768" i="74" s="1"/>
  <c r="AQ885" i="74"/>
  <c r="AQ890" i="74" s="1"/>
  <c r="CL521" i="74"/>
  <c r="CL526" i="74" s="1"/>
  <c r="BO690" i="74"/>
  <c r="BO695" i="74" s="1"/>
  <c r="BV521" i="74"/>
  <c r="BV526" i="74" s="1"/>
  <c r="BY763" i="74"/>
  <c r="BY768" i="74" s="1"/>
  <c r="AV521" i="74"/>
  <c r="AV526" i="74" s="1"/>
  <c r="AV909" i="74"/>
  <c r="BT690" i="74"/>
  <c r="BT695" i="74" s="1"/>
  <c r="BD522" i="74"/>
  <c r="BD527" i="74" s="1"/>
  <c r="BW521" i="74"/>
  <c r="BW526" i="74" s="1"/>
  <c r="CK885" i="74"/>
  <c r="CK890" i="74" s="1"/>
  <c r="BZ690" i="74"/>
  <c r="BZ695" i="74" s="1"/>
  <c r="BD521" i="74"/>
  <c r="BD526" i="74" s="1"/>
  <c r="Z885" i="74"/>
  <c r="Z890" i="74" s="1"/>
  <c r="BS909" i="74"/>
  <c r="BS914" i="74" s="1"/>
  <c r="BU885" i="74"/>
  <c r="CG909" i="74"/>
  <c r="CG914" i="74" s="1"/>
  <c r="BX885" i="74"/>
  <c r="BX890" i="74" s="1"/>
  <c r="BZ909" i="74"/>
  <c r="BZ914" i="74" s="1"/>
  <c r="CB910" i="74"/>
  <c r="CB915" i="74" s="1"/>
  <c r="AM885" i="74"/>
  <c r="AT909" i="74"/>
  <c r="AT914" i="74" s="1"/>
  <c r="BV909" i="74"/>
  <c r="CB521" i="74"/>
  <c r="CB526" i="74" s="1"/>
  <c r="BS521" i="74"/>
  <c r="BS526" i="74" s="1"/>
  <c r="BM763" i="74"/>
  <c r="BM768" i="74" s="1"/>
  <c r="BR521" i="74"/>
  <c r="BR526" i="74" s="1"/>
  <c r="CJ521" i="74"/>
  <c r="CJ526" i="74" s="1"/>
  <c r="BN521" i="74"/>
  <c r="BN526" i="74" s="1"/>
  <c r="BI763" i="74"/>
  <c r="BI768" i="74" s="1"/>
  <c r="BK521" i="74"/>
  <c r="BK526" i="74" s="1"/>
  <c r="BO522" i="74"/>
  <c r="BO527" i="74" s="1"/>
  <c r="BW763" i="74"/>
  <c r="BW768" i="74" s="1"/>
  <c r="CA521" i="74"/>
  <c r="CA526" i="74" s="1"/>
  <c r="BC522" i="74"/>
  <c r="BC527" i="74" s="1"/>
  <c r="AX521" i="74"/>
  <c r="AX526" i="74" s="1"/>
  <c r="AZ909" i="74"/>
  <c r="CI521" i="74"/>
  <c r="CI526" i="74" s="1"/>
  <c r="AU763" i="74"/>
  <c r="AU768" i="74" s="1"/>
  <c r="BA763" i="74"/>
  <c r="BA768" i="74" s="1"/>
  <c r="AY521" i="74"/>
  <c r="AY526" i="74" s="1"/>
  <c r="BZ763" i="74"/>
  <c r="BZ768" i="74" s="1"/>
  <c r="BH690" i="74"/>
  <c r="BH695" i="74" s="1"/>
  <c r="BY521" i="74"/>
  <c r="BY526" i="74" s="1"/>
  <c r="CA886" i="74"/>
  <c r="CA891" i="74" s="1"/>
  <c r="CA895" i="74" s="1"/>
  <c r="CA896" i="74" s="1"/>
  <c r="CA898" i="74" s="1"/>
  <c r="AZ521" i="74"/>
  <c r="AZ526" i="74" s="1"/>
  <c r="CE763" i="74"/>
  <c r="CE768" i="74" s="1"/>
  <c r="CK763" i="74"/>
  <c r="CK768" i="74" s="1"/>
  <c r="CG521" i="74"/>
  <c r="CG526" i="74" s="1"/>
  <c r="CA763" i="74"/>
  <c r="CA768" i="74" s="1"/>
  <c r="AV522" i="74"/>
  <c r="AV527" i="74" s="1"/>
  <c r="BS690" i="74"/>
  <c r="BS695" i="74" s="1"/>
  <c r="BO521" i="74"/>
  <c r="CM521" i="74"/>
  <c r="CM526" i="74" s="1"/>
  <c r="BF690" i="74"/>
  <c r="BF695" i="74" s="1"/>
  <c r="CH690" i="74"/>
  <c r="CH695" i="74" s="1"/>
  <c r="AY763" i="74"/>
  <c r="AY768" i="74" s="1"/>
  <c r="BJ763" i="74"/>
  <c r="BJ768" i="74" s="1"/>
  <c r="BC521" i="74"/>
  <c r="AZ690" i="74"/>
  <c r="AZ695" i="74" s="1"/>
  <c r="CA690" i="74"/>
  <c r="CA695" i="74" s="1"/>
  <c r="BM521" i="74"/>
  <c r="BM526" i="74" s="1"/>
  <c r="BF885" i="74"/>
  <c r="BI885" i="74"/>
  <c r="CE909" i="74"/>
  <c r="AE908" i="74"/>
  <c r="AE913" i="74" s="1"/>
  <c r="AR885" i="74"/>
  <c r="AR890" i="74" s="1"/>
  <c r="BH885" i="74"/>
  <c r="BY886" i="74"/>
  <c r="BY891" i="74" s="1"/>
  <c r="BY895" i="74" s="1"/>
  <c r="BY896" i="74" s="1"/>
  <c r="BY898" i="74" s="1"/>
  <c r="AB908" i="74"/>
  <c r="AB913" i="74" s="1"/>
  <c r="BO909" i="74"/>
  <c r="BO914" i="74" s="1"/>
  <c r="BU910" i="74"/>
  <c r="BU915" i="74" s="1"/>
  <c r="BU919" i="74" s="1"/>
  <c r="BN909" i="74"/>
  <c r="BL885" i="74"/>
  <c r="BL890" i="74" s="1"/>
  <c r="BZ910" i="74"/>
  <c r="BZ915" i="74" s="1"/>
  <c r="BZ919" i="74" s="1"/>
  <c r="BZ920" i="74" s="1"/>
  <c r="BZ922" i="74" s="1"/>
  <c r="AC908" i="74"/>
  <c r="AC913" i="74" s="1"/>
  <c r="BP885" i="74"/>
  <c r="BP890" i="74" s="1"/>
  <c r="V885" i="74"/>
  <c r="W908" i="74"/>
  <c r="W913" i="74" s="1"/>
  <c r="AA885" i="74"/>
  <c r="AH885" i="74"/>
  <c r="AH890" i="74" s="1"/>
  <c r="AH908" i="74"/>
  <c r="AH913" i="74" s="1"/>
  <c r="CK919" i="74"/>
  <c r="CK920" i="74" s="1"/>
  <c r="CB919" i="74"/>
  <c r="CB920" i="74" s="1"/>
  <c r="CB922" i="74" s="1"/>
  <c r="AO908" i="74"/>
  <c r="AO913" i="74" s="1"/>
  <c r="BJ913" i="74"/>
  <c r="BJ909" i="74"/>
  <c r="CD909" i="74"/>
  <c r="BK885" i="74"/>
  <c r="BL909" i="74"/>
  <c r="CI910" i="74"/>
  <c r="CI915" i="74" s="1"/>
  <c r="CI919" i="74" s="1"/>
  <c r="CI920" i="74" s="1"/>
  <c r="CI922" i="74" s="1"/>
  <c r="U885" i="74"/>
  <c r="U890" i="74" s="1"/>
  <c r="CC884" i="74"/>
  <c r="Z908" i="74"/>
  <c r="Z913" i="74" s="1"/>
  <c r="CF919" i="74"/>
  <c r="CF920" i="74" s="1"/>
  <c r="CF922" i="74" s="1"/>
  <c r="BM909" i="74"/>
  <c r="BM914" i="74" s="1"/>
  <c r="V908" i="74"/>
  <c r="V913" i="74" s="1"/>
  <c r="CL885" i="74"/>
  <c r="CL890" i="74" s="1"/>
  <c r="CD885" i="74"/>
  <c r="AV889" i="74"/>
  <c r="AV885" i="74"/>
  <c r="AV890" i="74" s="1"/>
  <c r="AK908" i="74"/>
  <c r="CB885" i="74"/>
  <c r="AL908" i="74"/>
  <c r="AL913" i="74" s="1"/>
  <c r="BB910" i="74"/>
  <c r="BB915" i="74" s="1"/>
  <c r="BB919" i="74" s="1"/>
  <c r="BB920" i="74" s="1"/>
  <c r="BB922" i="74" s="1"/>
  <c r="BZ886" i="74"/>
  <c r="BZ891" i="74" s="1"/>
  <c r="BZ895" i="74" s="1"/>
  <c r="BZ896" i="74" s="1"/>
  <c r="BZ898" i="74" s="1"/>
  <c r="CJ909" i="74"/>
  <c r="AG890" i="74"/>
  <c r="AG886" i="74"/>
  <c r="BQ890" i="74"/>
  <c r="BQ886" i="74"/>
  <c r="BE913" i="74"/>
  <c r="Q908" i="74"/>
  <c r="BE909" i="74"/>
  <c r="BE910" i="74" s="1"/>
  <c r="BG896" i="74"/>
  <c r="BG898" i="74" s="1"/>
  <c r="AM833" i="74"/>
  <c r="AM507" i="74"/>
  <c r="AM856" i="74" s="1"/>
  <c r="CC914" i="74"/>
  <c r="Q283" i="74"/>
  <c r="Q339" i="74" s="1"/>
  <c r="Q338" i="74"/>
  <c r="BK764" i="74"/>
  <c r="BK769" i="74" s="1"/>
  <c r="BC783" i="74"/>
  <c r="BC503" i="74"/>
  <c r="BC807" i="74" s="1"/>
  <c r="AX783" i="74"/>
  <c r="AX503" i="74"/>
  <c r="AX807" i="74" s="1"/>
  <c r="AK700" i="74"/>
  <c r="AK689" i="74"/>
  <c r="AK694" i="74" s="1"/>
  <c r="AJ689" i="74"/>
  <c r="AJ694" i="74" s="1"/>
  <c r="AJ700" i="74"/>
  <c r="CI783" i="74"/>
  <c r="CI503" i="74"/>
  <c r="CI807" i="74" s="1"/>
  <c r="CN783" i="74"/>
  <c r="CN503" i="74"/>
  <c r="CN807" i="74" s="1"/>
  <c r="CD783" i="74"/>
  <c r="CD503" i="74"/>
  <c r="CD807" i="74" s="1"/>
  <c r="BV889" i="74"/>
  <c r="AT889" i="74"/>
  <c r="CH846" i="74"/>
  <c r="CH835" i="74"/>
  <c r="CH840" i="74" s="1"/>
  <c r="CM869" i="74"/>
  <c r="CM858" i="74"/>
  <c r="CM863" i="74" s="1"/>
  <c r="Q883" i="74"/>
  <c r="BE888" i="74"/>
  <c r="AN889" i="74"/>
  <c r="CB869" i="74"/>
  <c r="CB858" i="74"/>
  <c r="CB863" i="74" s="1"/>
  <c r="AT858" i="74"/>
  <c r="AT863" i="74" s="1"/>
  <c r="AT869" i="74"/>
  <c r="AY869" i="74"/>
  <c r="AY858" i="74"/>
  <c r="AY863" i="74" s="1"/>
  <c r="CC541" i="74"/>
  <c r="S488" i="74"/>
  <c r="CH543" i="74"/>
  <c r="CH548" i="74" s="1"/>
  <c r="CH554" i="74"/>
  <c r="CM554" i="74"/>
  <c r="CM543" i="74"/>
  <c r="CM548" i="74" s="1"/>
  <c r="AB889" i="74"/>
  <c r="BR710" i="74"/>
  <c r="BR498" i="74"/>
  <c r="BR734" i="74" s="1"/>
  <c r="BW710" i="74"/>
  <c r="BW498" i="74"/>
  <c r="BW734" i="74" s="1"/>
  <c r="CB710" i="74"/>
  <c r="CB498" i="74"/>
  <c r="CB734" i="74" s="1"/>
  <c r="BX913" i="74"/>
  <c r="BH554" i="74"/>
  <c r="BH543" i="74"/>
  <c r="BH548" i="74" s="1"/>
  <c r="BI543" i="74"/>
  <c r="BI548" i="74" s="1"/>
  <c r="BI554" i="74"/>
  <c r="BN543" i="74"/>
  <c r="BN548" i="74" s="1"/>
  <c r="BN554" i="74"/>
  <c r="Y773" i="74"/>
  <c r="Y762" i="74"/>
  <c r="Y767" i="74" s="1"/>
  <c r="AD773" i="74"/>
  <c r="AD762" i="74"/>
  <c r="AD767" i="74" s="1"/>
  <c r="X773" i="74"/>
  <c r="X762" i="74"/>
  <c r="X767" i="74" s="1"/>
  <c r="BG764" i="74"/>
  <c r="BG769" i="74" s="1"/>
  <c r="BB710" i="74"/>
  <c r="BB498" i="74"/>
  <c r="BB734" i="74" s="1"/>
  <c r="AV710" i="74"/>
  <c r="AV498" i="74"/>
  <c r="AV734" i="74" s="1"/>
  <c r="AW710" i="74"/>
  <c r="AW498" i="74"/>
  <c r="AW734" i="74" s="1"/>
  <c r="AA833" i="74"/>
  <c r="AA507" i="74"/>
  <c r="AA856" i="74" s="1"/>
  <c r="AF833" i="74"/>
  <c r="AF507" i="74"/>
  <c r="AF856" i="74" s="1"/>
  <c r="V833" i="74"/>
  <c r="V507" i="74"/>
  <c r="V856" i="74" s="1"/>
  <c r="CE764" i="74"/>
  <c r="CE769" i="74" s="1"/>
  <c r="CE774" i="74" s="1"/>
  <c r="BN522" i="74"/>
  <c r="BN527" i="74" s="1"/>
  <c r="BF846" i="74"/>
  <c r="BF835" i="74"/>
  <c r="BF840" i="74" s="1"/>
  <c r="BK846" i="74"/>
  <c r="BK835" i="74"/>
  <c r="BK840" i="74" s="1"/>
  <c r="BG783" i="74"/>
  <c r="BG503" i="74"/>
  <c r="BG807" i="74" s="1"/>
  <c r="BL783" i="74"/>
  <c r="BL503" i="74"/>
  <c r="BL807" i="74" s="1"/>
  <c r="BM783" i="74"/>
  <c r="BM503" i="74"/>
  <c r="BM807" i="74" s="1"/>
  <c r="AW522" i="74"/>
  <c r="AW527" i="74" s="1"/>
  <c r="BG869" i="74"/>
  <c r="BG858" i="74"/>
  <c r="BG863" i="74" s="1"/>
  <c r="BG859" i="74"/>
  <c r="BG864" i="74" s="1"/>
  <c r="BH869" i="74"/>
  <c r="BH858" i="74"/>
  <c r="BH863" i="74" s="1"/>
  <c r="BN710" i="74"/>
  <c r="BN498" i="74"/>
  <c r="BN734" i="74" s="1"/>
  <c r="BH710" i="74"/>
  <c r="BH498" i="74"/>
  <c r="BH734" i="74" s="1"/>
  <c r="BI710" i="74"/>
  <c r="BI498" i="74"/>
  <c r="BI734" i="74" s="1"/>
  <c r="AW690" i="74"/>
  <c r="AW695" i="74" s="1"/>
  <c r="CL522" i="74"/>
  <c r="CL527" i="74" s="1"/>
  <c r="BA913" i="74"/>
  <c r="BA910" i="74"/>
  <c r="BA915" i="74" s="1"/>
  <c r="CD710" i="74"/>
  <c r="CD498" i="74"/>
  <c r="CD734" i="74" s="1"/>
  <c r="CI710" i="74"/>
  <c r="CI498" i="74"/>
  <c r="CI734" i="74" s="1"/>
  <c r="CN710" i="74"/>
  <c r="CN498" i="74"/>
  <c r="CN734" i="74" s="1"/>
  <c r="BJ691" i="74"/>
  <c r="BJ696" i="74" s="1"/>
  <c r="CN846" i="74"/>
  <c r="CN835" i="74"/>
  <c r="CN840" i="74" s="1"/>
  <c r="U918" i="74"/>
  <c r="N918" i="74" s="1"/>
  <c r="U907" i="74"/>
  <c r="U908" i="74" s="1"/>
  <c r="N905" i="74"/>
  <c r="CG690" i="74"/>
  <c r="CG695" i="74" s="1"/>
  <c r="BX846" i="74"/>
  <c r="BX835" i="74"/>
  <c r="BX840" i="74" s="1"/>
  <c r="BA835" i="74"/>
  <c r="BA840" i="74" s="1"/>
  <c r="BA846" i="74"/>
  <c r="AU846" i="74"/>
  <c r="AU835" i="74"/>
  <c r="AU840" i="74" s="1"/>
  <c r="AS773" i="74"/>
  <c r="P773" i="74" s="1"/>
  <c r="AS763" i="74"/>
  <c r="P760" i="74"/>
  <c r="AS762" i="74"/>
  <c r="AS912" i="74"/>
  <c r="P907" i="74"/>
  <c r="V700" i="74"/>
  <c r="V689" i="74"/>
  <c r="V694" i="74" s="1"/>
  <c r="AA700" i="74"/>
  <c r="AA689" i="74"/>
  <c r="AA694" i="74" s="1"/>
  <c r="AA690" i="74"/>
  <c r="AA695" i="74" s="1"/>
  <c r="AA691" i="74"/>
  <c r="AA696" i="74" s="1"/>
  <c r="AF689" i="74"/>
  <c r="AF694" i="74" s="1"/>
  <c r="AF700" i="74"/>
  <c r="AS541" i="74"/>
  <c r="P488" i="74"/>
  <c r="AX543" i="74"/>
  <c r="AX548" i="74" s="1"/>
  <c r="AX554" i="74"/>
  <c r="AX544" i="74"/>
  <c r="AX549" i="74" s="1"/>
  <c r="BC554" i="74"/>
  <c r="BC543" i="74"/>
  <c r="BC548" i="74" s="1"/>
  <c r="BL846" i="74"/>
  <c r="BL835" i="74"/>
  <c r="BL840" i="74" s="1"/>
  <c r="AH773" i="74"/>
  <c r="AH763" i="74"/>
  <c r="AH768" i="74" s="1"/>
  <c r="AH762" i="74"/>
  <c r="AH767" i="74" s="1"/>
  <c r="AM762" i="74"/>
  <c r="AM767" i="74" s="1"/>
  <c r="AM773" i="74"/>
  <c r="AR773" i="74"/>
  <c r="AR762" i="74"/>
  <c r="AR767" i="74" s="1"/>
  <c r="Y886" i="74"/>
  <c r="Y891" i="74" s="1"/>
  <c r="Y895" i="74" s="1"/>
  <c r="CJ846" i="74"/>
  <c r="CJ835" i="74"/>
  <c r="CJ840" i="74" s="1"/>
  <c r="BX554" i="74"/>
  <c r="BX543" i="74"/>
  <c r="BX548" i="74" s="1"/>
  <c r="BY543" i="74"/>
  <c r="BY548" i="74" s="1"/>
  <c r="BY554" i="74"/>
  <c r="BY544" i="74"/>
  <c r="BY549" i="74" s="1"/>
  <c r="BS554" i="74"/>
  <c r="BS543" i="74"/>
  <c r="BS548" i="74" s="1"/>
  <c r="CL910" i="74"/>
  <c r="CL915" i="74" s="1"/>
  <c r="CL919" i="74" s="1"/>
  <c r="BU835" i="74"/>
  <c r="BU840" i="74" s="1"/>
  <c r="BU846" i="74"/>
  <c r="BB846" i="74"/>
  <c r="BB835" i="74"/>
  <c r="BB840" i="74" s="1"/>
  <c r="AV846" i="74"/>
  <c r="AV835" i="74"/>
  <c r="AV840" i="74" s="1"/>
  <c r="AC886" i="74"/>
  <c r="AC891" i="74" s="1"/>
  <c r="AC895" i="74" s="1"/>
  <c r="BW783" i="74"/>
  <c r="BW503" i="74"/>
  <c r="BW807" i="74" s="1"/>
  <c r="CB783" i="74"/>
  <c r="CB503" i="74"/>
  <c r="CB807" i="74" s="1"/>
  <c r="BR783" i="74"/>
  <c r="BR503" i="74"/>
  <c r="BR807" i="74" s="1"/>
  <c r="W531" i="74"/>
  <c r="W520" i="74"/>
  <c r="W525" i="74" s="1"/>
  <c r="AB531" i="74"/>
  <c r="AB521" i="74"/>
  <c r="AB526" i="74" s="1"/>
  <c r="AB522" i="74"/>
  <c r="AB527" i="74" s="1"/>
  <c r="AB520" i="74"/>
  <c r="AB525" i="74" s="1"/>
  <c r="AC520" i="74"/>
  <c r="AC525" i="74" s="1"/>
  <c r="AC531" i="74"/>
  <c r="BQ520" i="74"/>
  <c r="R518" i="74"/>
  <c r="BQ531" i="74"/>
  <c r="R531" i="74" s="1"/>
  <c r="CE886" i="74"/>
  <c r="CE891" i="74" s="1"/>
  <c r="CE895" i="74" s="1"/>
  <c r="AD502" i="74"/>
  <c r="Z502" i="74"/>
  <c r="V502" i="74"/>
  <c r="AC502" i="74"/>
  <c r="Y502" i="74"/>
  <c r="U502" i="74"/>
  <c r="AF502" i="74"/>
  <c r="AB502" i="74"/>
  <c r="X502" i="74"/>
  <c r="AE502" i="74"/>
  <c r="AA502" i="74"/>
  <c r="W502" i="74"/>
  <c r="P338" i="74"/>
  <c r="P283" i="74"/>
  <c r="P339" i="74" s="1"/>
  <c r="AS520" i="74"/>
  <c r="AS531" i="74"/>
  <c r="P531" i="74" s="1"/>
  <c r="P518" i="74"/>
  <c r="BB886" i="74"/>
  <c r="BB891" i="74" s="1"/>
  <c r="BB895" i="74" s="1"/>
  <c r="BZ691" i="74"/>
  <c r="BZ696" i="74" s="1"/>
  <c r="AH520" i="74"/>
  <c r="AH525" i="74" s="1"/>
  <c r="AH531" i="74"/>
  <c r="AM531" i="74"/>
  <c r="AM520" i="74"/>
  <c r="AM525" i="74" s="1"/>
  <c r="AR531" i="74"/>
  <c r="AR520" i="74"/>
  <c r="AR525" i="74" s="1"/>
  <c r="CI885" i="74"/>
  <c r="BN846" i="74"/>
  <c r="BN835" i="74"/>
  <c r="BN840" i="74" s="1"/>
  <c r="BA690" i="74"/>
  <c r="BA695" i="74" s="1"/>
  <c r="BJ846" i="74"/>
  <c r="BJ835" i="74"/>
  <c r="BJ840" i="74" s="1"/>
  <c r="CL869" i="74"/>
  <c r="CL858" i="74"/>
  <c r="CL863" i="74" s="1"/>
  <c r="O475" i="74"/>
  <c r="CD691" i="74"/>
  <c r="CD696" i="74" s="1"/>
  <c r="BQ856" i="74"/>
  <c r="R507" i="74"/>
  <c r="AS835" i="74"/>
  <c r="AS836" i="74" s="1"/>
  <c r="AS846" i="74"/>
  <c r="P833" i="74"/>
  <c r="AU764" i="74"/>
  <c r="AU769" i="74" s="1"/>
  <c r="AS783" i="74"/>
  <c r="P502" i="74"/>
  <c r="AS503" i="74"/>
  <c r="BE856" i="74"/>
  <c r="Q507" i="74"/>
  <c r="AP700" i="74"/>
  <c r="AP689" i="74"/>
  <c r="AP694" i="74" s="1"/>
  <c r="AP690" i="74"/>
  <c r="AP695" i="74" s="1"/>
  <c r="BR889" i="74"/>
  <c r="AQ833" i="74"/>
  <c r="AQ507" i="74"/>
  <c r="AQ856" i="74" s="1"/>
  <c r="AG833" i="74"/>
  <c r="O506" i="74"/>
  <c r="AG507" i="74"/>
  <c r="AL833" i="74"/>
  <c r="AL507" i="74"/>
  <c r="AL856" i="74" s="1"/>
  <c r="N478" i="74"/>
  <c r="CC912" i="74"/>
  <c r="S907" i="74"/>
  <c r="CC910" i="74"/>
  <c r="BG690" i="74"/>
  <c r="BM690" i="74"/>
  <c r="CL846" i="74"/>
  <c r="CL835" i="74"/>
  <c r="CL840" i="74" s="1"/>
  <c r="CF846" i="74"/>
  <c r="CF835" i="74"/>
  <c r="CF840" i="74" s="1"/>
  <c r="R340" i="74"/>
  <c r="R285" i="74"/>
  <c r="R341" i="74" s="1"/>
  <c r="CN690" i="74"/>
  <c r="BV858" i="74"/>
  <c r="BV863" i="74" s="1"/>
  <c r="BV869" i="74"/>
  <c r="BQ835" i="74"/>
  <c r="BQ836" i="74" s="1"/>
  <c r="R833" i="74"/>
  <c r="BQ846" i="74"/>
  <c r="AX846" i="74"/>
  <c r="AX835" i="74"/>
  <c r="AX840" i="74" s="1"/>
  <c r="BC869" i="74"/>
  <c r="BC858" i="74"/>
  <c r="BC863" i="74" s="1"/>
  <c r="BA764" i="74"/>
  <c r="Q285" i="74"/>
  <c r="Q341" i="74" s="1"/>
  <c r="Q340" i="74"/>
  <c r="AV783" i="74"/>
  <c r="AV503" i="74"/>
  <c r="AV807" i="74" s="1"/>
  <c r="AW783" i="74"/>
  <c r="AW503" i="74"/>
  <c r="AW807" i="74" s="1"/>
  <c r="BB783" i="74"/>
  <c r="BB503" i="74"/>
  <c r="BB807" i="74" s="1"/>
  <c r="CD763" i="74"/>
  <c r="BG521" i="74"/>
  <c r="AO700" i="74"/>
  <c r="AO689" i="74"/>
  <c r="AO694" i="74" s="1"/>
  <c r="AI700" i="74"/>
  <c r="AI689" i="74"/>
  <c r="AI694" i="74" s="1"/>
  <c r="AN689" i="74"/>
  <c r="AN694" i="74" s="1"/>
  <c r="AN690" i="74"/>
  <c r="AN695" i="74" s="1"/>
  <c r="AN700" i="74"/>
  <c r="CK521" i="74"/>
  <c r="CK526" i="74" s="1"/>
  <c r="CE521" i="74"/>
  <c r="CA913" i="74"/>
  <c r="CA910" i="74"/>
  <c r="CA915" i="74" s="1"/>
  <c r="AU909" i="74"/>
  <c r="AU914" i="74" s="1"/>
  <c r="BK909" i="74"/>
  <c r="BK914" i="74" s="1"/>
  <c r="CM783" i="74"/>
  <c r="CM503" i="74"/>
  <c r="CM807" i="74" s="1"/>
  <c r="CC783" i="74"/>
  <c r="S502" i="74"/>
  <c r="CC503" i="74"/>
  <c r="CH783" i="74"/>
  <c r="CH503" i="74"/>
  <c r="CH807" i="74" s="1"/>
  <c r="CC856" i="74"/>
  <c r="S507" i="74"/>
  <c r="CM846" i="74"/>
  <c r="CM835" i="74"/>
  <c r="CM840" i="74" s="1"/>
  <c r="AO889" i="74"/>
  <c r="AO886" i="74"/>
  <c r="AO891" i="74" s="1"/>
  <c r="AD908" i="74"/>
  <c r="AD913" i="74" s="1"/>
  <c r="Y908" i="74"/>
  <c r="X908" i="74"/>
  <c r="CB846" i="74"/>
  <c r="CB835" i="74"/>
  <c r="CB840" i="74" s="1"/>
  <c r="AT846" i="74"/>
  <c r="AT835" i="74"/>
  <c r="AT840" i="74" s="1"/>
  <c r="AY846" i="74"/>
  <c r="AY835" i="74"/>
  <c r="AY840" i="74" s="1"/>
  <c r="BB763" i="74"/>
  <c r="CF554" i="74"/>
  <c r="CF543" i="74"/>
  <c r="CF548" i="74" s="1"/>
  <c r="CG543" i="74"/>
  <c r="CG548" i="74" s="1"/>
  <c r="CG554" i="74"/>
  <c r="CL543" i="74"/>
  <c r="CL548" i="74" s="1"/>
  <c r="CL554" i="74"/>
  <c r="BV710" i="74"/>
  <c r="BV498" i="74"/>
  <c r="BV734" i="74" s="1"/>
  <c r="CA710" i="74"/>
  <c r="CA498" i="74"/>
  <c r="CA734" i="74" s="1"/>
  <c r="BQ710" i="74"/>
  <c r="BQ498" i="74"/>
  <c r="R497" i="74"/>
  <c r="BY913" i="74"/>
  <c r="BY909" i="74"/>
  <c r="BY914" i="74" s="1"/>
  <c r="BC909" i="74"/>
  <c r="BC914" i="74" s="1"/>
  <c r="AL909" i="74"/>
  <c r="AL914" i="74" s="1"/>
  <c r="BL554" i="74"/>
  <c r="BL543" i="74"/>
  <c r="BL548" i="74" s="1"/>
  <c r="BM543" i="74"/>
  <c r="BM548" i="74" s="1"/>
  <c r="BM554" i="74"/>
  <c r="BM544" i="74"/>
  <c r="BM549" i="74" s="1"/>
  <c r="BG554" i="74"/>
  <c r="BG543" i="74"/>
  <c r="BG548" i="74" s="1"/>
  <c r="AC773" i="74"/>
  <c r="AC762" i="74"/>
  <c r="AC767" i="74" s="1"/>
  <c r="W762" i="74"/>
  <c r="W767" i="74" s="1"/>
  <c r="W773" i="74"/>
  <c r="AB773" i="74"/>
  <c r="AB762" i="74"/>
  <c r="AB767" i="74" s="1"/>
  <c r="BG765" i="74"/>
  <c r="BG770" i="74" s="1"/>
  <c r="AU710" i="74"/>
  <c r="AU498" i="74"/>
  <c r="AU734" i="74" s="1"/>
  <c r="AZ710" i="74"/>
  <c r="AZ498" i="74"/>
  <c r="AZ734" i="74" s="1"/>
  <c r="BA710" i="74"/>
  <c r="BA498" i="74"/>
  <c r="BA734" i="74" s="1"/>
  <c r="BA521" i="74"/>
  <c r="BA526" i="74" s="1"/>
  <c r="BA522" i="74"/>
  <c r="BA527" i="74" s="1"/>
  <c r="AU521" i="74"/>
  <c r="AE833" i="74"/>
  <c r="AE507" i="74"/>
  <c r="AE856" i="74" s="1"/>
  <c r="U833" i="74"/>
  <c r="U507" i="74"/>
  <c r="N506" i="74"/>
  <c r="Z833" i="74"/>
  <c r="Z507" i="74"/>
  <c r="Z856" i="74" s="1"/>
  <c r="BR910" i="74"/>
  <c r="BR915" i="74" s="1"/>
  <c r="BR919" i="74" s="1"/>
  <c r="BM890" i="74"/>
  <c r="BM886" i="74"/>
  <c r="BM891" i="74" s="1"/>
  <c r="O883" i="74"/>
  <c r="AG888" i="74"/>
  <c r="CE765" i="74"/>
  <c r="CE770" i="74" s="1"/>
  <c r="BH521" i="74"/>
  <c r="CN913" i="74"/>
  <c r="CN910" i="74"/>
  <c r="CN915" i="74" s="1"/>
  <c r="BP869" i="74"/>
  <c r="BP858" i="74"/>
  <c r="BP863" i="74" s="1"/>
  <c r="AO497" i="74"/>
  <c r="AK497" i="74"/>
  <c r="AG497" i="74"/>
  <c r="AR497" i="74"/>
  <c r="AN497" i="74"/>
  <c r="AJ497" i="74"/>
  <c r="AQ497" i="74"/>
  <c r="AM497" i="74"/>
  <c r="AI497" i="74"/>
  <c r="AP497" i="74"/>
  <c r="AL497" i="74"/>
  <c r="AH497" i="74"/>
  <c r="BK783" i="74"/>
  <c r="BK503" i="74"/>
  <c r="BK807" i="74" s="1"/>
  <c r="BP783" i="74"/>
  <c r="BP503" i="74"/>
  <c r="BP807" i="74" s="1"/>
  <c r="BF783" i="74"/>
  <c r="BF503" i="74"/>
  <c r="BF807" i="74" s="1"/>
  <c r="BC690" i="74"/>
  <c r="AX690" i="74"/>
  <c r="AX691" i="74" s="1"/>
  <c r="AX696" i="74" s="1"/>
  <c r="BB521" i="74"/>
  <c r="BB526" i="74" s="1"/>
  <c r="BB522" i="74"/>
  <c r="BB527" i="74" s="1"/>
  <c r="BY690" i="74"/>
  <c r="CF764" i="74"/>
  <c r="CG763" i="74"/>
  <c r="CG768" i="74" s="1"/>
  <c r="BE520" i="74"/>
  <c r="BE521" i="74" s="1"/>
  <c r="Q518" i="74"/>
  <c r="BE531" i="74"/>
  <c r="Q531" i="74" s="1"/>
  <c r="BG846" i="74"/>
  <c r="BG835" i="74"/>
  <c r="BG840" i="74" s="1"/>
  <c r="BD690" i="74"/>
  <c r="CC773" i="74"/>
  <c r="S773" i="74" s="1"/>
  <c r="CC762" i="74"/>
  <c r="S760" i="74"/>
  <c r="BH846" i="74"/>
  <c r="BH835" i="74"/>
  <c r="BH840" i="74" s="1"/>
  <c r="BG710" i="74"/>
  <c r="BG498" i="74"/>
  <c r="BG734" i="74" s="1"/>
  <c r="BL710" i="74"/>
  <c r="BL498" i="74"/>
  <c r="BL734" i="74" s="1"/>
  <c r="BM710" i="74"/>
  <c r="BM498" i="74"/>
  <c r="BM734" i="74" s="1"/>
  <c r="BS885" i="74"/>
  <c r="CF521" i="74"/>
  <c r="AU885" i="74"/>
  <c r="AU890" i="74" s="1"/>
  <c r="BQ912" i="74"/>
  <c r="R907" i="74"/>
  <c r="CM885" i="74"/>
  <c r="CM890" i="74" s="1"/>
  <c r="CH710" i="74"/>
  <c r="CH498" i="74"/>
  <c r="CH734" i="74" s="1"/>
  <c r="CM710" i="74"/>
  <c r="CM498" i="74"/>
  <c r="CM734" i="74" s="1"/>
  <c r="CC710" i="74"/>
  <c r="CC498" i="74"/>
  <c r="S497" i="74"/>
  <c r="CH910" i="74"/>
  <c r="CH915" i="74" s="1"/>
  <c r="CH919" i="74" s="1"/>
  <c r="CD858" i="74"/>
  <c r="CD863" i="74" s="1"/>
  <c r="CD869" i="74"/>
  <c r="CI869" i="74"/>
  <c r="CI858" i="74"/>
  <c r="CI863" i="74" s="1"/>
  <c r="AE909" i="74"/>
  <c r="AE914" i="74" s="1"/>
  <c r="CF690" i="74"/>
  <c r="BY869" i="74"/>
  <c r="BY858" i="74"/>
  <c r="BY863" i="74" s="1"/>
  <c r="BS869" i="74"/>
  <c r="BS858" i="74"/>
  <c r="BS863" i="74" s="1"/>
  <c r="AZ869" i="74"/>
  <c r="AZ858" i="74"/>
  <c r="AZ863" i="74" s="1"/>
  <c r="AX763" i="74"/>
  <c r="CK489" i="74"/>
  <c r="CG489" i="74"/>
  <c r="CC489" i="74"/>
  <c r="CN489" i="74"/>
  <c r="CJ489" i="74"/>
  <c r="CF489" i="74"/>
  <c r="CM489" i="74"/>
  <c r="CI489" i="74"/>
  <c r="CE489" i="74"/>
  <c r="CL489" i="74"/>
  <c r="CH489" i="74"/>
  <c r="CD489" i="74"/>
  <c r="AS908" i="74"/>
  <c r="BZ521" i="74"/>
  <c r="BZ526" i="74" s="1"/>
  <c r="BZ522" i="74"/>
  <c r="BZ527" i="74" s="1"/>
  <c r="U687" i="74"/>
  <c r="N496" i="74"/>
  <c r="Z700" i="74"/>
  <c r="Z689" i="74"/>
  <c r="Z694" i="74" s="1"/>
  <c r="AE700" i="74"/>
  <c r="AE689" i="74"/>
  <c r="AE694" i="74" s="1"/>
  <c r="AE690" i="74"/>
  <c r="AE695" i="74" s="1"/>
  <c r="BN763" i="74"/>
  <c r="AV554" i="74"/>
  <c r="AV543" i="74"/>
  <c r="AV548" i="74" s="1"/>
  <c r="AW543" i="74"/>
  <c r="AW548" i="74" s="1"/>
  <c r="AW554" i="74"/>
  <c r="BB543" i="74"/>
  <c r="BB548" i="74" s="1"/>
  <c r="BB554" i="74"/>
  <c r="CL763" i="74"/>
  <c r="AG760" i="74"/>
  <c r="O501" i="74"/>
  <c r="AL773" i="74"/>
  <c r="AL762" i="74"/>
  <c r="AL767" i="74" s="1"/>
  <c r="AQ762" i="74"/>
  <c r="AQ767" i="74" s="1"/>
  <c r="AQ773" i="74"/>
  <c r="AY691" i="74"/>
  <c r="S518" i="74"/>
  <c r="CC520" i="74"/>
  <c r="CC521" i="74" s="1"/>
  <c r="CC531" i="74"/>
  <c r="S531" i="74" s="1"/>
  <c r="AK885" i="74"/>
  <c r="BP690" i="74"/>
  <c r="CK869" i="74"/>
  <c r="CK858" i="74"/>
  <c r="CK863" i="74" s="1"/>
  <c r="CE869" i="74"/>
  <c r="CE858" i="74"/>
  <c r="CE863" i="74" s="1"/>
  <c r="CB554" i="74"/>
  <c r="CB543" i="74"/>
  <c r="CB548" i="74" s="1"/>
  <c r="BR543" i="74"/>
  <c r="BR548" i="74" s="1"/>
  <c r="BR554" i="74"/>
  <c r="BW554" i="74"/>
  <c r="BW543" i="74"/>
  <c r="BW548" i="74" s="1"/>
  <c r="AA908" i="74"/>
  <c r="CC700" i="74"/>
  <c r="S700" i="74" s="1"/>
  <c r="CC689" i="74"/>
  <c r="S687" i="74"/>
  <c r="BZ858" i="74"/>
  <c r="BZ863" i="74" s="1"/>
  <c r="BZ869" i="74"/>
  <c r="BT869" i="74"/>
  <c r="BT858" i="74"/>
  <c r="BT863" i="74" s="1"/>
  <c r="AW869" i="74"/>
  <c r="AW858" i="74"/>
  <c r="AW863" i="74" s="1"/>
  <c r="BD763" i="74"/>
  <c r="R883" i="74"/>
  <c r="BQ888" i="74"/>
  <c r="AX885" i="74"/>
  <c r="CA783" i="74"/>
  <c r="CA503" i="74"/>
  <c r="CA807" i="74" s="1"/>
  <c r="BQ783" i="74"/>
  <c r="BQ503" i="74"/>
  <c r="R502" i="74"/>
  <c r="BV783" i="74"/>
  <c r="BV503" i="74"/>
  <c r="BV807" i="74" s="1"/>
  <c r="V520" i="74"/>
  <c r="V525" i="74" s="1"/>
  <c r="V531" i="74"/>
  <c r="AA531" i="74"/>
  <c r="AA520" i="74"/>
  <c r="AA525" i="74" s="1"/>
  <c r="AF531" i="74"/>
  <c r="AF520" i="74"/>
  <c r="AF525" i="74" s="1"/>
  <c r="BC910" i="74"/>
  <c r="BC915" i="74" s="1"/>
  <c r="AI908" i="74"/>
  <c r="CJ886" i="74"/>
  <c r="CJ891" i="74" s="1"/>
  <c r="CJ895" i="74" s="1"/>
  <c r="N355" i="74"/>
  <c r="N349" i="74"/>
  <c r="P340" i="74"/>
  <c r="P285" i="74"/>
  <c r="P341" i="74" s="1"/>
  <c r="BU690" i="74"/>
  <c r="AL520" i="74"/>
  <c r="AL525" i="74" s="1"/>
  <c r="AL531" i="74"/>
  <c r="AQ531" i="74"/>
  <c r="AQ520" i="74"/>
  <c r="AQ525" i="74" s="1"/>
  <c r="AG518" i="74"/>
  <c r="O487" i="74"/>
  <c r="CN885" i="74"/>
  <c r="CN890" i="74" s="1"/>
  <c r="CH763" i="74"/>
  <c r="BF521" i="74"/>
  <c r="BF526" i="74" s="1"/>
  <c r="BF522" i="74"/>
  <c r="BF527" i="74" s="1"/>
  <c r="BI869" i="74"/>
  <c r="BI858" i="74"/>
  <c r="BI863" i="74" s="1"/>
  <c r="AZ691" i="74"/>
  <c r="AZ696" i="74" s="1"/>
  <c r="R687" i="74"/>
  <c r="BQ700" i="74"/>
  <c r="R700" i="74" s="1"/>
  <c r="BQ689" i="74"/>
  <c r="CI764" i="74"/>
  <c r="CI769" i="74" s="1"/>
  <c r="BO869" i="74"/>
  <c r="BO858" i="74"/>
  <c r="BO863" i="74" s="1"/>
  <c r="AR833" i="74"/>
  <c r="AR507" i="74"/>
  <c r="AR856" i="74" s="1"/>
  <c r="AH833" i="74"/>
  <c r="AH507" i="74"/>
  <c r="AH856" i="74" s="1"/>
  <c r="CF869" i="74"/>
  <c r="CF858" i="74"/>
  <c r="CF863" i="74" s="1"/>
  <c r="R338" i="74"/>
  <c r="R283" i="74"/>
  <c r="R339" i="74" s="1"/>
  <c r="AX858" i="74"/>
  <c r="AX863" i="74" s="1"/>
  <c r="AX869" i="74"/>
  <c r="CN521" i="74"/>
  <c r="CN526" i="74" s="1"/>
  <c r="CD522" i="74"/>
  <c r="BS763" i="74"/>
  <c r="BS768" i="74" s="1"/>
  <c r="AJ833" i="74"/>
  <c r="AJ507" i="74"/>
  <c r="AJ856" i="74" s="1"/>
  <c r="AK833" i="74"/>
  <c r="AK507" i="74"/>
  <c r="AK856" i="74" s="1"/>
  <c r="AP833" i="74"/>
  <c r="AP507" i="74"/>
  <c r="AP856" i="74" s="1"/>
  <c r="BL690" i="74"/>
  <c r="BL691" i="74" s="1"/>
  <c r="BL696" i="74" s="1"/>
  <c r="CG869" i="74"/>
  <c r="CG858" i="74"/>
  <c r="CG863" i="74" s="1"/>
  <c r="BY489" i="74"/>
  <c r="BU489" i="74"/>
  <c r="BQ489" i="74"/>
  <c r="CB489" i="74"/>
  <c r="BX489" i="74"/>
  <c r="BT489" i="74"/>
  <c r="CA489" i="74"/>
  <c r="BW489" i="74"/>
  <c r="BS489" i="74"/>
  <c r="BZ489" i="74"/>
  <c r="BV489" i="74"/>
  <c r="BR489" i="74"/>
  <c r="AC909" i="74"/>
  <c r="AC914" i="74" s="1"/>
  <c r="CD692" i="74"/>
  <c r="CD697" i="74" s="1"/>
  <c r="CD701" i="74" s="1"/>
  <c r="BV846" i="74"/>
  <c r="BV835" i="74"/>
  <c r="BV840" i="74" s="1"/>
  <c r="CA869" i="74"/>
  <c r="CA858" i="74"/>
  <c r="CA863" i="74" s="1"/>
  <c r="AS856" i="74"/>
  <c r="P507" i="74"/>
  <c r="BC846" i="74"/>
  <c r="BC835" i="74"/>
  <c r="BC840" i="74" s="1"/>
  <c r="N337" i="74"/>
  <c r="N284" i="74"/>
  <c r="N282" i="74"/>
  <c r="CB522" i="74"/>
  <c r="AP908" i="74"/>
  <c r="AP913" i="74" s="1"/>
  <c r="AJ908" i="74"/>
  <c r="AJ913" i="74" s="1"/>
  <c r="BM489" i="74"/>
  <c r="BI489" i="74"/>
  <c r="BE489" i="74"/>
  <c r="BP489" i="74"/>
  <c r="BL489" i="74"/>
  <c r="BH489" i="74"/>
  <c r="BO489" i="74"/>
  <c r="BK489" i="74"/>
  <c r="BG489" i="74"/>
  <c r="BN489" i="74"/>
  <c r="BJ489" i="74"/>
  <c r="BF489" i="74"/>
  <c r="BF763" i="74"/>
  <c r="BF768" i="74" s="1"/>
  <c r="AU783" i="74"/>
  <c r="AU503" i="74"/>
  <c r="AU807" i="74" s="1"/>
  <c r="AZ783" i="74"/>
  <c r="AZ503" i="74"/>
  <c r="AZ807" i="74" s="1"/>
  <c r="BA783" i="74"/>
  <c r="BA503" i="74"/>
  <c r="BA807" i="74" s="1"/>
  <c r="BE835" i="74"/>
  <c r="BE836" i="74" s="1"/>
  <c r="BE846" i="74"/>
  <c r="Q833" i="74"/>
  <c r="AH700" i="74"/>
  <c r="AH689" i="74"/>
  <c r="AH694" i="74" s="1"/>
  <c r="AM700" i="74"/>
  <c r="AM689" i="74"/>
  <c r="AM694" i="74" s="1"/>
  <c r="AR689" i="74"/>
  <c r="AR694" i="74" s="1"/>
  <c r="AR690" i="74"/>
  <c r="AR695" i="74" s="1"/>
  <c r="AR700" i="74"/>
  <c r="BR885" i="74"/>
  <c r="BR890" i="74" s="1"/>
  <c r="BT763" i="74"/>
  <c r="BZ764" i="74"/>
  <c r="BU763" i="74"/>
  <c r="BU768" i="74" s="1"/>
  <c r="BP920" i="74"/>
  <c r="BP922" i="74" s="1"/>
  <c r="CF783" i="74"/>
  <c r="CF503" i="74"/>
  <c r="CF807" i="74" s="1"/>
  <c r="CG783" i="74"/>
  <c r="CG503" i="74"/>
  <c r="CG807" i="74" s="1"/>
  <c r="CL783" i="74"/>
  <c r="CL503" i="74"/>
  <c r="CL807" i="74" s="1"/>
  <c r="BN690" i="74"/>
  <c r="BN691" i="74" s="1"/>
  <c r="BN696" i="74" s="1"/>
  <c r="BT914" i="74"/>
  <c r="BT910" i="74"/>
  <c r="BT915" i="74" s="1"/>
  <c r="BJ889" i="74"/>
  <c r="BJ886" i="74"/>
  <c r="BJ891" i="74" s="1"/>
  <c r="BE884" i="74"/>
  <c r="AY913" i="74"/>
  <c r="AY910" i="74"/>
  <c r="AY915" i="74" s="1"/>
  <c r="Y909" i="74"/>
  <c r="Y914" i="74" s="1"/>
  <c r="CE690" i="74"/>
  <c r="CK690" i="74"/>
  <c r="BR858" i="74"/>
  <c r="BR863" i="74" s="1"/>
  <c r="BR869" i="74"/>
  <c r="BW869" i="74"/>
  <c r="BW858" i="74"/>
  <c r="BW863" i="74" s="1"/>
  <c r="BD869" i="74"/>
  <c r="BD858" i="74"/>
  <c r="BD863" i="74" s="1"/>
  <c r="AW763" i="74"/>
  <c r="AW768" i="74" s="1"/>
  <c r="CJ554" i="74"/>
  <c r="CJ543" i="74"/>
  <c r="CJ548" i="74" s="1"/>
  <c r="CK543" i="74"/>
  <c r="CK548" i="74" s="1"/>
  <c r="CK554" i="74"/>
  <c r="CE554" i="74"/>
  <c r="CE543" i="74"/>
  <c r="CE548" i="74" s="1"/>
  <c r="BZ710" i="74"/>
  <c r="BZ498" i="74"/>
  <c r="BZ734" i="74" s="1"/>
  <c r="BT710" i="74"/>
  <c r="BT498" i="74"/>
  <c r="BT734" i="74" s="1"/>
  <c r="BU710" i="74"/>
  <c r="BU498" i="74"/>
  <c r="BU734" i="74" s="1"/>
  <c r="BN889" i="74"/>
  <c r="BN886" i="74"/>
  <c r="BN891" i="74" s="1"/>
  <c r="AX913" i="74"/>
  <c r="BX521" i="74"/>
  <c r="BX526" i="74" s="1"/>
  <c r="BS522" i="74"/>
  <c r="BH913" i="74"/>
  <c r="AQ908" i="74"/>
  <c r="AQ913" i="74" s="1"/>
  <c r="BP554" i="74"/>
  <c r="BP543" i="74"/>
  <c r="BP548" i="74" s="1"/>
  <c r="BF543" i="74"/>
  <c r="BF548" i="74" s="1"/>
  <c r="BF554" i="74"/>
  <c r="BK554" i="74"/>
  <c r="BK544" i="74"/>
  <c r="BK549" i="74" s="1"/>
  <c r="BK543" i="74"/>
  <c r="BK548" i="74" s="1"/>
  <c r="V773" i="74"/>
  <c r="V763" i="74"/>
  <c r="V768" i="74" s="1"/>
  <c r="V762" i="74"/>
  <c r="V767" i="74" s="1"/>
  <c r="AA762" i="74"/>
  <c r="AA767" i="74" s="1"/>
  <c r="AA773" i="74"/>
  <c r="AF773" i="74"/>
  <c r="AF762" i="74"/>
  <c r="AF767" i="74" s="1"/>
  <c r="AF763" i="74"/>
  <c r="AF768" i="74" s="1"/>
  <c r="AT710" i="74"/>
  <c r="AT498" i="74"/>
  <c r="AT734" i="74" s="1"/>
  <c r="AY710" i="74"/>
  <c r="AY498" i="74"/>
  <c r="AY734" i="74" s="1"/>
  <c r="BD710" i="74"/>
  <c r="BD498" i="74"/>
  <c r="BD734" i="74" s="1"/>
  <c r="BA523" i="74"/>
  <c r="BA528" i="74" s="1"/>
  <c r="BW690" i="74"/>
  <c r="BR690" i="74"/>
  <c r="X833" i="74"/>
  <c r="X507" i="74"/>
  <c r="X856" i="74" s="1"/>
  <c r="Y833" i="74"/>
  <c r="Y507" i="74"/>
  <c r="Y856" i="74" s="1"/>
  <c r="AD833" i="74"/>
  <c r="AD507" i="74"/>
  <c r="AD856" i="74" s="1"/>
  <c r="AL889" i="74"/>
  <c r="AL886" i="74"/>
  <c r="AL891" i="74" s="1"/>
  <c r="AV914" i="74"/>
  <c r="AV910" i="74"/>
  <c r="AV915" i="74" s="1"/>
  <c r="CK764" i="74"/>
  <c r="BI522" i="74"/>
  <c r="BP846" i="74"/>
  <c r="BP835" i="74"/>
  <c r="BP840" i="74" s="1"/>
  <c r="AP502" i="74"/>
  <c r="AL502" i="74"/>
  <c r="AH502" i="74"/>
  <c r="AO502" i="74"/>
  <c r="AK502" i="74"/>
  <c r="AG502" i="74"/>
  <c r="AR502" i="74"/>
  <c r="AN502" i="74"/>
  <c r="AJ502" i="74"/>
  <c r="AQ502" i="74"/>
  <c r="AM502" i="74"/>
  <c r="AI502" i="74"/>
  <c r="BO783" i="74"/>
  <c r="BO503" i="74"/>
  <c r="BO807" i="74" s="1"/>
  <c r="BE783" i="74"/>
  <c r="Q502" i="74"/>
  <c r="BE503" i="74"/>
  <c r="BJ783" i="74"/>
  <c r="BJ503" i="74"/>
  <c r="BJ807" i="74" s="1"/>
  <c r="BI764" i="74"/>
  <c r="BJ522" i="74"/>
  <c r="BJ527" i="74" s="1"/>
  <c r="BM869" i="74"/>
  <c r="BM858" i="74"/>
  <c r="BM863" i="74" s="1"/>
  <c r="BG910" i="74"/>
  <c r="BG915" i="74" s="1"/>
  <c r="BG919" i="74" s="1"/>
  <c r="BF710" i="74"/>
  <c r="BF498" i="74"/>
  <c r="BF734" i="74" s="1"/>
  <c r="BK710" i="74"/>
  <c r="BK498" i="74"/>
  <c r="BK734" i="74" s="1"/>
  <c r="BP710" i="74"/>
  <c r="BP498" i="74"/>
  <c r="BP734" i="74" s="1"/>
  <c r="CN763" i="74"/>
  <c r="BL521" i="74"/>
  <c r="BL526" i="74" s="1"/>
  <c r="CG522" i="74"/>
  <c r="AE885" i="74"/>
  <c r="U889" i="74"/>
  <c r="N884" i="74"/>
  <c r="BV763" i="74"/>
  <c r="BV768" i="74" s="1"/>
  <c r="BQ913" i="74"/>
  <c r="R908" i="74"/>
  <c r="CC889" i="74"/>
  <c r="S884" i="74"/>
  <c r="CL710" i="74"/>
  <c r="CL498" i="74"/>
  <c r="CL734" i="74" s="1"/>
  <c r="CF710" i="74"/>
  <c r="CF498" i="74"/>
  <c r="CF734" i="74" s="1"/>
  <c r="CG710" i="74"/>
  <c r="CG498" i="74"/>
  <c r="CG734" i="74" s="1"/>
  <c r="BJ692" i="74"/>
  <c r="BJ697" i="74" s="1"/>
  <c r="BJ701" i="74" s="1"/>
  <c r="Q687" i="74"/>
  <c r="BE700" i="74"/>
  <c r="Q700" i="74" s="1"/>
  <c r="BE689" i="74"/>
  <c r="CD846" i="74"/>
  <c r="CD835" i="74"/>
  <c r="CD840" i="74" s="1"/>
  <c r="CI846" i="74"/>
  <c r="CI835" i="74"/>
  <c r="CI840" i="74" s="1"/>
  <c r="BD909" i="74"/>
  <c r="BD914" i="74" s="1"/>
  <c r="BY835" i="74"/>
  <c r="BY840" i="74" s="1"/>
  <c r="BY846" i="74"/>
  <c r="BS846" i="74"/>
  <c r="BS835" i="74"/>
  <c r="BS840" i="74" s="1"/>
  <c r="AZ846" i="74"/>
  <c r="AZ835" i="74"/>
  <c r="AZ840" i="74" s="1"/>
  <c r="BC763" i="74"/>
  <c r="BC768" i="74" s="1"/>
  <c r="S338" i="74"/>
  <c r="S283" i="74"/>
  <c r="S339" i="74" s="1"/>
  <c r="AS888" i="74"/>
  <c r="P883" i="74"/>
  <c r="AS884" i="74"/>
  <c r="N477" i="74"/>
  <c r="AX909" i="74"/>
  <c r="AX914" i="74" s="1"/>
  <c r="BT521" i="74"/>
  <c r="BT526" i="74" s="1"/>
  <c r="BZ523" i="74"/>
  <c r="BZ528" i="74" s="1"/>
  <c r="BH909" i="74"/>
  <c r="BH914" i="74" s="1"/>
  <c r="AH909" i="74"/>
  <c r="AR908" i="74"/>
  <c r="AR913" i="74" s="1"/>
  <c r="AM908" i="74"/>
  <c r="AM913" i="74" s="1"/>
  <c r="Y700" i="74"/>
  <c r="Y689" i="74"/>
  <c r="Y694" i="74" s="1"/>
  <c r="AD700" i="74"/>
  <c r="AD689" i="74"/>
  <c r="AD694" i="74" s="1"/>
  <c r="X689" i="74"/>
  <c r="X694" i="74" s="1"/>
  <c r="X690" i="74"/>
  <c r="X695" i="74" s="1"/>
  <c r="X700" i="74"/>
  <c r="AZ554" i="74"/>
  <c r="AZ543" i="74"/>
  <c r="AZ548" i="74" s="1"/>
  <c r="BA543" i="74"/>
  <c r="BA548" i="74" s="1"/>
  <c r="BA554" i="74"/>
  <c r="AU554" i="74"/>
  <c r="AU543" i="74"/>
  <c r="AU548" i="74" s="1"/>
  <c r="O284" i="74"/>
  <c r="O282" i="74"/>
  <c r="O337" i="74"/>
  <c r="AW909" i="74"/>
  <c r="AK773" i="74"/>
  <c r="AK762" i="74"/>
  <c r="AK767" i="74" s="1"/>
  <c r="AP773" i="74"/>
  <c r="AP762" i="74"/>
  <c r="AP767" i="74" s="1"/>
  <c r="AJ773" i="74"/>
  <c r="AJ762" i="74"/>
  <c r="AJ767" i="74" s="1"/>
  <c r="BR763" i="74"/>
  <c r="BR768" i="74" s="1"/>
  <c r="AP886" i="74"/>
  <c r="AP891" i="74" s="1"/>
  <c r="AP895" i="74" s="1"/>
  <c r="CH885" i="74"/>
  <c r="AD885" i="74"/>
  <c r="AY886" i="74"/>
  <c r="AY891" i="74" s="1"/>
  <c r="AY895" i="74" s="1"/>
  <c r="CK835" i="74"/>
  <c r="CK840" i="74" s="1"/>
  <c r="CK846" i="74"/>
  <c r="CE846" i="74"/>
  <c r="CE835" i="74"/>
  <c r="CE840" i="74" s="1"/>
  <c r="BO886" i="74"/>
  <c r="BO891" i="74" s="1"/>
  <c r="BO895" i="74" s="1"/>
  <c r="O478" i="74"/>
  <c r="BQ541" i="74"/>
  <c r="R488" i="74"/>
  <c r="BV543" i="74"/>
  <c r="BV548" i="74" s="1"/>
  <c r="BV554" i="74"/>
  <c r="CA554" i="74"/>
  <c r="CA543" i="74"/>
  <c r="CA548" i="74" s="1"/>
  <c r="BZ846" i="74"/>
  <c r="BZ835" i="74"/>
  <c r="BZ840" i="74" s="1"/>
  <c r="BT846" i="74"/>
  <c r="BT835" i="74"/>
  <c r="BT840" i="74" s="1"/>
  <c r="AW846" i="74"/>
  <c r="AW835" i="74"/>
  <c r="AW840" i="74" s="1"/>
  <c r="AY764" i="74"/>
  <c r="AT764" i="74"/>
  <c r="BT885" i="74"/>
  <c r="BT783" i="74"/>
  <c r="BT503" i="74"/>
  <c r="BT807" i="74" s="1"/>
  <c r="BU783" i="74"/>
  <c r="BU503" i="74"/>
  <c r="BU807" i="74" s="1"/>
  <c r="BZ783" i="74"/>
  <c r="BZ503" i="74"/>
  <c r="BZ807" i="74" s="1"/>
  <c r="Z520" i="74"/>
  <c r="Z525" i="74" s="1"/>
  <c r="Z531" i="74"/>
  <c r="AE531" i="74"/>
  <c r="AE520" i="74"/>
  <c r="AE525" i="74" s="1"/>
  <c r="U518" i="74"/>
  <c r="N487" i="74"/>
  <c r="BV522" i="74"/>
  <c r="BV527" i="74" s="1"/>
  <c r="CK886" i="74"/>
  <c r="CK891" i="74" s="1"/>
  <c r="CK895" i="74" s="1"/>
  <c r="AC497" i="74"/>
  <c r="Y497" i="74"/>
  <c r="U497" i="74"/>
  <c r="AF497" i="74"/>
  <c r="AB497" i="74"/>
  <c r="X497" i="74"/>
  <c r="AE497" i="74"/>
  <c r="AA497" i="74"/>
  <c r="W497" i="74"/>
  <c r="AD497" i="74"/>
  <c r="Z497" i="74"/>
  <c r="V497" i="74"/>
  <c r="BE773" i="74"/>
  <c r="Q773" i="74" s="1"/>
  <c r="BE762" i="74"/>
  <c r="Q760" i="74"/>
  <c r="BA489" i="74"/>
  <c r="AW489" i="74"/>
  <c r="AS489" i="74"/>
  <c r="BD489" i="74"/>
  <c r="AZ489" i="74"/>
  <c r="AV489" i="74"/>
  <c r="BC489" i="74"/>
  <c r="AY489" i="74"/>
  <c r="AU489" i="74"/>
  <c r="BB489" i="74"/>
  <c r="AX489" i="74"/>
  <c r="AT489" i="74"/>
  <c r="AX522" i="74"/>
  <c r="AX527" i="74" s="1"/>
  <c r="AW885" i="74"/>
  <c r="AW890" i="74" s="1"/>
  <c r="BZ692" i="74"/>
  <c r="BZ697" i="74" s="1"/>
  <c r="BZ701" i="74" s="1"/>
  <c r="AP520" i="74"/>
  <c r="AP525" i="74" s="1"/>
  <c r="AP531" i="74"/>
  <c r="AJ531" i="74"/>
  <c r="AJ520" i="74"/>
  <c r="AJ525" i="74" s="1"/>
  <c r="AK520" i="74"/>
  <c r="AK525" i="74" s="1"/>
  <c r="AK531" i="74"/>
  <c r="BP521" i="74"/>
  <c r="BP526" i="74" s="1"/>
  <c r="BI835" i="74"/>
  <c r="BI840" i="74" s="1"/>
  <c r="BI846" i="74"/>
  <c r="AT522" i="74"/>
  <c r="AT527" i="74" s="1"/>
  <c r="AQ886" i="74"/>
  <c r="AQ891" i="74" s="1"/>
  <c r="AQ895" i="74" s="1"/>
  <c r="BM522" i="74"/>
  <c r="BO846" i="74"/>
  <c r="BO835" i="74"/>
  <c r="BO840" i="74" s="1"/>
  <c r="AV690" i="74"/>
  <c r="AV691" i="74" s="1"/>
  <c r="AV696" i="74" s="1"/>
  <c r="Z896" i="74"/>
  <c r="Z898" i="74" s="1"/>
  <c r="BA889" i="74"/>
  <c r="BA886" i="74"/>
  <c r="BA891" i="74" s="1"/>
  <c r="BX763" i="74"/>
  <c r="BX768" i="74" s="1"/>
  <c r="BY764" i="74"/>
  <c r="BY769" i="74" s="1"/>
  <c r="AI833" i="74"/>
  <c r="AI507" i="74"/>
  <c r="AI856" i="74" s="1"/>
  <c r="AN833" i="74"/>
  <c r="AN507" i="74"/>
  <c r="AN856" i="74" s="1"/>
  <c r="AO833" i="74"/>
  <c r="AO507" i="74"/>
  <c r="AO856" i="74" s="1"/>
  <c r="CC913" i="74"/>
  <c r="S908" i="74"/>
  <c r="CG835" i="74"/>
  <c r="CG840" i="74" s="1"/>
  <c r="CG846" i="74"/>
  <c r="AB909" i="74"/>
  <c r="AB914" i="74" s="1"/>
  <c r="CI691" i="74"/>
  <c r="CI696" i="74" s="1"/>
  <c r="CA846" i="74"/>
  <c r="CA835" i="74"/>
  <c r="CA840" i="74" s="1"/>
  <c r="AZ763" i="74"/>
  <c r="AZ768" i="74" s="1"/>
  <c r="AE488" i="74"/>
  <c r="AE541" i="74" s="1"/>
  <c r="AA488" i="74"/>
  <c r="AA541" i="74" s="1"/>
  <c r="W488" i="74"/>
  <c r="W541" i="74" s="1"/>
  <c r="AD488" i="74"/>
  <c r="AD541" i="74" s="1"/>
  <c r="Z488" i="74"/>
  <c r="Z541" i="74" s="1"/>
  <c r="V488" i="74"/>
  <c r="V541" i="74" s="1"/>
  <c r="AC488" i="74"/>
  <c r="AC541" i="74" s="1"/>
  <c r="Y488" i="74"/>
  <c r="Y541" i="74" s="1"/>
  <c r="U488" i="74"/>
  <c r="AF488" i="74"/>
  <c r="AF541" i="74" s="1"/>
  <c r="AB488" i="74"/>
  <c r="AB541" i="74" s="1"/>
  <c r="X488" i="74"/>
  <c r="X541" i="74" s="1"/>
  <c r="BW522" i="74"/>
  <c r="BW527" i="74" s="1"/>
  <c r="BP763" i="74"/>
  <c r="BP768" i="74" s="1"/>
  <c r="AY783" i="74"/>
  <c r="AY503" i="74"/>
  <c r="AY807" i="74" s="1"/>
  <c r="BD783" i="74"/>
  <c r="BD503" i="74"/>
  <c r="BD807" i="74" s="1"/>
  <c r="AT783" i="74"/>
  <c r="AT503" i="74"/>
  <c r="AT807" i="74" s="1"/>
  <c r="AY522" i="74"/>
  <c r="AY527" i="74" s="1"/>
  <c r="AG687" i="74"/>
  <c r="O496" i="74"/>
  <c r="AL700" i="74"/>
  <c r="AL689" i="74"/>
  <c r="AL694" i="74" s="1"/>
  <c r="AQ700" i="74"/>
  <c r="AQ689" i="74"/>
  <c r="AQ694" i="74" s="1"/>
  <c r="BB690" i="74"/>
  <c r="BB695" i="74" s="1"/>
  <c r="CJ522" i="74"/>
  <c r="CJ527" i="74" s="1"/>
  <c r="AZ885" i="74"/>
  <c r="N475" i="74"/>
  <c r="BF913" i="74"/>
  <c r="BF910" i="74"/>
  <c r="BF915" i="74" s="1"/>
  <c r="CE783" i="74"/>
  <c r="CE503" i="74"/>
  <c r="CE807" i="74" s="1"/>
  <c r="CJ783" i="74"/>
  <c r="CJ503" i="74"/>
  <c r="CJ807" i="74" s="1"/>
  <c r="CK783" i="74"/>
  <c r="CK503" i="74"/>
  <c r="CK807" i="74" s="1"/>
  <c r="CM913" i="74"/>
  <c r="CM910" i="74"/>
  <c r="CM915" i="74" s="1"/>
  <c r="BI690" i="74"/>
  <c r="BI691" i="74" s="1"/>
  <c r="BI696" i="74" s="1"/>
  <c r="CH858" i="74"/>
  <c r="CH863" i="74" s="1"/>
  <c r="CH869" i="74"/>
  <c r="CC846" i="74"/>
  <c r="CC835" i="74"/>
  <c r="CC836" i="74" s="1"/>
  <c r="S833" i="74"/>
  <c r="BU920" i="74"/>
  <c r="BU922" i="74" s="1"/>
  <c r="AI889" i="74"/>
  <c r="AI886" i="74"/>
  <c r="AI891" i="74" s="1"/>
  <c r="CG889" i="74"/>
  <c r="CG886" i="74"/>
  <c r="CG891" i="74" s="1"/>
  <c r="CJ690" i="74"/>
  <c r="CJ691" i="74" s="1"/>
  <c r="CJ696" i="74" s="1"/>
  <c r="BR846" i="74"/>
  <c r="BR835" i="74"/>
  <c r="BR840" i="74" s="1"/>
  <c r="BW846" i="74"/>
  <c r="BW835" i="74"/>
  <c r="BW840" i="74" s="1"/>
  <c r="BD846" i="74"/>
  <c r="BD835" i="74"/>
  <c r="BD840" i="74" s="1"/>
  <c r="AV763" i="74"/>
  <c r="AV768" i="74" s="1"/>
  <c r="CN554" i="74"/>
  <c r="CN543" i="74"/>
  <c r="CN548" i="74" s="1"/>
  <c r="CD543" i="74"/>
  <c r="CD548" i="74" s="1"/>
  <c r="CD554" i="74"/>
  <c r="CI554" i="74"/>
  <c r="CI543" i="74"/>
  <c r="CI548" i="74" s="1"/>
  <c r="AB885" i="74"/>
  <c r="AB890" i="74" s="1"/>
  <c r="BC889" i="74"/>
  <c r="BC886" i="74"/>
  <c r="BC891" i="74" s="1"/>
  <c r="BS710" i="74"/>
  <c r="BS498" i="74"/>
  <c r="BS734" i="74" s="1"/>
  <c r="BX710" i="74"/>
  <c r="BX498" i="74"/>
  <c r="BX734" i="74" s="1"/>
  <c r="BY710" i="74"/>
  <c r="BY498" i="74"/>
  <c r="BY734" i="74" s="1"/>
  <c r="O477" i="74"/>
  <c r="BI913" i="74"/>
  <c r="BI909" i="74"/>
  <c r="BI914" i="74" s="1"/>
  <c r="AG918" i="74"/>
  <c r="O918" i="74" s="1"/>
  <c r="O905" i="74"/>
  <c r="AG907" i="74"/>
  <c r="AG908" i="74" s="1"/>
  <c r="BE541" i="74"/>
  <c r="Q488" i="74"/>
  <c r="BJ543" i="74"/>
  <c r="BJ548" i="74" s="1"/>
  <c r="BJ554" i="74"/>
  <c r="BO554" i="74"/>
  <c r="BO543" i="74"/>
  <c r="BO548" i="74" s="1"/>
  <c r="U760" i="74"/>
  <c r="N501" i="74"/>
  <c r="Z773" i="74"/>
  <c r="Z762" i="74"/>
  <c r="Z767" i="74" s="1"/>
  <c r="Z763" i="74"/>
  <c r="Z768" i="74" s="1"/>
  <c r="AE762" i="74"/>
  <c r="AE767" i="74" s="1"/>
  <c r="AE773" i="74"/>
  <c r="BL764" i="74"/>
  <c r="BL769" i="74" s="1"/>
  <c r="BG774" i="74"/>
  <c r="AX710" i="74"/>
  <c r="AX498" i="74"/>
  <c r="AX734" i="74" s="1"/>
  <c r="BC710" i="74"/>
  <c r="BC498" i="74"/>
  <c r="BC734" i="74" s="1"/>
  <c r="AS710" i="74"/>
  <c r="P497" i="74"/>
  <c r="AS498" i="74"/>
  <c r="AZ522" i="74"/>
  <c r="AZ527" i="74" s="1"/>
  <c r="CB690" i="74"/>
  <c r="CB691" i="74" s="1"/>
  <c r="CB696" i="74" s="1"/>
  <c r="W833" i="74"/>
  <c r="W507" i="74"/>
  <c r="W856" i="74" s="1"/>
  <c r="AB833" i="74"/>
  <c r="AB507" i="74"/>
  <c r="AB856" i="74" s="1"/>
  <c r="AC833" i="74"/>
  <c r="AC507" i="74"/>
  <c r="AC856" i="74" s="1"/>
  <c r="BW913" i="74"/>
  <c r="BW910" i="74"/>
  <c r="BW915" i="74" s="1"/>
  <c r="AG889" i="74"/>
  <c r="O884" i="74"/>
  <c r="BL914" i="74"/>
  <c r="BL910" i="74"/>
  <c r="BL915" i="74" s="1"/>
  <c r="CJ763" i="74"/>
  <c r="CJ768" i="74" s="1"/>
  <c r="BF858" i="74"/>
  <c r="BF863" i="74" s="1"/>
  <c r="BF869" i="74"/>
  <c r="BK869" i="74"/>
  <c r="BK858" i="74"/>
  <c r="BK863" i="74" s="1"/>
  <c r="O349" i="74"/>
  <c r="O355" i="74"/>
  <c r="BH783" i="74"/>
  <c r="BH503" i="74"/>
  <c r="BH807" i="74" s="1"/>
  <c r="BI783" i="74"/>
  <c r="BI503" i="74"/>
  <c r="BI807" i="74" s="1"/>
  <c r="BN783" i="74"/>
  <c r="BN503" i="74"/>
  <c r="BN807" i="74" s="1"/>
  <c r="AS700" i="74"/>
  <c r="P700" i="74" s="1"/>
  <c r="P687" i="74"/>
  <c r="AS689" i="74"/>
  <c r="AS690" i="74" s="1"/>
  <c r="BX690" i="74"/>
  <c r="CG764" i="74"/>
  <c r="CG769" i="74" s="1"/>
  <c r="BM846" i="74"/>
  <c r="BM835" i="74"/>
  <c r="BM840" i="74" s="1"/>
  <c r="AT690" i="74"/>
  <c r="AT695" i="74" s="1"/>
  <c r="CM764" i="74"/>
  <c r="BK522" i="74"/>
  <c r="BK527" i="74" s="1"/>
  <c r="BJ710" i="74"/>
  <c r="BJ498" i="74"/>
  <c r="BJ734" i="74" s="1"/>
  <c r="BO710" i="74"/>
  <c r="BO498" i="74"/>
  <c r="BO734" i="74" s="1"/>
  <c r="BE710" i="74"/>
  <c r="BE498" i="74"/>
  <c r="Q497" i="74"/>
  <c r="AU690" i="74"/>
  <c r="AU695" i="74" s="1"/>
  <c r="BV690" i="74"/>
  <c r="BV695" i="74" s="1"/>
  <c r="AW691" i="74"/>
  <c r="AW696" i="74" s="1"/>
  <c r="N883" i="74"/>
  <c r="U888" i="74"/>
  <c r="BQ773" i="74"/>
  <c r="R773" i="74" s="1"/>
  <c r="BQ762" i="74"/>
  <c r="R760" i="74"/>
  <c r="BQ909" i="74"/>
  <c r="AU910" i="74"/>
  <c r="AU915" i="74" s="1"/>
  <c r="S883" i="74"/>
  <c r="CC888" i="74"/>
  <c r="CE710" i="74"/>
  <c r="CE498" i="74"/>
  <c r="CE734" i="74" s="1"/>
  <c r="CJ710" i="74"/>
  <c r="CJ498" i="74"/>
  <c r="CJ734" i="74" s="1"/>
  <c r="CK710" i="74"/>
  <c r="CK498" i="74"/>
  <c r="CK734" i="74" s="1"/>
  <c r="BO691" i="74"/>
  <c r="BO696" i="74" s="1"/>
  <c r="BV885" i="74"/>
  <c r="BV890" i="74" s="1"/>
  <c r="AT885" i="74"/>
  <c r="AT890" i="74" s="1"/>
  <c r="CN869" i="74"/>
  <c r="CN858" i="74"/>
  <c r="CN863" i="74" s="1"/>
  <c r="AN885" i="74"/>
  <c r="AN890" i="74" s="1"/>
  <c r="BE912" i="74"/>
  <c r="Q907" i="74"/>
  <c r="Z909" i="74"/>
  <c r="Z914" i="74" s="1"/>
  <c r="CF885" i="74"/>
  <c r="CL690" i="74"/>
  <c r="CL695" i="74" s="1"/>
  <c r="CL691" i="74"/>
  <c r="CL696" i="74" s="1"/>
  <c r="CG691" i="74"/>
  <c r="CG696" i="74" s="1"/>
  <c r="BX869" i="74"/>
  <c r="BX858" i="74"/>
  <c r="BX863" i="74" s="1"/>
  <c r="BA869" i="74"/>
  <c r="BA858" i="74"/>
  <c r="BA863" i="74" s="1"/>
  <c r="AU869" i="74"/>
  <c r="AU858" i="74"/>
  <c r="AU863" i="74" s="1"/>
  <c r="S340" i="74"/>
  <c r="S285" i="74"/>
  <c r="S341" i="74" s="1"/>
  <c r="BX909" i="74"/>
  <c r="BX914" i="74" s="1"/>
  <c r="AS909" i="74"/>
  <c r="BU522" i="74"/>
  <c r="AM909" i="74"/>
  <c r="AM914" i="74" s="1"/>
  <c r="AC700" i="74"/>
  <c r="AC689" i="74"/>
  <c r="AC694" i="74" s="1"/>
  <c r="W700" i="74"/>
  <c r="W689" i="74"/>
  <c r="W694" i="74" s="1"/>
  <c r="AB689" i="74"/>
  <c r="AB694" i="74" s="1"/>
  <c r="AB690" i="74"/>
  <c r="AB695" i="74" s="1"/>
  <c r="AB700" i="74"/>
  <c r="BH764" i="74"/>
  <c r="BH769" i="74" s="1"/>
  <c r="BD554" i="74"/>
  <c r="BD543" i="74"/>
  <c r="BD548" i="74" s="1"/>
  <c r="AT543" i="74"/>
  <c r="AT548" i="74" s="1"/>
  <c r="AT554" i="74"/>
  <c r="AY554" i="74"/>
  <c r="AY543" i="74"/>
  <c r="AY548" i="74" s="1"/>
  <c r="BS691" i="74"/>
  <c r="BS696" i="74" s="1"/>
  <c r="AQ488" i="74"/>
  <c r="AQ541" i="74" s="1"/>
  <c r="AM488" i="74"/>
  <c r="AM541" i="74" s="1"/>
  <c r="AI488" i="74"/>
  <c r="AI541" i="74" s="1"/>
  <c r="AP488" i="74"/>
  <c r="AP541" i="74" s="1"/>
  <c r="AL488" i="74"/>
  <c r="AL541" i="74" s="1"/>
  <c r="AH488" i="74"/>
  <c r="AH541" i="74" s="1"/>
  <c r="AO488" i="74"/>
  <c r="AO541" i="74" s="1"/>
  <c r="AK488" i="74"/>
  <c r="AK541" i="74" s="1"/>
  <c r="AG488" i="74"/>
  <c r="AR488" i="74"/>
  <c r="AR541" i="74" s="1"/>
  <c r="AN488" i="74"/>
  <c r="AN541" i="74" s="1"/>
  <c r="AJ488" i="74"/>
  <c r="AJ541" i="74" s="1"/>
  <c r="BL869" i="74"/>
  <c r="BL858" i="74"/>
  <c r="BL863" i="74" s="1"/>
  <c r="AO773" i="74"/>
  <c r="AO762" i="74"/>
  <c r="AO767" i="74" s="1"/>
  <c r="AI762" i="74"/>
  <c r="AI767" i="74" s="1"/>
  <c r="AI773" i="74"/>
  <c r="AN773" i="74"/>
  <c r="AN762" i="74"/>
  <c r="AN767" i="74" s="1"/>
  <c r="AN763" i="74"/>
  <c r="AN768" i="74" s="1"/>
  <c r="BW886" i="74"/>
  <c r="BW891" i="74" s="1"/>
  <c r="BW895" i="74" s="1"/>
  <c r="CM522" i="74"/>
  <c r="CM527" i="74" s="1"/>
  <c r="CH522" i="74"/>
  <c r="CB763" i="74"/>
  <c r="CB768" i="74" s="1"/>
  <c r="AJ885" i="74"/>
  <c r="BK691" i="74"/>
  <c r="BK696" i="74" s="1"/>
  <c r="BD886" i="74"/>
  <c r="BD891" i="74" s="1"/>
  <c r="BD895" i="74" s="1"/>
  <c r="CJ869" i="74"/>
  <c r="CJ858" i="74"/>
  <c r="CJ863" i="74" s="1"/>
  <c r="BT554" i="74"/>
  <c r="BT543" i="74"/>
  <c r="BT548" i="74" s="1"/>
  <c r="BU543" i="74"/>
  <c r="BU548" i="74" s="1"/>
  <c r="BU554" i="74"/>
  <c r="BZ543" i="74"/>
  <c r="BZ548" i="74" s="1"/>
  <c r="BZ554" i="74"/>
  <c r="AF908" i="74"/>
  <c r="AF913" i="74" s="1"/>
  <c r="CM690" i="74"/>
  <c r="CM695" i="74" s="1"/>
  <c r="BU869" i="74"/>
  <c r="BU858" i="74"/>
  <c r="BU863" i="74" s="1"/>
  <c r="BB858" i="74"/>
  <c r="BB863" i="74" s="1"/>
  <c r="BB869" i="74"/>
  <c r="AV869" i="74"/>
  <c r="AV858" i="74"/>
  <c r="AV863" i="74" s="1"/>
  <c r="BQ889" i="74"/>
  <c r="R889" i="74" s="1"/>
  <c r="R884" i="74"/>
  <c r="W886" i="74"/>
  <c r="W891" i="74" s="1"/>
  <c r="W895" i="74" s="1"/>
  <c r="BS783" i="74"/>
  <c r="BS503" i="74"/>
  <c r="BS807" i="74" s="1"/>
  <c r="BX783" i="74"/>
  <c r="BX503" i="74"/>
  <c r="BX807" i="74" s="1"/>
  <c r="BY783" i="74"/>
  <c r="BY503" i="74"/>
  <c r="BY807" i="74" s="1"/>
  <c r="AD520" i="74"/>
  <c r="AD525" i="74" s="1"/>
  <c r="AD531" i="74"/>
  <c r="X531" i="74"/>
  <c r="X520" i="74"/>
  <c r="X525" i="74" s="1"/>
  <c r="Y520" i="74"/>
  <c r="Y525" i="74" s="1"/>
  <c r="Y531" i="74"/>
  <c r="AN908" i="74"/>
  <c r="AN913" i="74" s="1"/>
  <c r="BO763" i="74"/>
  <c r="BO764" i="74" s="1"/>
  <c r="BO769" i="74" s="1"/>
  <c r="BJ764" i="74"/>
  <c r="BJ769" i="74" s="1"/>
  <c r="AX523" i="74"/>
  <c r="AX528" i="74" s="1"/>
  <c r="AF886" i="74"/>
  <c r="AF891" i="74" s="1"/>
  <c r="AF895" i="74" s="1"/>
  <c r="AI531" i="74"/>
  <c r="AI520" i="74"/>
  <c r="AI525" i="74" s="1"/>
  <c r="AN531" i="74"/>
  <c r="AN520" i="74"/>
  <c r="AN525" i="74" s="1"/>
  <c r="AO520" i="74"/>
  <c r="AO525" i="74" s="1"/>
  <c r="AO531" i="74"/>
  <c r="AO521" i="74"/>
  <c r="AO526" i="74" s="1"/>
  <c r="BN858" i="74"/>
  <c r="BN863" i="74" s="1"/>
  <c r="BN869" i="74"/>
  <c r="AZ692" i="74"/>
  <c r="AZ697" i="74" s="1"/>
  <c r="AZ701" i="74" s="1"/>
  <c r="BA691" i="74"/>
  <c r="BA696" i="74" s="1"/>
  <c r="AT523" i="74"/>
  <c r="AT528" i="74" s="1"/>
  <c r="BJ858" i="74"/>
  <c r="BJ863" i="74" s="1"/>
  <c r="BJ869" i="74"/>
  <c r="BN532" i="74" l="1"/>
  <c r="AW532" i="74"/>
  <c r="BF692" i="74"/>
  <c r="BF697" i="74" s="1"/>
  <c r="BF701" i="74" s="1"/>
  <c r="BB523" i="74"/>
  <c r="BB528" i="74" s="1"/>
  <c r="CI522" i="74"/>
  <c r="BK765" i="74"/>
  <c r="BK770" i="74" s="1"/>
  <c r="BK774" i="74" s="1"/>
  <c r="BK775" i="74" s="1"/>
  <c r="BK777" i="74" s="1"/>
  <c r="BD523" i="74"/>
  <c r="BD528" i="74" s="1"/>
  <c r="BD532" i="74" s="1"/>
  <c r="BD533" i="74" s="1"/>
  <c r="BD535" i="74" s="1"/>
  <c r="BV523" i="74"/>
  <c r="BV528" i="74" s="1"/>
  <c r="CH691" i="74"/>
  <c r="CH696" i="74" s="1"/>
  <c r="BQ521" i="74"/>
  <c r="BQ522" i="74" s="1"/>
  <c r="BH544" i="74"/>
  <c r="BH549" i="74" s="1"/>
  <c r="Z886" i="74"/>
  <c r="Z891" i="74" s="1"/>
  <c r="X886" i="74"/>
  <c r="X891" i="74" s="1"/>
  <c r="X895" i="74" s="1"/>
  <c r="W909" i="74"/>
  <c r="W914" i="74" s="1"/>
  <c r="BR522" i="74"/>
  <c r="AR691" i="74"/>
  <c r="AR696" i="74" s="1"/>
  <c r="AE691" i="74"/>
  <c r="AE696" i="74" s="1"/>
  <c r="CA765" i="74"/>
  <c r="CA770" i="74" s="1"/>
  <c r="BF691" i="74"/>
  <c r="BF696" i="74" s="1"/>
  <c r="V690" i="74"/>
  <c r="V695" i="74" s="1"/>
  <c r="AD763" i="74"/>
  <c r="AD768" i="74" s="1"/>
  <c r="AJ690" i="74"/>
  <c r="AJ695" i="74" s="1"/>
  <c r="BW764" i="74"/>
  <c r="CC764" i="74"/>
  <c r="CA691" i="74"/>
  <c r="CA696" i="74" s="1"/>
  <c r="BU544" i="74"/>
  <c r="BU549" i="74" s="1"/>
  <c r="AM690" i="74"/>
  <c r="AM695" i="74" s="1"/>
  <c r="CC763" i="74"/>
  <c r="CL523" i="74"/>
  <c r="CL528" i="74" s="1"/>
  <c r="CL532" i="74" s="1"/>
  <c r="Z690" i="74"/>
  <c r="Z695" i="74" s="1"/>
  <c r="AW523" i="74"/>
  <c r="AW528" i="74" s="1"/>
  <c r="BM764" i="74"/>
  <c r="V909" i="74"/>
  <c r="V914" i="74" s="1"/>
  <c r="BN523" i="74"/>
  <c r="BN528" i="74" s="1"/>
  <c r="AR763" i="74"/>
  <c r="AR768" i="74" s="1"/>
  <c r="BS910" i="74"/>
  <c r="BS915" i="74" s="1"/>
  <c r="BY522" i="74"/>
  <c r="BH691" i="74"/>
  <c r="BH696" i="74" s="1"/>
  <c r="BF523" i="74"/>
  <c r="BF528" i="74" s="1"/>
  <c r="X691" i="74"/>
  <c r="X696" i="74" s="1"/>
  <c r="AF764" i="74"/>
  <c r="AF769" i="74" s="1"/>
  <c r="BT691" i="74"/>
  <c r="AN691" i="74"/>
  <c r="AN696" i="74" s="1"/>
  <c r="CA764" i="74"/>
  <c r="CA769" i="74" s="1"/>
  <c r="CA774" i="74" s="1"/>
  <c r="CA775" i="74" s="1"/>
  <c r="CA777" i="74" s="1"/>
  <c r="AT910" i="74"/>
  <c r="AT915" i="74" s="1"/>
  <c r="AT919" i="74" s="1"/>
  <c r="AT920" i="74" s="1"/>
  <c r="AT922" i="74" s="1"/>
  <c r="S909" i="74"/>
  <c r="BX886" i="74"/>
  <c r="BX891" i="74" s="1"/>
  <c r="BX895" i="74" s="1"/>
  <c r="BX896" i="74" s="1"/>
  <c r="BX898" i="74" s="1"/>
  <c r="CG910" i="74"/>
  <c r="CG915" i="74" s="1"/>
  <c r="CG919" i="74" s="1"/>
  <c r="CG920" i="74" s="1"/>
  <c r="CG922" i="74" s="1"/>
  <c r="BU890" i="74"/>
  <c r="BU886" i="74"/>
  <c r="BU891" i="74" s="1"/>
  <c r="BM910" i="74"/>
  <c r="BM915" i="74" s="1"/>
  <c r="AM890" i="74"/>
  <c r="AM886" i="74"/>
  <c r="AM891" i="74" s="1"/>
  <c r="BB836" i="74"/>
  <c r="BB841" i="74" s="1"/>
  <c r="AO909" i="74"/>
  <c r="BV914" i="74"/>
  <c r="BV910" i="74"/>
  <c r="BV915" i="74" s="1"/>
  <c r="BP522" i="74"/>
  <c r="AV523" i="74"/>
  <c r="AV528" i="74" s="1"/>
  <c r="AV532" i="74" s="1"/>
  <c r="AI521" i="74"/>
  <c r="AI526" i="74" s="1"/>
  <c r="BD544" i="74"/>
  <c r="BD549" i="74" s="1"/>
  <c r="CN544" i="74"/>
  <c r="CN549" i="74" s="1"/>
  <c r="AX532" i="74"/>
  <c r="BB532" i="74"/>
  <c r="BA532" i="74"/>
  <c r="BA533" i="74" s="1"/>
  <c r="BA535" i="74" s="1"/>
  <c r="X521" i="74"/>
  <c r="X526" i="74" s="1"/>
  <c r="BV691" i="74"/>
  <c r="BV696" i="74" s="1"/>
  <c r="AT691" i="74"/>
  <c r="AT696" i="74" s="1"/>
  <c r="BO544" i="74"/>
  <c r="BO549" i="74" s="1"/>
  <c r="AQ690" i="74"/>
  <c r="AL690" i="74"/>
  <c r="AL695" i="74" s="1"/>
  <c r="AZ544" i="74"/>
  <c r="AZ549" i="74" s="1"/>
  <c r="BF544" i="74"/>
  <c r="BF549" i="74" s="1"/>
  <c r="CB544" i="74"/>
  <c r="CB549" i="74" s="1"/>
  <c r="AW544" i="74"/>
  <c r="AW549" i="74" s="1"/>
  <c r="BZ532" i="74"/>
  <c r="BZ533" i="74" s="1"/>
  <c r="BZ535" i="74" s="1"/>
  <c r="AC763" i="74"/>
  <c r="AC768" i="74" s="1"/>
  <c r="BG544" i="74"/>
  <c r="BG549" i="74" s="1"/>
  <c r="BS544" i="74"/>
  <c r="BS549" i="74" s="1"/>
  <c r="BC544" i="74"/>
  <c r="BC549" i="74" s="1"/>
  <c r="BN544" i="74"/>
  <c r="BN549" i="74" s="1"/>
  <c r="AT859" i="74"/>
  <c r="AT864" i="74" s="1"/>
  <c r="BO526" i="74"/>
  <c r="BO532" i="74" s="1"/>
  <c r="BO533" i="74" s="1"/>
  <c r="BO523" i="74"/>
  <c r="BO528" i="74" s="1"/>
  <c r="AN764" i="74"/>
  <c r="AN769" i="74" s="1"/>
  <c r="BS701" i="74"/>
  <c r="BS702" i="74" s="1"/>
  <c r="BS704" i="74" s="1"/>
  <c r="AT532" i="74"/>
  <c r="AT533" i="74" s="1"/>
  <c r="AT535" i="74" s="1"/>
  <c r="AJ521" i="74"/>
  <c r="AJ526" i="74" s="1"/>
  <c r="BV532" i="74"/>
  <c r="BV533" i="74" s="1"/>
  <c r="BV535" i="74" s="1"/>
  <c r="AJ763" i="74"/>
  <c r="AJ768" i="74" s="1"/>
  <c r="BS692" i="74"/>
  <c r="BS697" i="74" s="1"/>
  <c r="BK545" i="74"/>
  <c r="BK550" i="74" s="1"/>
  <c r="CJ544" i="74"/>
  <c r="CJ549" i="74" s="1"/>
  <c r="AH690" i="74"/>
  <c r="AH695" i="74" s="1"/>
  <c r="BF532" i="74"/>
  <c r="BF533" i="74" s="1"/>
  <c r="BF535" i="74" s="1"/>
  <c r="AA521" i="74"/>
  <c r="AA526" i="74" s="1"/>
  <c r="AI690" i="74"/>
  <c r="AI695" i="74" s="1"/>
  <c r="AR764" i="74"/>
  <c r="AR769" i="74" s="1"/>
  <c r="AM763" i="74"/>
  <c r="AM768" i="74" s="1"/>
  <c r="AF690" i="74"/>
  <c r="AF695" i="74" s="1"/>
  <c r="BF890" i="74"/>
  <c r="BF886" i="74"/>
  <c r="BF891" i="74" s="1"/>
  <c r="BC526" i="74"/>
  <c r="BC523" i="74"/>
  <c r="BC528" i="74" s="1"/>
  <c r="AZ914" i="74"/>
  <c r="AZ910" i="74"/>
  <c r="AZ915" i="74" s="1"/>
  <c r="CA522" i="74"/>
  <c r="AW836" i="74"/>
  <c r="AW841" i="74" s="1"/>
  <c r="CI859" i="74"/>
  <c r="CI864" i="74" s="1"/>
  <c r="BK836" i="74"/>
  <c r="BK841" i="74" s="1"/>
  <c r="AM910" i="74"/>
  <c r="AM915" i="74" s="1"/>
  <c r="AM919" i="74" s="1"/>
  <c r="AM920" i="74" s="1"/>
  <c r="AM922" i="74" s="1"/>
  <c r="BQ837" i="74"/>
  <c r="BQ838" i="74" s="1"/>
  <c r="BQ843" i="74" s="1"/>
  <c r="BP886" i="74"/>
  <c r="BP891" i="74" s="1"/>
  <c r="BP895" i="74" s="1"/>
  <c r="BP896" i="74" s="1"/>
  <c r="BP898" i="74" s="1"/>
  <c r="CE914" i="74"/>
  <c r="CE910" i="74"/>
  <c r="CE915" i="74" s="1"/>
  <c r="CE919" i="74" s="1"/>
  <c r="CE920" i="74" s="1"/>
  <c r="CE922" i="74" s="1"/>
  <c r="AR886" i="74"/>
  <c r="AR891" i="74" s="1"/>
  <c r="AR895" i="74" s="1"/>
  <c r="AR896" i="74" s="1"/>
  <c r="AR898" i="74" s="1"/>
  <c r="BI890" i="74"/>
  <c r="BI886" i="74"/>
  <c r="BI891" i="74" s="1"/>
  <c r="CM919" i="74"/>
  <c r="CM920" i="74" s="1"/>
  <c r="CM922" i="74" s="1"/>
  <c r="BF919" i="74"/>
  <c r="BF920" i="74" s="1"/>
  <c r="BF922" i="74" s="1"/>
  <c r="BD910" i="74"/>
  <c r="BD915" i="74" s="1"/>
  <c r="AL895" i="74"/>
  <c r="BW859" i="74"/>
  <c r="BW864" i="74" s="1"/>
  <c r="AU886" i="74"/>
  <c r="AU891" i="74" s="1"/>
  <c r="BT859" i="74"/>
  <c r="BT864" i="74" s="1"/>
  <c r="BS859" i="74"/>
  <c r="BS864" i="74" s="1"/>
  <c r="BH890" i="74"/>
  <c r="BH886" i="74"/>
  <c r="BH891" i="74" s="1"/>
  <c r="AI895" i="74"/>
  <c r="AI896" i="74" s="1"/>
  <c r="AI898" i="74" s="1"/>
  <c r="CE836" i="74"/>
  <c r="CE841" i="74" s="1"/>
  <c r="CD836" i="74"/>
  <c r="CD841" i="74" s="1"/>
  <c r="BO859" i="74"/>
  <c r="BO864" i="74" s="1"/>
  <c r="CB836" i="74"/>
  <c r="CB841" i="74" s="1"/>
  <c r="BK859" i="74"/>
  <c r="BK864" i="74" s="1"/>
  <c r="CG895" i="74"/>
  <c r="CG896" i="74" s="1"/>
  <c r="CG898" i="74" s="1"/>
  <c r="CG836" i="74"/>
  <c r="CG841" i="74" s="1"/>
  <c r="BG836" i="74"/>
  <c r="BG841" i="74" s="1"/>
  <c r="BY910" i="74"/>
  <c r="BY915" i="74" s="1"/>
  <c r="CL836" i="74"/>
  <c r="CL841" i="74" s="1"/>
  <c r="CH836" i="74"/>
  <c r="CH841" i="74" s="1"/>
  <c r="BM919" i="74"/>
  <c r="BM920" i="74" s="1"/>
  <c r="BM922" i="74" s="1"/>
  <c r="BV836" i="74"/>
  <c r="BV841" i="74" s="1"/>
  <c r="V910" i="74"/>
  <c r="V915" i="74" s="1"/>
  <c r="V919" i="74" s="1"/>
  <c r="V920" i="74" s="1"/>
  <c r="V922" i="74" s="1"/>
  <c r="AX836" i="74"/>
  <c r="AX841" i="74" s="1"/>
  <c r="W910" i="74"/>
  <c r="W915" i="74" s="1"/>
  <c r="W919" i="74" s="1"/>
  <c r="W920" i="74" s="1"/>
  <c r="W922" i="74" s="1"/>
  <c r="CF836" i="74"/>
  <c r="CF841" i="74" s="1"/>
  <c r="BL836" i="74"/>
  <c r="BL841" i="74" s="1"/>
  <c r="BG860" i="74"/>
  <c r="BG865" i="74" s="1"/>
  <c r="BO910" i="74"/>
  <c r="BO915" i="74" s="1"/>
  <c r="BO919" i="74" s="1"/>
  <c r="BO920" i="74" s="1"/>
  <c r="BO922" i="74" s="1"/>
  <c r="BL886" i="74"/>
  <c r="BL891" i="74" s="1"/>
  <c r="BL895" i="74" s="1"/>
  <c r="BL896" i="74" s="1"/>
  <c r="BL898" i="74" s="1"/>
  <c r="V890" i="74"/>
  <c r="V886" i="74"/>
  <c r="V891" i="74" s="1"/>
  <c r="BN914" i="74"/>
  <c r="BN910" i="74"/>
  <c r="BN915" i="74" s="1"/>
  <c r="AK913" i="74"/>
  <c r="AK909" i="74"/>
  <c r="CC837" i="74"/>
  <c r="CN886" i="74"/>
  <c r="CN891" i="74" s="1"/>
  <c r="N889" i="74"/>
  <c r="AW859" i="74"/>
  <c r="AW864" i="74" s="1"/>
  <c r="BP859" i="74"/>
  <c r="AT836" i="74"/>
  <c r="AT841" i="74" s="1"/>
  <c r="CL859" i="74"/>
  <c r="CL864" i="74" s="1"/>
  <c r="BJ836" i="74"/>
  <c r="BJ841" i="74" s="1"/>
  <c r="BN836" i="74"/>
  <c r="BN841" i="74" s="1"/>
  <c r="AH886" i="74"/>
  <c r="AH891" i="74" s="1"/>
  <c r="AH895" i="74" s="1"/>
  <c r="AA890" i="74"/>
  <c r="AA886" i="74"/>
  <c r="AA891" i="74" s="1"/>
  <c r="U886" i="74"/>
  <c r="CJ859" i="74"/>
  <c r="CJ864" i="74" s="1"/>
  <c r="CN859" i="74"/>
  <c r="CN864" i="74" s="1"/>
  <c r="BI910" i="74"/>
  <c r="BI915" i="74" s="1"/>
  <c r="BW836" i="74"/>
  <c r="BW841" i="74" s="1"/>
  <c r="S846" i="74"/>
  <c r="BT919" i="74"/>
  <c r="BT920" i="74" s="1"/>
  <c r="BT922" i="74" s="1"/>
  <c r="BO860" i="74"/>
  <c r="BO865" i="74" s="1"/>
  <c r="BY859" i="74"/>
  <c r="BY864" i="74" s="1"/>
  <c r="CM836" i="74"/>
  <c r="CM841" i="74" s="1"/>
  <c r="BX836" i="74"/>
  <c r="BX841" i="74" s="1"/>
  <c r="CK922" i="74"/>
  <c r="CJ914" i="74"/>
  <c r="CJ910" i="74"/>
  <c r="CJ915" i="74" s="1"/>
  <c r="CB890" i="74"/>
  <c r="CB886" i="74"/>
  <c r="CB891" i="74" s="1"/>
  <c r="BK890" i="74"/>
  <c r="BK886" i="74"/>
  <c r="BK891" i="74" s="1"/>
  <c r="CL886" i="74"/>
  <c r="CL891" i="74" s="1"/>
  <c r="CL895" i="74" s="1"/>
  <c r="CN895" i="74"/>
  <c r="CN896" i="74" s="1"/>
  <c r="CN898" i="74" s="1"/>
  <c r="BJ914" i="74"/>
  <c r="BJ910" i="74"/>
  <c r="BJ915" i="74" s="1"/>
  <c r="BU859" i="74"/>
  <c r="BU864" i="74" s="1"/>
  <c r="AU859" i="74"/>
  <c r="AU864" i="74" s="1"/>
  <c r="BA859" i="74"/>
  <c r="BA864" i="74" s="1"/>
  <c r="CK836" i="74"/>
  <c r="CK841" i="74" s="1"/>
  <c r="BS836" i="74"/>
  <c r="BS841" i="74" s="1"/>
  <c r="BM859" i="74"/>
  <c r="BM864" i="74" s="1"/>
  <c r="BD859" i="74"/>
  <c r="BD864" i="74" s="1"/>
  <c r="AD909" i="74"/>
  <c r="AD914" i="74" s="1"/>
  <c r="CG859" i="74"/>
  <c r="CG864" i="74" s="1"/>
  <c r="CK859" i="74"/>
  <c r="CK864" i="74" s="1"/>
  <c r="AU895" i="74"/>
  <c r="AU896" i="74" s="1"/>
  <c r="AU898" i="74" s="1"/>
  <c r="AT837" i="74"/>
  <c r="AT842" i="74" s="1"/>
  <c r="BH859" i="74"/>
  <c r="BH864" i="74" s="1"/>
  <c r="CM859" i="74"/>
  <c r="CM864" i="74" s="1"/>
  <c r="AV886" i="74"/>
  <c r="AV891" i="74" s="1"/>
  <c r="AV895" i="74" s="1"/>
  <c r="CD890" i="74"/>
  <c r="CD886" i="74"/>
  <c r="CD891" i="74" s="1"/>
  <c r="CD914" i="74"/>
  <c r="CD910" i="74"/>
  <c r="CD915" i="74" s="1"/>
  <c r="CC885" i="74"/>
  <c r="CC890" i="74" s="1"/>
  <c r="BO896" i="74"/>
  <c r="BO898" i="74" s="1"/>
  <c r="AY896" i="74"/>
  <c r="AY898" i="74" s="1"/>
  <c r="AP896" i="74"/>
  <c r="AP898" i="74" s="1"/>
  <c r="CJ896" i="74"/>
  <c r="CJ898" i="74" s="1"/>
  <c r="BR920" i="74"/>
  <c r="BR922" i="74" s="1"/>
  <c r="CE896" i="74"/>
  <c r="CE898" i="74" s="1"/>
  <c r="AQ896" i="74"/>
  <c r="AQ898" i="74" s="1"/>
  <c r="AX533" i="74"/>
  <c r="AX535" i="74" s="1"/>
  <c r="CK896" i="74"/>
  <c r="CK898" i="74" s="1"/>
  <c r="AF896" i="74"/>
  <c r="AF898" i="74" s="1"/>
  <c r="W896" i="74"/>
  <c r="W898" i="74" s="1"/>
  <c r="BD896" i="74"/>
  <c r="BD898" i="74" s="1"/>
  <c r="BW896" i="74"/>
  <c r="BW898" i="74" s="1"/>
  <c r="BF702" i="74"/>
  <c r="BF704" i="74" s="1"/>
  <c r="BJ702" i="74"/>
  <c r="BJ704" i="74" s="1"/>
  <c r="BG920" i="74"/>
  <c r="BG922" i="74" s="1"/>
  <c r="CD702" i="74"/>
  <c r="CD704" i="74"/>
  <c r="BB533" i="74"/>
  <c r="BB535" i="74" s="1"/>
  <c r="BB896" i="74"/>
  <c r="BB898" i="74" s="1"/>
  <c r="AC896" i="74"/>
  <c r="AC898" i="74" s="1"/>
  <c r="CL920" i="74"/>
  <c r="CL922" i="74" s="1"/>
  <c r="Y896" i="74"/>
  <c r="Y898" i="74" s="1"/>
  <c r="AZ702" i="74"/>
  <c r="AZ704" i="74" s="1"/>
  <c r="X896" i="74"/>
  <c r="X898" i="74" s="1"/>
  <c r="P690" i="74"/>
  <c r="AS695" i="74"/>
  <c r="BZ702" i="74"/>
  <c r="BZ704" i="74"/>
  <c r="AH896" i="74"/>
  <c r="AO522" i="74"/>
  <c r="AO527" i="74" s="1"/>
  <c r="BW769" i="74"/>
  <c r="BW765" i="74"/>
  <c r="BW770" i="74" s="1"/>
  <c r="Q912" i="74"/>
  <c r="BY723" i="74"/>
  <c r="BY712" i="74"/>
  <c r="BY717" i="74" s="1"/>
  <c r="CC842" i="74"/>
  <c r="AG700" i="74"/>
  <c r="O700" i="74" s="1"/>
  <c r="AG689" i="74"/>
  <c r="O687" i="74"/>
  <c r="AT820" i="74"/>
  <c r="AT809" i="74"/>
  <c r="AT814" i="74" s="1"/>
  <c r="AY820" i="74"/>
  <c r="AY809" i="74"/>
  <c r="AY814" i="74" s="1"/>
  <c r="BR527" i="74"/>
  <c r="BR523" i="74"/>
  <c r="BR528" i="74" s="1"/>
  <c r="AF554" i="74"/>
  <c r="AF544" i="74"/>
  <c r="AF549" i="74" s="1"/>
  <c r="AF543" i="74"/>
  <c r="AF548" i="74" s="1"/>
  <c r="V543" i="74"/>
  <c r="V548" i="74" s="1"/>
  <c r="V554" i="74"/>
  <c r="AA554" i="74"/>
  <c r="AA543" i="74"/>
  <c r="AA548" i="74" s="1"/>
  <c r="AO869" i="74"/>
  <c r="AO858" i="74"/>
  <c r="AO863" i="74" s="1"/>
  <c r="AI869" i="74"/>
  <c r="AI858" i="74"/>
  <c r="AI863" i="74" s="1"/>
  <c r="AX565" i="74"/>
  <c r="AX492" i="74"/>
  <c r="AX490" i="74"/>
  <c r="BC565" i="74"/>
  <c r="BC492" i="74"/>
  <c r="BC490" i="74"/>
  <c r="AS565" i="74"/>
  <c r="P489" i="74"/>
  <c r="AS492" i="74"/>
  <c r="AS490" i="74"/>
  <c r="Q762" i="74"/>
  <c r="BE767" i="74"/>
  <c r="Z710" i="74"/>
  <c r="Z498" i="74"/>
  <c r="Z734" i="74" s="1"/>
  <c r="AE710" i="74"/>
  <c r="AE498" i="74"/>
  <c r="AE734" i="74" s="1"/>
  <c r="U710" i="74"/>
  <c r="U498" i="74"/>
  <c r="N497" i="74"/>
  <c r="U520" i="74"/>
  <c r="N518" i="74"/>
  <c r="U531" i="74"/>
  <c r="N531" i="74" s="1"/>
  <c r="U521" i="74"/>
  <c r="BZ785" i="74"/>
  <c r="BZ790" i="74" s="1"/>
  <c r="BZ796" i="74"/>
  <c r="BT796" i="74"/>
  <c r="BT785" i="74"/>
  <c r="BT790" i="74" s="1"/>
  <c r="CM691" i="74"/>
  <c r="CM696" i="74" s="1"/>
  <c r="BK692" i="74"/>
  <c r="BK697" i="74" s="1"/>
  <c r="BK701" i="74" s="1"/>
  <c r="AW914" i="74"/>
  <c r="AW910" i="74"/>
  <c r="AW915" i="74" s="1"/>
  <c r="Y690" i="74"/>
  <c r="Y695" i="74" s="1"/>
  <c r="P888" i="74"/>
  <c r="CF736" i="74"/>
  <c r="CF741" i="74" s="1"/>
  <c r="CF747" i="74"/>
  <c r="AU691" i="74"/>
  <c r="AU696" i="74" s="1"/>
  <c r="BK712" i="74"/>
  <c r="BK717" i="74" s="1"/>
  <c r="BK723" i="74"/>
  <c r="BI769" i="74"/>
  <c r="BI765" i="74"/>
  <c r="BI770" i="74" s="1"/>
  <c r="BJ785" i="74"/>
  <c r="BJ790" i="74" s="1"/>
  <c r="BJ796" i="74"/>
  <c r="BO820" i="74"/>
  <c r="BO809" i="74"/>
  <c r="BO814" i="74" s="1"/>
  <c r="AQ783" i="74"/>
  <c r="AQ503" i="74"/>
  <c r="AQ807" i="74" s="1"/>
  <c r="AG783" i="74"/>
  <c r="O502" i="74"/>
  <c r="AG503" i="74"/>
  <c r="AL783" i="74"/>
  <c r="AL503" i="74"/>
  <c r="AL807" i="74" s="1"/>
  <c r="CJ764" i="74"/>
  <c r="CJ769" i="74" s="1"/>
  <c r="AL896" i="74"/>
  <c r="AL898" i="74" s="1"/>
  <c r="Y835" i="74"/>
  <c r="Y840" i="74" s="1"/>
  <c r="Y846" i="74"/>
  <c r="BR695" i="74"/>
  <c r="BD736" i="74"/>
  <c r="BD741" i="74" s="1"/>
  <c r="BD747" i="74"/>
  <c r="AT747" i="74"/>
  <c r="AT736" i="74"/>
  <c r="AT741" i="74" s="1"/>
  <c r="BF545" i="74"/>
  <c r="BF550" i="74" s="1"/>
  <c r="BH910" i="74"/>
  <c r="BH915" i="74" s="1"/>
  <c r="BU712" i="74"/>
  <c r="BU717" i="74" s="1"/>
  <c r="BU723" i="74"/>
  <c r="BZ723" i="74"/>
  <c r="BZ712" i="74"/>
  <c r="BZ717" i="74" s="1"/>
  <c r="CE695" i="74"/>
  <c r="BE889" i="74"/>
  <c r="Q889" i="74" s="1"/>
  <c r="Q884" i="74"/>
  <c r="CL820" i="74"/>
  <c r="CL809" i="74"/>
  <c r="CL814" i="74" s="1"/>
  <c r="CF809" i="74"/>
  <c r="CF814" i="74" s="1"/>
  <c r="CF820" i="74"/>
  <c r="BT768" i="74"/>
  <c r="AH691" i="74"/>
  <c r="AH696" i="74" s="1"/>
  <c r="Q846" i="74"/>
  <c r="AZ809" i="74"/>
  <c r="AZ814" i="74" s="1"/>
  <c r="AZ820" i="74"/>
  <c r="BN565" i="74"/>
  <c r="BN492" i="74"/>
  <c r="BN490" i="74"/>
  <c r="BH565" i="74"/>
  <c r="BH492" i="74"/>
  <c r="BH490" i="74"/>
  <c r="BI565" i="74"/>
  <c r="BI492" i="74"/>
  <c r="BI490" i="74"/>
  <c r="N340" i="74"/>
  <c r="N285" i="74"/>
  <c r="N341" i="74" s="1"/>
  <c r="BV565" i="74"/>
  <c r="BV490" i="74"/>
  <c r="BV492" i="74"/>
  <c r="CA565" i="74"/>
  <c r="CA492" i="74"/>
  <c r="CA490" i="74"/>
  <c r="BQ565" i="74"/>
  <c r="BQ492" i="74"/>
  <c r="BQ490" i="74"/>
  <c r="R489" i="74"/>
  <c r="AK869" i="74"/>
  <c r="AK858" i="74"/>
  <c r="AK863" i="74" s="1"/>
  <c r="CI527" i="74"/>
  <c r="CI532" i="74" s="1"/>
  <c r="CI523" i="74"/>
  <c r="CI528" i="74" s="1"/>
  <c r="AR869" i="74"/>
  <c r="AR858" i="74"/>
  <c r="AR863" i="74" s="1"/>
  <c r="O518" i="74"/>
  <c r="AG520" i="74"/>
  <c r="AG521" i="74" s="1"/>
  <c r="AG531" i="74"/>
  <c r="O531" i="74" s="1"/>
  <c r="AN909" i="74"/>
  <c r="BV820" i="74"/>
  <c r="BV809" i="74"/>
  <c r="BV814" i="74" s="1"/>
  <c r="BQ796" i="74"/>
  <c r="BQ785" i="74"/>
  <c r="BQ786" i="74" s="1"/>
  <c r="R783" i="74"/>
  <c r="R888" i="74"/>
  <c r="BD768" i="74"/>
  <c r="BD764" i="74"/>
  <c r="AA913" i="74"/>
  <c r="AA909" i="74"/>
  <c r="AK890" i="74"/>
  <c r="AK886" i="74"/>
  <c r="AK891" i="74" s="1"/>
  <c r="S521" i="74"/>
  <c r="CC526" i="74"/>
  <c r="CC522" i="74"/>
  <c r="CL768" i="74"/>
  <c r="CL764" i="74"/>
  <c r="CL769" i="74" s="1"/>
  <c r="AR909" i="74"/>
  <c r="BT522" i="74"/>
  <c r="CL565" i="74"/>
  <c r="CL490" i="74"/>
  <c r="CL492" i="74"/>
  <c r="CF565" i="74"/>
  <c r="CF492" i="74"/>
  <c r="CF490" i="74"/>
  <c r="CG565" i="74"/>
  <c r="CG492" i="74"/>
  <c r="CG490" i="74"/>
  <c r="CG692" i="74"/>
  <c r="CG697" i="74" s="1"/>
  <c r="CG701" i="74" s="1"/>
  <c r="CC734" i="74"/>
  <c r="S498" i="74"/>
  <c r="CH747" i="74"/>
  <c r="CH736" i="74"/>
  <c r="CH741" i="74" s="1"/>
  <c r="BS890" i="74"/>
  <c r="BS886" i="74"/>
  <c r="BS891" i="74" s="1"/>
  <c r="BV692" i="74"/>
  <c r="BV697" i="74" s="1"/>
  <c r="BV701" i="74" s="1"/>
  <c r="BL736" i="74"/>
  <c r="BL741" i="74" s="1"/>
  <c r="BL747" i="74"/>
  <c r="CC769" i="74"/>
  <c r="AT692" i="74"/>
  <c r="AT697" i="74" s="1"/>
  <c r="AT701" i="74" s="1"/>
  <c r="Q521" i="74"/>
  <c r="BE526" i="74"/>
  <c r="Q520" i="74"/>
  <c r="BE525" i="74"/>
  <c r="BY695" i="74"/>
  <c r="BY691" i="74"/>
  <c r="BY696" i="74" s="1"/>
  <c r="BC695" i="74"/>
  <c r="BC691" i="74"/>
  <c r="BP796" i="74"/>
  <c r="BP785" i="74"/>
  <c r="BP790" i="74" s="1"/>
  <c r="AL710" i="74"/>
  <c r="AL498" i="74"/>
  <c r="AL734" i="74" s="1"/>
  <c r="AQ710" i="74"/>
  <c r="AQ498" i="74"/>
  <c r="AQ734" i="74" s="1"/>
  <c r="AG710" i="74"/>
  <c r="AG498" i="74"/>
  <c r="O497" i="74"/>
  <c r="Z846" i="74"/>
  <c r="Z835" i="74"/>
  <c r="Z840" i="74" s="1"/>
  <c r="AE869" i="74"/>
  <c r="AE858" i="74"/>
  <c r="AE863" i="74" s="1"/>
  <c r="AE859" i="74"/>
  <c r="AE864" i="74" s="1"/>
  <c r="AZ523" i="74"/>
  <c r="AZ528" i="74" s="1"/>
  <c r="AZ532" i="74" s="1"/>
  <c r="BA723" i="74"/>
  <c r="BA712" i="74"/>
  <c r="BA717" i="74" s="1"/>
  <c r="AU712" i="74"/>
  <c r="AU717" i="74" s="1"/>
  <c r="AU723" i="74"/>
  <c r="BM545" i="74"/>
  <c r="BM550" i="74" s="1"/>
  <c r="BQ734" i="74"/>
  <c r="R498" i="74"/>
  <c r="BV747" i="74"/>
  <c r="BV736" i="74"/>
  <c r="BV741" i="74" s="1"/>
  <c r="CE691" i="74"/>
  <c r="CE696" i="74" s="1"/>
  <c r="Y913" i="74"/>
  <c r="Y910" i="74"/>
  <c r="Y915" i="74" s="1"/>
  <c r="CH820" i="74"/>
  <c r="CH809" i="74"/>
  <c r="CH814" i="74" s="1"/>
  <c r="CC796" i="74"/>
  <c r="S783" i="74"/>
  <c r="CC785" i="74"/>
  <c r="CC786" i="74" s="1"/>
  <c r="BT764" i="74"/>
  <c r="BT769" i="74" s="1"/>
  <c r="AO690" i="74"/>
  <c r="AO695" i="74" s="1"/>
  <c r="AW809" i="74"/>
  <c r="AW814" i="74" s="1"/>
  <c r="AW820" i="74"/>
  <c r="BF764" i="74"/>
  <c r="BW523" i="74"/>
  <c r="BW528" i="74" s="1"/>
  <c r="BW532" i="74" s="1"/>
  <c r="BQ842" i="74"/>
  <c r="CN695" i="74"/>
  <c r="CN691" i="74"/>
  <c r="CN696" i="74" s="1"/>
  <c r="AC910" i="74"/>
  <c r="AC915" i="74" s="1"/>
  <c r="AC919" i="74" s="1"/>
  <c r="AL846" i="74"/>
  <c r="AL835" i="74"/>
  <c r="AL840" i="74" s="1"/>
  <c r="AQ869" i="74"/>
  <c r="AQ858" i="74"/>
  <c r="AQ863" i="74" s="1"/>
  <c r="CN522" i="74"/>
  <c r="AP691" i="74"/>
  <c r="AP696" i="74" s="1"/>
  <c r="X783" i="74"/>
  <c r="X503" i="74"/>
  <c r="X807" i="74" s="1"/>
  <c r="Y783" i="74"/>
  <c r="Y503" i="74"/>
  <c r="Y807" i="74" s="1"/>
  <c r="AD783" i="74"/>
  <c r="AD503" i="74"/>
  <c r="AD807" i="74" s="1"/>
  <c r="CB796" i="74"/>
  <c r="CB785" i="74"/>
  <c r="CB790" i="74" s="1"/>
  <c r="BY545" i="74"/>
  <c r="BY550" i="74" s="1"/>
  <c r="AX545" i="74"/>
  <c r="AX550" i="74" s="1"/>
  <c r="P912" i="74"/>
  <c r="AS768" i="74"/>
  <c r="P763" i="74"/>
  <c r="U913" i="74"/>
  <c r="N908" i="74"/>
  <c r="CI747" i="74"/>
  <c r="CI736" i="74"/>
  <c r="CI741" i="74" s="1"/>
  <c r="BI747" i="74"/>
  <c r="BI736" i="74"/>
  <c r="BI741" i="74" s="1"/>
  <c r="BN747" i="74"/>
  <c r="BN736" i="74"/>
  <c r="BN741" i="74" s="1"/>
  <c r="BM796" i="74"/>
  <c r="BM785" i="74"/>
  <c r="BM790" i="74" s="1"/>
  <c r="BG785" i="74"/>
  <c r="BG790" i="74" s="1"/>
  <c r="BG796" i="74"/>
  <c r="AF869" i="74"/>
  <c r="AF858" i="74"/>
  <c r="AF863" i="74" s="1"/>
  <c r="AW747" i="74"/>
  <c r="AW736" i="74"/>
  <c r="AW741" i="74" s="1"/>
  <c r="BB747" i="74"/>
  <c r="BB736" i="74"/>
  <c r="BB741" i="74" s="1"/>
  <c r="BW712" i="74"/>
  <c r="BW717" i="74" s="1"/>
  <c r="BW723" i="74"/>
  <c r="S541" i="74"/>
  <c r="CC543" i="74"/>
  <c r="CC554" i="74"/>
  <c r="S554" i="74" s="1"/>
  <c r="AT860" i="74"/>
  <c r="AT865" i="74" s="1"/>
  <c r="CD796" i="74"/>
  <c r="CD785" i="74"/>
  <c r="CD790" i="74" s="1"/>
  <c r="CI796" i="74"/>
  <c r="CI785" i="74"/>
  <c r="CI790" i="74" s="1"/>
  <c r="AX796" i="74"/>
  <c r="AX785" i="74"/>
  <c r="AX790" i="74" s="1"/>
  <c r="N885" i="74"/>
  <c r="BQ891" i="74"/>
  <c r="AO543" i="74"/>
  <c r="AO548" i="74" s="1"/>
  <c r="AO554" i="74"/>
  <c r="CF890" i="74"/>
  <c r="CF886" i="74"/>
  <c r="CF891" i="74" s="1"/>
  <c r="CJ736" i="74"/>
  <c r="CJ741" i="74" s="1"/>
  <c r="CJ747" i="74"/>
  <c r="BJ747" i="74"/>
  <c r="BJ736" i="74"/>
  <c r="BJ741" i="74" s="1"/>
  <c r="AW533" i="74"/>
  <c r="AW535" i="74" s="1"/>
  <c r="BN820" i="74"/>
  <c r="BN809" i="74"/>
  <c r="BN814" i="74" s="1"/>
  <c r="AC869" i="74"/>
  <c r="AC858" i="74"/>
  <c r="AC863" i="74" s="1"/>
  <c r="BG775" i="74"/>
  <c r="BG777" i="74" s="1"/>
  <c r="CJ796" i="74"/>
  <c r="CJ785" i="74"/>
  <c r="CJ790" i="74" s="1"/>
  <c r="AH543" i="74"/>
  <c r="AH548" i="74" s="1"/>
  <c r="AH554" i="74"/>
  <c r="Q710" i="74"/>
  <c r="BE712" i="74"/>
  <c r="BE713" i="74" s="1"/>
  <c r="BE723" i="74"/>
  <c r="BJ723" i="74"/>
  <c r="BJ712" i="74"/>
  <c r="BJ717" i="74" s="1"/>
  <c r="AS691" i="74"/>
  <c r="BN796" i="74"/>
  <c r="BN785" i="74"/>
  <c r="BN790" i="74" s="1"/>
  <c r="BH796" i="74"/>
  <c r="BH785" i="74"/>
  <c r="BH790" i="74" s="1"/>
  <c r="BF859" i="74"/>
  <c r="BF864" i="74" s="1"/>
  <c r="O889" i="74"/>
  <c r="AC835" i="74"/>
  <c r="AC840" i="74" s="1"/>
  <c r="AC846" i="74"/>
  <c r="W846" i="74"/>
  <c r="W835" i="74"/>
  <c r="W840" i="74" s="1"/>
  <c r="AS734" i="74"/>
  <c r="P498" i="74"/>
  <c r="BC712" i="74"/>
  <c r="BC717" i="74" s="1"/>
  <c r="BC723" i="74"/>
  <c r="U773" i="74"/>
  <c r="N773" i="74" s="1"/>
  <c r="U762" i="74"/>
  <c r="U763" i="74" s="1"/>
  <c r="N760" i="74"/>
  <c r="BE543" i="74"/>
  <c r="Q541" i="74"/>
  <c r="BE554" i="74"/>
  <c r="Q554" i="74" s="1"/>
  <c r="BE544" i="74"/>
  <c r="BY527" i="74"/>
  <c r="BY523" i="74"/>
  <c r="BY528" i="74" s="1"/>
  <c r="BX736" i="74"/>
  <c r="BX741" i="74" s="1"/>
  <c r="BX747" i="74"/>
  <c r="CD544" i="74"/>
  <c r="CD549" i="74" s="1"/>
  <c r="CD545" i="74"/>
  <c r="CD550" i="74" s="1"/>
  <c r="CC838" i="74"/>
  <c r="CK809" i="74"/>
  <c r="CK814" i="74" s="1"/>
  <c r="CK820" i="74"/>
  <c r="CE820" i="74"/>
  <c r="CE809" i="74"/>
  <c r="CE814" i="74" s="1"/>
  <c r="AT785" i="74"/>
  <c r="AT790" i="74" s="1"/>
  <c r="AT796" i="74"/>
  <c r="AY785" i="74"/>
  <c r="AY790" i="74" s="1"/>
  <c r="AY796" i="74"/>
  <c r="U541" i="74"/>
  <c r="N488" i="74"/>
  <c r="Z543" i="74"/>
  <c r="Z548" i="74" s="1"/>
  <c r="Z554" i="74"/>
  <c r="AE554" i="74"/>
  <c r="AE543" i="74"/>
  <c r="AE548" i="74" s="1"/>
  <c r="AO835" i="74"/>
  <c r="AO840" i="74" s="1"/>
  <c r="AO846" i="74"/>
  <c r="AI846" i="74"/>
  <c r="AI835" i="74"/>
  <c r="AI840" i="74" s="1"/>
  <c r="BA895" i="74"/>
  <c r="BM527" i="74"/>
  <c r="BM523" i="74"/>
  <c r="BM528" i="74" s="1"/>
  <c r="BI836" i="74"/>
  <c r="BI841" i="74" s="1"/>
  <c r="AK521" i="74"/>
  <c r="AK526" i="74" s="1"/>
  <c r="BB565" i="74"/>
  <c r="BB492" i="74"/>
  <c r="BB490" i="74"/>
  <c r="AV565" i="74"/>
  <c r="AV492" i="74"/>
  <c r="AV490" i="74"/>
  <c r="AW565" i="74"/>
  <c r="AW492" i="74"/>
  <c r="AW490" i="74"/>
  <c r="AD710" i="74"/>
  <c r="AD498" i="74"/>
  <c r="AD734" i="74" s="1"/>
  <c r="X710" i="74"/>
  <c r="X498" i="74"/>
  <c r="X734" i="74" s="1"/>
  <c r="Y710" i="74"/>
  <c r="Y498" i="74"/>
  <c r="Y734" i="74" s="1"/>
  <c r="BU809" i="74"/>
  <c r="BU814" i="74" s="1"/>
  <c r="BU820" i="74"/>
  <c r="BT890" i="74"/>
  <c r="BT886" i="74"/>
  <c r="BT891" i="74" s="1"/>
  <c r="BV544" i="74"/>
  <c r="BV549" i="74" s="1"/>
  <c r="AK763" i="74"/>
  <c r="AK768" i="74" s="1"/>
  <c r="AO489" i="74"/>
  <c r="AK489" i="74"/>
  <c r="AG489" i="74"/>
  <c r="AR489" i="74"/>
  <c r="AN489" i="74"/>
  <c r="AJ489" i="74"/>
  <c r="AQ489" i="74"/>
  <c r="AM489" i="74"/>
  <c r="AI489" i="74"/>
  <c r="AP489" i="74"/>
  <c r="AL489" i="74"/>
  <c r="AH489" i="74"/>
  <c r="BH765" i="74"/>
  <c r="BH770" i="74" s="1"/>
  <c r="BH774" i="74" s="1"/>
  <c r="BO692" i="74"/>
  <c r="BO697" i="74" s="1"/>
  <c r="BO701" i="74" s="1"/>
  <c r="CF723" i="74"/>
  <c r="CF712" i="74"/>
  <c r="CF717" i="74" s="1"/>
  <c r="S889" i="74"/>
  <c r="CG527" i="74"/>
  <c r="CG523" i="74"/>
  <c r="CG528" i="74" s="1"/>
  <c r="BP736" i="74"/>
  <c r="BP741" i="74" s="1"/>
  <c r="BP747" i="74"/>
  <c r="BF747" i="74"/>
  <c r="BF736" i="74"/>
  <c r="BF741" i="74" s="1"/>
  <c r="CG765" i="74"/>
  <c r="CG770" i="74" s="1"/>
  <c r="CG774" i="74" s="1"/>
  <c r="BE807" i="74"/>
  <c r="Q503" i="74"/>
  <c r="BO785" i="74"/>
  <c r="BO790" i="74" s="1"/>
  <c r="BO796" i="74"/>
  <c r="AJ783" i="74"/>
  <c r="AJ503" i="74"/>
  <c r="AJ807" i="74" s="1"/>
  <c r="AK783" i="74"/>
  <c r="AK503" i="74"/>
  <c r="AK807" i="74" s="1"/>
  <c r="AP783" i="74"/>
  <c r="AP503" i="74"/>
  <c r="AP807" i="74" s="1"/>
  <c r="AD858" i="74"/>
  <c r="AD863" i="74" s="1"/>
  <c r="AD869" i="74"/>
  <c r="X869" i="74"/>
  <c r="X858" i="74"/>
  <c r="X863" i="74" s="1"/>
  <c r="BW695" i="74"/>
  <c r="BD723" i="74"/>
  <c r="BD712" i="74"/>
  <c r="BD717" i="74" s="1"/>
  <c r="AT723" i="74"/>
  <c r="AT712" i="74"/>
  <c r="AT717" i="74" s="1"/>
  <c r="AA763" i="74"/>
  <c r="AA768" i="74" s="1"/>
  <c r="BF546" i="74"/>
  <c r="BF551" i="74" s="1"/>
  <c r="BH919" i="74"/>
  <c r="AX910" i="74"/>
  <c r="AX915" i="74" s="1"/>
  <c r="BT736" i="74"/>
  <c r="BT741" i="74" s="1"/>
  <c r="BT747" i="74"/>
  <c r="BR859" i="74"/>
  <c r="BR864" i="74" s="1"/>
  <c r="CL785" i="74"/>
  <c r="CL790" i="74" s="1"/>
  <c r="CL796" i="74"/>
  <c r="CF796" i="74"/>
  <c r="CF785" i="74"/>
  <c r="CF790" i="74" s="1"/>
  <c r="BE841" i="74"/>
  <c r="BE840" i="74"/>
  <c r="Q835" i="74"/>
  <c r="AZ796" i="74"/>
  <c r="AZ785" i="74"/>
  <c r="AZ790" i="74" s="1"/>
  <c r="BP764" i="74"/>
  <c r="BP769" i="74" s="1"/>
  <c r="BG565" i="74"/>
  <c r="BG492" i="74"/>
  <c r="BG490" i="74"/>
  <c r="BL565" i="74"/>
  <c r="BL492" i="74"/>
  <c r="BL490" i="74"/>
  <c r="BM565" i="74"/>
  <c r="BM492" i="74"/>
  <c r="BM490" i="74"/>
  <c r="AC489" i="74"/>
  <c r="Y489" i="74"/>
  <c r="U489" i="74"/>
  <c r="AF489" i="74"/>
  <c r="AB489" i="74"/>
  <c r="X489" i="74"/>
  <c r="AE489" i="74"/>
  <c r="AA489" i="74"/>
  <c r="W489" i="74"/>
  <c r="AD489" i="74"/>
  <c r="Z489" i="74"/>
  <c r="V489" i="74"/>
  <c r="BZ565" i="74"/>
  <c r="BZ490" i="74"/>
  <c r="BZ492" i="74"/>
  <c r="BT565" i="74"/>
  <c r="BT492" i="74"/>
  <c r="BT490" i="74"/>
  <c r="BU565" i="74"/>
  <c r="BU492" i="74"/>
  <c r="BU490" i="74"/>
  <c r="BL695" i="74"/>
  <c r="BL692" i="74"/>
  <c r="BL697" i="74" s="1"/>
  <c r="AK835" i="74"/>
  <c r="AK840" i="74" s="1"/>
  <c r="AK846" i="74"/>
  <c r="AR846" i="74"/>
  <c r="AR835" i="74"/>
  <c r="AR840" i="74" s="1"/>
  <c r="BO861" i="74"/>
  <c r="BO866" i="74" s="1"/>
  <c r="CI765" i="74"/>
  <c r="CI770" i="74" s="1"/>
  <c r="CI774" i="74" s="1"/>
  <c r="CH768" i="74"/>
  <c r="CH764" i="74"/>
  <c r="CH769" i="74" s="1"/>
  <c r="BV785" i="74"/>
  <c r="BV790" i="74" s="1"/>
  <c r="BV796" i="74"/>
  <c r="CA820" i="74"/>
  <c r="CA809" i="74"/>
  <c r="CA814" i="74" s="1"/>
  <c r="CC694" i="74"/>
  <c r="S689" i="74"/>
  <c r="CC690" i="74"/>
  <c r="AF909" i="74"/>
  <c r="AF914" i="74" s="1"/>
  <c r="BR544" i="74"/>
  <c r="BR549" i="74" s="1"/>
  <c r="BR545" i="74"/>
  <c r="BR550" i="74" s="1"/>
  <c r="BR764" i="74"/>
  <c r="BR769" i="74" s="1"/>
  <c r="CC523" i="74"/>
  <c r="AS913" i="74"/>
  <c r="P913" i="74" s="1"/>
  <c r="P908" i="74"/>
  <c r="CE565" i="74"/>
  <c r="CE492" i="74"/>
  <c r="CE490" i="74"/>
  <c r="CJ565" i="74"/>
  <c r="CJ492" i="74"/>
  <c r="CJ490" i="74"/>
  <c r="CK565" i="74"/>
  <c r="CK492" i="74"/>
  <c r="CK490" i="74"/>
  <c r="CL692" i="74"/>
  <c r="CL697" i="74" s="1"/>
  <c r="CL701" i="74" s="1"/>
  <c r="Z910" i="74"/>
  <c r="Z915" i="74" s="1"/>
  <c r="Z919" i="74" s="1"/>
  <c r="CC723" i="74"/>
  <c r="CC712" i="74"/>
  <c r="S710" i="74"/>
  <c r="CH723" i="74"/>
  <c r="CH712" i="74"/>
  <c r="CH717" i="74" s="1"/>
  <c r="R912" i="74"/>
  <c r="AW692" i="74"/>
  <c r="AW697" i="74" s="1"/>
  <c r="AW701" i="74" s="1"/>
  <c r="BL723" i="74"/>
  <c r="BL712" i="74"/>
  <c r="BL717" i="74" s="1"/>
  <c r="BK523" i="74"/>
  <c r="BK528" i="74" s="1"/>
  <c r="BK532" i="74" s="1"/>
  <c r="CC768" i="74"/>
  <c r="S763" i="74"/>
  <c r="BD695" i="74"/>
  <c r="BD692" i="74"/>
  <c r="BD697" i="74" s="1"/>
  <c r="BD691" i="74"/>
  <c r="BD696" i="74" s="1"/>
  <c r="BE522" i="74"/>
  <c r="BF820" i="74"/>
  <c r="BF809" i="74"/>
  <c r="BF814" i="74" s="1"/>
  <c r="BK820" i="74"/>
  <c r="BK809" i="74"/>
  <c r="BK814" i="74" s="1"/>
  <c r="AP710" i="74"/>
  <c r="AP498" i="74"/>
  <c r="AP734" i="74" s="1"/>
  <c r="AJ710" i="74"/>
  <c r="AJ498" i="74"/>
  <c r="AJ734" i="74" s="1"/>
  <c r="AK710" i="74"/>
  <c r="AK498" i="74"/>
  <c r="AK734" i="74" s="1"/>
  <c r="CN919" i="74"/>
  <c r="BM895" i="74"/>
  <c r="AE846" i="74"/>
  <c r="AE835" i="74"/>
  <c r="AE840" i="74" s="1"/>
  <c r="AZ736" i="74"/>
  <c r="AZ741" i="74" s="1"/>
  <c r="AZ747" i="74"/>
  <c r="BM546" i="74"/>
  <c r="BM551" i="74" s="1"/>
  <c r="BQ723" i="74"/>
  <c r="BQ712" i="74"/>
  <c r="R710" i="74"/>
  <c r="BV723" i="74"/>
  <c r="BV712" i="74"/>
  <c r="BV717" i="74" s="1"/>
  <c r="AW764" i="74"/>
  <c r="AW769" i="74" s="1"/>
  <c r="AO895" i="74"/>
  <c r="S856" i="74"/>
  <c r="CC869" i="74"/>
  <c r="S869" i="74" s="1"/>
  <c r="CC858" i="74"/>
  <c r="CH796" i="74"/>
  <c r="CH785" i="74"/>
  <c r="CH790" i="74" s="1"/>
  <c r="CM820" i="74"/>
  <c r="CM809" i="74"/>
  <c r="CM814" i="74" s="1"/>
  <c r="AU919" i="74"/>
  <c r="CA919" i="74"/>
  <c r="CE526" i="74"/>
  <c r="CE522" i="74"/>
  <c r="BG526" i="74"/>
  <c r="BG522" i="74"/>
  <c r="AY523" i="74"/>
  <c r="AY528" i="74" s="1"/>
  <c r="AY532" i="74" s="1"/>
  <c r="AW796" i="74"/>
  <c r="AW785" i="74"/>
  <c r="AW790" i="74" s="1"/>
  <c r="AJ909" i="74"/>
  <c r="R846" i="74"/>
  <c r="BV859" i="74"/>
  <c r="BV864" i="74" s="1"/>
  <c r="BM695" i="74"/>
  <c r="BM691" i="74"/>
  <c r="BM696" i="74" s="1"/>
  <c r="CC915" i="74"/>
  <c r="S915" i="74" s="1"/>
  <c r="S910" i="74"/>
  <c r="AG856" i="74"/>
  <c r="O507" i="74"/>
  <c r="AQ846" i="74"/>
  <c r="AQ835" i="74"/>
  <c r="AQ840" i="74" s="1"/>
  <c r="BR886" i="74"/>
  <c r="BR891" i="74" s="1"/>
  <c r="AS796" i="74"/>
  <c r="P783" i="74"/>
  <c r="AS785" i="74"/>
  <c r="AS786" i="74" s="1"/>
  <c r="P846" i="74"/>
  <c r="BQ869" i="74"/>
  <c r="R869" i="74" s="1"/>
  <c r="BQ858" i="74"/>
  <c r="R856" i="74"/>
  <c r="AS525" i="74"/>
  <c r="P520" i="74"/>
  <c r="W783" i="74"/>
  <c r="W503" i="74"/>
  <c r="W807" i="74" s="1"/>
  <c r="AB783" i="74"/>
  <c r="AB503" i="74"/>
  <c r="AB807" i="74" s="1"/>
  <c r="AC783" i="74"/>
  <c r="AC503" i="74"/>
  <c r="AC807" i="74" s="1"/>
  <c r="BR820" i="74"/>
  <c r="BR809" i="74"/>
  <c r="BR814" i="74" s="1"/>
  <c r="BW820" i="74"/>
  <c r="BW809" i="74"/>
  <c r="BW814" i="74" s="1"/>
  <c r="AX546" i="74"/>
  <c r="AX551" i="74" s="1"/>
  <c r="AX555" i="74" s="1"/>
  <c r="V691" i="74"/>
  <c r="V696" i="74" s="1"/>
  <c r="AS767" i="74"/>
  <c r="P762" i="74"/>
  <c r="BA836" i="74"/>
  <c r="BA841" i="74" s="1"/>
  <c r="CI712" i="74"/>
  <c r="CI717" i="74" s="1"/>
  <c r="CI723" i="74"/>
  <c r="BI723" i="74"/>
  <c r="BI712" i="74"/>
  <c r="BI717" i="74" s="1"/>
  <c r="BN723" i="74"/>
  <c r="BN712" i="74"/>
  <c r="BN717" i="74" s="1"/>
  <c r="BL809" i="74"/>
  <c r="BL814" i="74" s="1"/>
  <c r="BL820" i="74"/>
  <c r="BK837" i="74"/>
  <c r="BK842" i="74" s="1"/>
  <c r="AF846" i="74"/>
  <c r="AF835" i="74"/>
  <c r="AF840" i="74" s="1"/>
  <c r="AW723" i="74"/>
  <c r="AW712" i="74"/>
  <c r="AW717" i="74" s="1"/>
  <c r="BB723" i="74"/>
  <c r="BB712" i="74"/>
  <c r="BB717" i="74" s="1"/>
  <c r="BI544" i="74"/>
  <c r="BI549" i="74" s="1"/>
  <c r="CB736" i="74"/>
  <c r="CB741" i="74" s="1"/>
  <c r="CB747" i="74"/>
  <c r="BR747" i="74"/>
  <c r="BR736" i="74"/>
  <c r="BR741" i="74" s="1"/>
  <c r="AT861" i="74"/>
  <c r="AT866" i="74" s="1"/>
  <c r="Q888" i="74"/>
  <c r="BV886" i="74"/>
  <c r="BV891" i="74" s="1"/>
  <c r="CN809" i="74"/>
  <c r="CN814" i="74" s="1"/>
  <c r="CN820" i="74"/>
  <c r="BC820" i="74"/>
  <c r="BC809" i="74"/>
  <c r="BC814" i="74" s="1"/>
  <c r="Q913" i="74"/>
  <c r="R885" i="74"/>
  <c r="BX809" i="74"/>
  <c r="BX814" i="74" s="1"/>
  <c r="BX820" i="74"/>
  <c r="U891" i="74"/>
  <c r="BE734" i="74"/>
  <c r="Q498" i="74"/>
  <c r="W869" i="74"/>
  <c r="W858" i="74"/>
  <c r="W863" i="74" s="1"/>
  <c r="BC747" i="74"/>
  <c r="BC736" i="74"/>
  <c r="BC741" i="74" s="1"/>
  <c r="BS712" i="74"/>
  <c r="BS717" i="74" s="1"/>
  <c r="BS723" i="74"/>
  <c r="Y521" i="74"/>
  <c r="Y526" i="74" s="1"/>
  <c r="BS919" i="74"/>
  <c r="BX796" i="74"/>
  <c r="BX785" i="74"/>
  <c r="BX790" i="74" s="1"/>
  <c r="BB859" i="74"/>
  <c r="BB864" i="74" s="1"/>
  <c r="AR554" i="74"/>
  <c r="AR543" i="74"/>
  <c r="AR548" i="74" s="1"/>
  <c r="AT544" i="74"/>
  <c r="AT549" i="74" s="1"/>
  <c r="CJ723" i="74"/>
  <c r="CJ712" i="74"/>
  <c r="CJ717" i="74" s="1"/>
  <c r="N888" i="74"/>
  <c r="BS820" i="74"/>
  <c r="BS809" i="74"/>
  <c r="BS814" i="74" s="1"/>
  <c r="AV859" i="74"/>
  <c r="CH527" i="74"/>
  <c r="CH523" i="74"/>
  <c r="CH528" i="74" s="1"/>
  <c r="AG541" i="74"/>
  <c r="O488" i="74"/>
  <c r="CK747" i="74"/>
  <c r="CK736" i="74"/>
  <c r="CK741" i="74" s="1"/>
  <c r="R762" i="74"/>
  <c r="BQ767" i="74"/>
  <c r="BO747" i="74"/>
  <c r="BO736" i="74"/>
  <c r="BO741" i="74" s="1"/>
  <c r="BX695" i="74"/>
  <c r="BI809" i="74"/>
  <c r="BI814" i="74" s="1"/>
  <c r="BI820" i="74"/>
  <c r="BN533" i="74"/>
  <c r="BN535" i="74" s="1"/>
  <c r="AB869" i="74"/>
  <c r="AB858" i="74"/>
  <c r="AB863" i="74" s="1"/>
  <c r="AX747" i="74"/>
  <c r="AX736" i="74"/>
  <c r="AX741" i="74" s="1"/>
  <c r="AE763" i="74"/>
  <c r="AE768" i="74" s="1"/>
  <c r="AG913" i="74"/>
  <c r="O908" i="74"/>
  <c r="BX723" i="74"/>
  <c r="BX712" i="74"/>
  <c r="BX717" i="74" s="1"/>
  <c r="BC895" i="74"/>
  <c r="CI544" i="74"/>
  <c r="CI549" i="74" s="1"/>
  <c r="BD836" i="74"/>
  <c r="BD841" i="74" s="1"/>
  <c r="CJ695" i="74"/>
  <c r="CJ701" i="74" s="1"/>
  <c r="CJ692" i="74"/>
  <c r="CJ697" i="74" s="1"/>
  <c r="CC841" i="74"/>
  <c r="CH859" i="74"/>
  <c r="CK796" i="74"/>
  <c r="CK785" i="74"/>
  <c r="CK790" i="74" s="1"/>
  <c r="CE785" i="74"/>
  <c r="CE790" i="74" s="1"/>
  <c r="CE796" i="74"/>
  <c r="AL691" i="74"/>
  <c r="BD809" i="74"/>
  <c r="BD814" i="74" s="1"/>
  <c r="BD820" i="74"/>
  <c r="X554" i="74"/>
  <c r="X544" i="74"/>
  <c r="X549" i="74" s="1"/>
  <c r="X543" i="74"/>
  <c r="X548" i="74" s="1"/>
  <c r="Y543" i="74"/>
  <c r="Y548" i="74" s="1"/>
  <c r="Y554" i="74"/>
  <c r="AD543" i="74"/>
  <c r="AD548" i="74" s="1"/>
  <c r="AD554" i="74"/>
  <c r="AN869" i="74"/>
  <c r="AN858" i="74"/>
  <c r="AN863" i="74" s="1"/>
  <c r="AU565" i="74"/>
  <c r="AU492" i="74"/>
  <c r="AU490" i="74"/>
  <c r="AZ565" i="74"/>
  <c r="AZ492" i="74"/>
  <c r="AZ490" i="74"/>
  <c r="BA565" i="74"/>
  <c r="BA492" i="74"/>
  <c r="BA490" i="74"/>
  <c r="BE763" i="74"/>
  <c r="W710" i="74"/>
  <c r="W498" i="74"/>
  <c r="W734" i="74" s="1"/>
  <c r="AB710" i="74"/>
  <c r="AB498" i="74"/>
  <c r="AB734" i="74" s="1"/>
  <c r="AC710" i="74"/>
  <c r="AC498" i="74"/>
  <c r="AC734" i="74" s="1"/>
  <c r="Z521" i="74"/>
  <c r="Z526" i="74" s="1"/>
  <c r="BU796" i="74"/>
  <c r="BU785" i="74"/>
  <c r="BU790" i="74" s="1"/>
  <c r="AT769" i="74"/>
  <c r="AT765" i="74"/>
  <c r="AT770" i="74" s="1"/>
  <c r="BT836" i="74"/>
  <c r="BT841" i="74" s="1"/>
  <c r="AF910" i="74"/>
  <c r="AF915" i="74" s="1"/>
  <c r="CA544" i="74"/>
  <c r="CA549" i="74" s="1"/>
  <c r="AD890" i="74"/>
  <c r="AD886" i="74"/>
  <c r="AD891" i="74" s="1"/>
  <c r="CH890" i="74"/>
  <c r="CH886" i="74"/>
  <c r="CH891" i="74" s="1"/>
  <c r="CB764" i="74"/>
  <c r="CB769" i="74" s="1"/>
  <c r="O338" i="74"/>
  <c r="O283" i="74"/>
  <c r="O339" i="74" s="1"/>
  <c r="BA544" i="74"/>
  <c r="BA549" i="74" s="1"/>
  <c r="X692" i="74"/>
  <c r="X697" i="74" s="1"/>
  <c r="X701" i="74" s="1"/>
  <c r="AS889" i="74"/>
  <c r="P889" i="74" s="1"/>
  <c r="P884" i="74"/>
  <c r="AS885" i="74"/>
  <c r="AS886" i="74" s="1"/>
  <c r="AZ836" i="74"/>
  <c r="AZ841" i="74" s="1"/>
  <c r="BE694" i="74"/>
  <c r="Q689" i="74"/>
  <c r="CG747" i="74"/>
  <c r="CG736" i="74"/>
  <c r="CG741" i="74" s="1"/>
  <c r="CL747" i="74"/>
  <c r="CL736" i="74"/>
  <c r="CL741" i="74" s="1"/>
  <c r="BP723" i="74"/>
  <c r="BP712" i="74"/>
  <c r="BP717" i="74" s="1"/>
  <c r="BF723" i="74"/>
  <c r="BF712" i="74"/>
  <c r="BF717" i="74" s="1"/>
  <c r="BX691" i="74"/>
  <c r="BX696" i="74" s="1"/>
  <c r="AI783" i="74"/>
  <c r="AI503" i="74"/>
  <c r="AI807" i="74" s="1"/>
  <c r="AN783" i="74"/>
  <c r="AN503" i="74"/>
  <c r="AN807" i="74" s="1"/>
  <c r="AO783" i="74"/>
  <c r="AO503" i="74"/>
  <c r="AO807" i="74" s="1"/>
  <c r="BI527" i="74"/>
  <c r="BI523" i="74"/>
  <c r="BI528" i="74" s="1"/>
  <c r="AV919" i="74"/>
  <c r="AD846" i="74"/>
  <c r="AD835" i="74"/>
  <c r="AD840" i="74" s="1"/>
  <c r="X846" i="74"/>
  <c r="X835" i="74"/>
  <c r="X840" i="74" s="1"/>
  <c r="AY747" i="74"/>
  <c r="AY736" i="74"/>
  <c r="AY741" i="74" s="1"/>
  <c r="BM769" i="74"/>
  <c r="BM774" i="74" s="1"/>
  <c r="BM765" i="74"/>
  <c r="BM770" i="74" s="1"/>
  <c r="BK546" i="74"/>
  <c r="BK551" i="74" s="1"/>
  <c r="BS527" i="74"/>
  <c r="BS523" i="74"/>
  <c r="BS528" i="74" s="1"/>
  <c r="AX919" i="74"/>
  <c r="BN895" i="74"/>
  <c r="BT723" i="74"/>
  <c r="BT712" i="74"/>
  <c r="BT717" i="74" s="1"/>
  <c r="CK544" i="74"/>
  <c r="CK549" i="74" s="1"/>
  <c r="CK545" i="74"/>
  <c r="CK550" i="74" s="1"/>
  <c r="AV764" i="74"/>
  <c r="AV769" i="74" s="1"/>
  <c r="CK695" i="74"/>
  <c r="BJ895" i="74"/>
  <c r="CG809" i="74"/>
  <c r="CG814" i="74" s="1"/>
  <c r="CG820" i="74"/>
  <c r="AR692" i="74"/>
  <c r="AR697" i="74" s="1"/>
  <c r="AR701" i="74" s="1"/>
  <c r="AH692" i="74"/>
  <c r="AH697" i="74" s="1"/>
  <c r="AH701" i="74" s="1"/>
  <c r="BE837" i="74"/>
  <c r="BE838" i="74" s="1"/>
  <c r="BA809" i="74"/>
  <c r="BA814" i="74" s="1"/>
  <c r="BA820" i="74"/>
  <c r="AU820" i="74"/>
  <c r="AU809" i="74"/>
  <c r="AU814" i="74" s="1"/>
  <c r="BF565" i="74"/>
  <c r="BF490" i="74"/>
  <c r="BF492" i="74"/>
  <c r="BK565" i="74"/>
  <c r="BK492" i="74"/>
  <c r="BK490" i="74"/>
  <c r="BP565" i="74"/>
  <c r="BP492" i="74"/>
  <c r="BP490" i="74"/>
  <c r="CB527" i="74"/>
  <c r="CB523" i="74"/>
  <c r="CB528" i="74" s="1"/>
  <c r="AS869" i="74"/>
  <c r="P869" i="74" s="1"/>
  <c r="AS858" i="74"/>
  <c r="P856" i="74"/>
  <c r="CI692" i="74"/>
  <c r="CI697" i="74" s="1"/>
  <c r="CI701" i="74" s="1"/>
  <c r="BS565" i="74"/>
  <c r="BS492" i="74"/>
  <c r="BS490" i="74"/>
  <c r="BX565" i="74"/>
  <c r="BX492" i="74"/>
  <c r="BX490" i="74"/>
  <c r="BY565" i="74"/>
  <c r="BY492" i="74"/>
  <c r="BY490" i="74"/>
  <c r="AP858" i="74"/>
  <c r="AP863" i="74" s="1"/>
  <c r="AP869" i="74"/>
  <c r="AJ869" i="74"/>
  <c r="AJ858" i="74"/>
  <c r="AJ863" i="74" s="1"/>
  <c r="BX764" i="74"/>
  <c r="BX769" i="74" s="1"/>
  <c r="AX859" i="74"/>
  <c r="AX864" i="74" s="1"/>
  <c r="AH858" i="74"/>
  <c r="AH863" i="74" s="1"/>
  <c r="AH869" i="74"/>
  <c r="BQ694" i="74"/>
  <c r="R689" i="74"/>
  <c r="AL521" i="74"/>
  <c r="AL526" i="74" s="1"/>
  <c r="CA785" i="74"/>
  <c r="CA790" i="74" s="1"/>
  <c r="CA796" i="74"/>
  <c r="CH692" i="74"/>
  <c r="CH697" i="74" s="1"/>
  <c r="CH701" i="74" s="1"/>
  <c r="BW544" i="74"/>
  <c r="BW549" i="74" s="1"/>
  <c r="CK860" i="74"/>
  <c r="CK865" i="74" s="1"/>
  <c r="AY696" i="74"/>
  <c r="AY692" i="74"/>
  <c r="AY697" i="74" s="1"/>
  <c r="AL763" i="74"/>
  <c r="AL768" i="74" s="1"/>
  <c r="AG773" i="74"/>
  <c r="O773" i="74" s="1"/>
  <c r="O760" i="74"/>
  <c r="AG762" i="74"/>
  <c r="AG763" i="74" s="1"/>
  <c r="AG764" i="74" s="1"/>
  <c r="AV533" i="74"/>
  <c r="AV535" i="74" s="1"/>
  <c r="BN768" i="74"/>
  <c r="BN764" i="74"/>
  <c r="CD565" i="74"/>
  <c r="CD492" i="74"/>
  <c r="CD490" i="74"/>
  <c r="CI565" i="74"/>
  <c r="CI492" i="74"/>
  <c r="CI490" i="74"/>
  <c r="CN565" i="74"/>
  <c r="CN492" i="74"/>
  <c r="CN490" i="74"/>
  <c r="AX768" i="74"/>
  <c r="AX764" i="74"/>
  <c r="CF695" i="74"/>
  <c r="CF691" i="74"/>
  <c r="CF696" i="74" s="1"/>
  <c r="CH920" i="74"/>
  <c r="CH922" i="74" s="1"/>
  <c r="CM747" i="74"/>
  <c r="CM736" i="74"/>
  <c r="CM741" i="74" s="1"/>
  <c r="BV764" i="74"/>
  <c r="CF526" i="74"/>
  <c r="CF522" i="74"/>
  <c r="BL522" i="74"/>
  <c r="BM747" i="74"/>
  <c r="BM736" i="74"/>
  <c r="BM741" i="74" s="1"/>
  <c r="BG747" i="74"/>
  <c r="BG736" i="74"/>
  <c r="BG741" i="74" s="1"/>
  <c r="CC765" i="74"/>
  <c r="BF785" i="74"/>
  <c r="BF790" i="74" s="1"/>
  <c r="BF796" i="74"/>
  <c r="BK785" i="74"/>
  <c r="BK790" i="74" s="1"/>
  <c r="BK796" i="74"/>
  <c r="AI710" i="74"/>
  <c r="AI498" i="74"/>
  <c r="AI734" i="74" s="1"/>
  <c r="AN710" i="74"/>
  <c r="AN498" i="74"/>
  <c r="AN734" i="74" s="1"/>
  <c r="AO710" i="74"/>
  <c r="AO498" i="74"/>
  <c r="AO734" i="74" s="1"/>
  <c r="O888" i="74"/>
  <c r="U856" i="74"/>
  <c r="N507" i="74"/>
  <c r="BW691" i="74"/>
  <c r="BW696" i="74" s="1"/>
  <c r="AZ723" i="74"/>
  <c r="AZ712" i="74"/>
  <c r="AZ717" i="74" s="1"/>
  <c r="W763" i="74"/>
  <c r="W768" i="74" s="1"/>
  <c r="AQ909" i="74"/>
  <c r="BX522" i="74"/>
  <c r="BY919" i="74"/>
  <c r="CA747" i="74"/>
  <c r="CA736" i="74"/>
  <c r="CA741" i="74" s="1"/>
  <c r="CL544" i="74"/>
  <c r="CL549" i="74" s="1"/>
  <c r="CF544" i="74"/>
  <c r="CF549" i="74" s="1"/>
  <c r="BB768" i="74"/>
  <c r="BB764" i="74"/>
  <c r="BE885" i="74"/>
  <c r="CC807" i="74"/>
  <c r="S503" i="74"/>
  <c r="CM785" i="74"/>
  <c r="CM790" i="74" s="1"/>
  <c r="CM796" i="74"/>
  <c r="BU764" i="74"/>
  <c r="CJ523" i="74"/>
  <c r="CJ528" i="74" s="1"/>
  <c r="CJ532" i="74" s="1"/>
  <c r="AN692" i="74"/>
  <c r="AN697" i="74" s="1"/>
  <c r="AN701" i="74" s="1"/>
  <c r="CD768" i="74"/>
  <c r="CD764" i="74"/>
  <c r="BB820" i="74"/>
  <c r="BB809" i="74"/>
  <c r="BB814" i="74" s="1"/>
  <c r="AV809" i="74"/>
  <c r="AV814" i="74" s="1"/>
  <c r="AV820" i="74"/>
  <c r="BP765" i="74"/>
  <c r="BP770" i="74" s="1"/>
  <c r="BA769" i="74"/>
  <c r="BA765" i="74"/>
  <c r="BA770" i="74" s="1"/>
  <c r="BY765" i="74"/>
  <c r="BY770" i="74" s="1"/>
  <c r="BY774" i="74" s="1"/>
  <c r="BR895" i="74"/>
  <c r="AP692" i="74"/>
  <c r="AP697" i="74" s="1"/>
  <c r="AP701" i="74" s="1"/>
  <c r="BE869" i="74"/>
  <c r="Q869" i="74" s="1"/>
  <c r="BE858" i="74"/>
  <c r="BE859" i="74" s="1"/>
  <c r="Q856" i="74"/>
  <c r="AS841" i="74"/>
  <c r="AS840" i="74"/>
  <c r="P835" i="74"/>
  <c r="AR521" i="74"/>
  <c r="AR526" i="74" s="1"/>
  <c r="AH521" i="74"/>
  <c r="AH526" i="74" s="1"/>
  <c r="AS521" i="74"/>
  <c r="AS522" i="74" s="1"/>
  <c r="AS523" i="74" s="1"/>
  <c r="AA783" i="74"/>
  <c r="AA503" i="74"/>
  <c r="AA807" i="74" s="1"/>
  <c r="AF783" i="74"/>
  <c r="AF503" i="74"/>
  <c r="AF807" i="74" s="1"/>
  <c r="V783" i="74"/>
  <c r="V503" i="74"/>
  <c r="V807" i="74" s="1"/>
  <c r="AC521" i="74"/>
  <c r="AC526" i="74" s="1"/>
  <c r="AB523" i="74"/>
  <c r="AB528" i="74" s="1"/>
  <c r="W521" i="74"/>
  <c r="W526" i="74" s="1"/>
  <c r="BR796" i="74"/>
  <c r="BR785" i="74"/>
  <c r="BR790" i="74" s="1"/>
  <c r="BW785" i="74"/>
  <c r="BW790" i="74" s="1"/>
  <c r="BW796" i="74"/>
  <c r="AV836" i="74"/>
  <c r="AV841" i="74" s="1"/>
  <c r="BU836" i="74"/>
  <c r="BU841" i="74" s="1"/>
  <c r="CJ836" i="74"/>
  <c r="CJ841" i="74" s="1"/>
  <c r="AS543" i="74"/>
  <c r="AS554" i="74"/>
  <c r="P554" i="74" s="1"/>
  <c r="P541" i="74"/>
  <c r="AS910" i="74"/>
  <c r="AS764" i="74"/>
  <c r="U909" i="74"/>
  <c r="CN736" i="74"/>
  <c r="CN741" i="74" s="1"/>
  <c r="CN747" i="74"/>
  <c r="CD747" i="74"/>
  <c r="CD736" i="74"/>
  <c r="CD741" i="74" s="1"/>
  <c r="BH736" i="74"/>
  <c r="BH741" i="74" s="1"/>
  <c r="BH747" i="74"/>
  <c r="BL796" i="74"/>
  <c r="BL785" i="74"/>
  <c r="BL790" i="74" s="1"/>
  <c r="V858" i="74"/>
  <c r="V863" i="74" s="1"/>
  <c r="V869" i="74"/>
  <c r="AA869" i="74"/>
  <c r="AA858" i="74"/>
  <c r="AA863" i="74" s="1"/>
  <c r="AV736" i="74"/>
  <c r="AV741" i="74" s="1"/>
  <c r="AV747" i="74"/>
  <c r="CB723" i="74"/>
  <c r="CB712" i="74"/>
  <c r="CB717" i="74" s="1"/>
  <c r="BR723" i="74"/>
  <c r="BR712" i="74"/>
  <c r="BR717" i="74" s="1"/>
  <c r="CH544" i="74"/>
  <c r="CH549" i="74" s="1"/>
  <c r="BV895" i="74"/>
  <c r="CN796" i="74"/>
  <c r="CN785" i="74"/>
  <c r="CN790" i="74" s="1"/>
  <c r="AK690" i="74"/>
  <c r="BC796" i="74"/>
  <c r="BC785" i="74"/>
  <c r="BC790" i="74" s="1"/>
  <c r="AM869" i="74"/>
  <c r="AM858" i="74"/>
  <c r="AM863" i="74" s="1"/>
  <c r="R890" i="74"/>
  <c r="AG891" i="74"/>
  <c r="AN554" i="74"/>
  <c r="AN543" i="74"/>
  <c r="AN548" i="74" s="1"/>
  <c r="AI554" i="74"/>
  <c r="AI543" i="74"/>
  <c r="AI548" i="74" s="1"/>
  <c r="BU527" i="74"/>
  <c r="BU523" i="74"/>
  <c r="BU528" i="74" s="1"/>
  <c r="S888" i="74"/>
  <c r="BH809" i="74"/>
  <c r="BH814" i="74" s="1"/>
  <c r="BH820" i="74"/>
  <c r="CE775" i="74"/>
  <c r="CE777" i="74" s="1"/>
  <c r="CB695" i="74"/>
  <c r="CB692" i="74"/>
  <c r="CB697" i="74" s="1"/>
  <c r="AZ890" i="74"/>
  <c r="AZ886" i="74"/>
  <c r="AZ891" i="74" s="1"/>
  <c r="BN859" i="74"/>
  <c r="BN864" i="74" s="1"/>
  <c r="AO523" i="74"/>
  <c r="AO528" i="74" s="1"/>
  <c r="AO532" i="74" s="1"/>
  <c r="BO768" i="74"/>
  <c r="BO765" i="74"/>
  <c r="BO770" i="74" s="1"/>
  <c r="AM554" i="74"/>
  <c r="AM543" i="74"/>
  <c r="AM548" i="74" s="1"/>
  <c r="P909" i="74"/>
  <c r="AS914" i="74"/>
  <c r="P914" i="74" s="1"/>
  <c r="AS694" i="74"/>
  <c r="P689" i="74"/>
  <c r="BY809" i="74"/>
  <c r="BY814" i="74" s="1"/>
  <c r="BY820" i="74"/>
  <c r="AJ890" i="74"/>
  <c r="AJ886" i="74"/>
  <c r="AJ891" i="74" s="1"/>
  <c r="AO763" i="74"/>
  <c r="AO768" i="74" s="1"/>
  <c r="AL543" i="74"/>
  <c r="AL548" i="74" s="1"/>
  <c r="AL554" i="74"/>
  <c r="AQ554" i="74"/>
  <c r="AQ543" i="74"/>
  <c r="AQ548" i="74" s="1"/>
  <c r="AY544" i="74"/>
  <c r="AY549" i="74" s="1"/>
  <c r="BX859" i="74"/>
  <c r="BX864" i="74" s="1"/>
  <c r="BE915" i="74"/>
  <c r="CE747" i="74"/>
  <c r="CE736" i="74"/>
  <c r="CE741" i="74" s="1"/>
  <c r="BJ859" i="74"/>
  <c r="AN521" i="74"/>
  <c r="X522" i="74"/>
  <c r="X527" i="74" s="1"/>
  <c r="AD521" i="74"/>
  <c r="AD522" i="74" s="1"/>
  <c r="AD527" i="74" s="1"/>
  <c r="BY796" i="74"/>
  <c r="BY785" i="74"/>
  <c r="BY790" i="74" s="1"/>
  <c r="BS796" i="74"/>
  <c r="BS785" i="74"/>
  <c r="BS790" i="74" s="1"/>
  <c r="BZ544" i="74"/>
  <c r="BT544" i="74"/>
  <c r="CJ860" i="74"/>
  <c r="CJ865" i="74" s="1"/>
  <c r="BR765" i="74"/>
  <c r="BR770" i="74" s="1"/>
  <c r="AI763" i="74"/>
  <c r="AI764" i="74" s="1"/>
  <c r="AI769" i="74" s="1"/>
  <c r="BL859" i="74"/>
  <c r="AJ554" i="74"/>
  <c r="AJ543" i="74"/>
  <c r="AJ548" i="74" s="1"/>
  <c r="AK543" i="74"/>
  <c r="AK548" i="74" s="1"/>
  <c r="AK554" i="74"/>
  <c r="AK544" i="74"/>
  <c r="AK549" i="74" s="1"/>
  <c r="AP543" i="74"/>
  <c r="AP548" i="74" s="1"/>
  <c r="AP554" i="74"/>
  <c r="BD545" i="74"/>
  <c r="BD550" i="74" s="1"/>
  <c r="AB691" i="74"/>
  <c r="AB696" i="74" s="1"/>
  <c r="W690" i="74"/>
  <c r="W695" i="74" s="1"/>
  <c r="AC690" i="74"/>
  <c r="BA860" i="74"/>
  <c r="BA865" i="74" s="1"/>
  <c r="CK712" i="74"/>
  <c r="CK717" i="74" s="1"/>
  <c r="CK723" i="74"/>
  <c r="CE723" i="74"/>
  <c r="CE712" i="74"/>
  <c r="CE717" i="74" s="1"/>
  <c r="BQ914" i="74"/>
  <c r="R914" i="74" s="1"/>
  <c r="R909" i="74"/>
  <c r="BQ910" i="74"/>
  <c r="BQ763" i="74"/>
  <c r="BO723" i="74"/>
  <c r="BO712" i="74"/>
  <c r="BO717" i="74" s="1"/>
  <c r="CM769" i="74"/>
  <c r="CM765" i="74"/>
  <c r="CM770" i="74" s="1"/>
  <c r="BM836" i="74"/>
  <c r="BM841" i="74" s="1"/>
  <c r="BJ523" i="74"/>
  <c r="BJ528" i="74" s="1"/>
  <c r="BJ532" i="74" s="1"/>
  <c r="AW886" i="74"/>
  <c r="AW891" i="74" s="1"/>
  <c r="AW895" i="74" s="1"/>
  <c r="AS692" i="74"/>
  <c r="BI796" i="74"/>
  <c r="BI785" i="74"/>
  <c r="BI790" i="74" s="1"/>
  <c r="BL919" i="74"/>
  <c r="BW919" i="74"/>
  <c r="AB846" i="74"/>
  <c r="AB835" i="74"/>
  <c r="AB840" i="74" s="1"/>
  <c r="AS723" i="74"/>
  <c r="P710" i="74"/>
  <c r="AS712" i="74"/>
  <c r="AS713" i="74" s="1"/>
  <c r="AX723" i="74"/>
  <c r="AX712" i="74"/>
  <c r="AX717" i="74" s="1"/>
  <c r="Z764" i="74"/>
  <c r="Z769" i="74" s="1"/>
  <c r="BO545" i="74"/>
  <c r="BO550" i="74" s="1"/>
  <c r="BJ544" i="74"/>
  <c r="AG912" i="74"/>
  <c r="O907" i="74"/>
  <c r="AG909" i="74"/>
  <c r="BI919" i="74"/>
  <c r="BY747" i="74"/>
  <c r="BY736" i="74"/>
  <c r="BY741" i="74" s="1"/>
  <c r="BS747" i="74"/>
  <c r="BS736" i="74"/>
  <c r="BS741" i="74" s="1"/>
  <c r="AW765" i="74"/>
  <c r="AW770" i="74" s="1"/>
  <c r="BR836" i="74"/>
  <c r="BR841" i="74" s="1"/>
  <c r="CC840" i="74"/>
  <c r="S835" i="74"/>
  <c r="BI695" i="74"/>
  <c r="BI692" i="74"/>
  <c r="BI697" i="74" s="1"/>
  <c r="CJ809" i="74"/>
  <c r="CJ814" i="74" s="1"/>
  <c r="CJ820" i="74"/>
  <c r="BB691" i="74"/>
  <c r="BB696" i="74" s="1"/>
  <c r="BD786" i="74"/>
  <c r="BD791" i="74" s="1"/>
  <c r="BD796" i="74"/>
  <c r="BD785" i="74"/>
  <c r="BD790" i="74" s="1"/>
  <c r="AB554" i="74"/>
  <c r="AB543" i="74"/>
  <c r="AB548" i="74" s="1"/>
  <c r="AC543" i="74"/>
  <c r="AC548" i="74" s="1"/>
  <c r="AC554" i="74"/>
  <c r="W554" i="74"/>
  <c r="W543" i="74"/>
  <c r="W548" i="74" s="1"/>
  <c r="CA836" i="74"/>
  <c r="S913" i="74"/>
  <c r="AN846" i="74"/>
  <c r="AN835" i="74"/>
  <c r="AN840" i="74" s="1"/>
  <c r="AV695" i="74"/>
  <c r="AV692" i="74"/>
  <c r="AV697" i="74" s="1"/>
  <c r="BO836" i="74"/>
  <c r="BO841" i="74" s="1"/>
  <c r="CA692" i="74"/>
  <c r="CA697" i="74" s="1"/>
  <c r="CA701" i="74" s="1"/>
  <c r="AJ522" i="74"/>
  <c r="AJ527" i="74" s="1"/>
  <c r="AP521" i="74"/>
  <c r="AP522" i="74" s="1"/>
  <c r="AP527" i="74" s="1"/>
  <c r="AT565" i="74"/>
  <c r="AT492" i="74"/>
  <c r="AT490" i="74"/>
  <c r="AY565" i="74"/>
  <c r="AY492" i="74"/>
  <c r="AY490" i="74"/>
  <c r="BD565" i="74"/>
  <c r="BD492" i="74"/>
  <c r="BD490" i="74"/>
  <c r="V710" i="74"/>
  <c r="V498" i="74"/>
  <c r="V734" i="74" s="1"/>
  <c r="AA710" i="74"/>
  <c r="AA498" i="74"/>
  <c r="AA734" i="74" s="1"/>
  <c r="AF710" i="74"/>
  <c r="AF498" i="74"/>
  <c r="AF734" i="74" s="1"/>
  <c r="AE521" i="74"/>
  <c r="BZ820" i="74"/>
  <c r="BZ809" i="74"/>
  <c r="BZ814" i="74" s="1"/>
  <c r="BT809" i="74"/>
  <c r="BT814" i="74" s="1"/>
  <c r="BT820" i="74"/>
  <c r="AY769" i="74"/>
  <c r="AY765" i="74"/>
  <c r="AY770" i="74" s="1"/>
  <c r="BZ836" i="74"/>
  <c r="BZ841" i="74" s="1"/>
  <c r="BQ543" i="74"/>
  <c r="BQ544" i="74" s="1"/>
  <c r="R541" i="74"/>
  <c r="BQ554" i="74"/>
  <c r="R554" i="74" s="1"/>
  <c r="AP763" i="74"/>
  <c r="AP764" i="74" s="1"/>
  <c r="AP769" i="74" s="1"/>
  <c r="AK764" i="74"/>
  <c r="AK769" i="74" s="1"/>
  <c r="O340" i="74"/>
  <c r="O285" i="74"/>
  <c r="O341" i="74" s="1"/>
  <c r="AU544" i="74"/>
  <c r="AU545" i="74" s="1"/>
  <c r="AU550" i="74" s="1"/>
  <c r="AD690" i="74"/>
  <c r="AD695" i="74" s="1"/>
  <c r="Y691" i="74"/>
  <c r="Y696" i="74" s="1"/>
  <c r="AH914" i="74"/>
  <c r="AH910" i="74"/>
  <c r="AH915" i="74" s="1"/>
  <c r="BY836" i="74"/>
  <c r="BY837" i="74" s="1"/>
  <c r="BY842" i="74" s="1"/>
  <c r="BD919" i="74"/>
  <c r="CI836" i="74"/>
  <c r="CI841" i="74" s="1"/>
  <c r="BE690" i="74"/>
  <c r="BE691" i="74" s="1"/>
  <c r="CG723" i="74"/>
  <c r="CG712" i="74"/>
  <c r="CG717" i="74" s="1"/>
  <c r="CL723" i="74"/>
  <c r="CL712" i="74"/>
  <c r="CL717" i="74" s="1"/>
  <c r="R913" i="74"/>
  <c r="AE890" i="74"/>
  <c r="N890" i="74" s="1"/>
  <c r="AE886" i="74"/>
  <c r="AE891" i="74" s="1"/>
  <c r="CN768" i="74"/>
  <c r="CN765" i="74"/>
  <c r="CN770" i="74" s="1"/>
  <c r="BK747" i="74"/>
  <c r="BK736" i="74"/>
  <c r="BK741" i="74" s="1"/>
  <c r="BJ820" i="74"/>
  <c r="BJ809" i="74"/>
  <c r="BJ814" i="74" s="1"/>
  <c r="BE796" i="74"/>
  <c r="BE785" i="74"/>
  <c r="Q783" i="74"/>
  <c r="AM783" i="74"/>
  <c r="AM503" i="74"/>
  <c r="AM807" i="74" s="1"/>
  <c r="AR783" i="74"/>
  <c r="AR503" i="74"/>
  <c r="AR807" i="74" s="1"/>
  <c r="AH783" i="74"/>
  <c r="AH503" i="74"/>
  <c r="AH807" i="74" s="1"/>
  <c r="BP836" i="74"/>
  <c r="CK769" i="74"/>
  <c r="CK765" i="74"/>
  <c r="CK770" i="74" s="1"/>
  <c r="Y869" i="74"/>
  <c r="Y858" i="74"/>
  <c r="Y863" i="74" s="1"/>
  <c r="BR691" i="74"/>
  <c r="BR696" i="74" s="1"/>
  <c r="AY723" i="74"/>
  <c r="AY712" i="74"/>
  <c r="AY717" i="74" s="1"/>
  <c r="BL765" i="74"/>
  <c r="BL770" i="74" s="1"/>
  <c r="BL774" i="74" s="1"/>
  <c r="V764" i="74"/>
  <c r="V769" i="74" s="1"/>
  <c r="BK555" i="74"/>
  <c r="BF555" i="74"/>
  <c r="BP544" i="74"/>
  <c r="BU747" i="74"/>
  <c r="BU736" i="74"/>
  <c r="BU741" i="74" s="1"/>
  <c r="BZ747" i="74"/>
  <c r="BZ736" i="74"/>
  <c r="BZ741" i="74" s="1"/>
  <c r="CE544" i="74"/>
  <c r="CE545" i="74" s="1"/>
  <c r="CE550" i="74" s="1"/>
  <c r="CK546" i="74"/>
  <c r="CK551" i="74" s="1"/>
  <c r="AY919" i="74"/>
  <c r="BN695" i="74"/>
  <c r="BN692" i="74"/>
  <c r="BN697" i="74" s="1"/>
  <c r="CG796" i="74"/>
  <c r="CG785" i="74"/>
  <c r="CG790" i="74" s="1"/>
  <c r="BZ769" i="74"/>
  <c r="BZ765" i="74"/>
  <c r="BZ770" i="74" s="1"/>
  <c r="AM691" i="74"/>
  <c r="AM696" i="74" s="1"/>
  <c r="BA796" i="74"/>
  <c r="BA785" i="74"/>
  <c r="BA790" i="74" s="1"/>
  <c r="AU785" i="74"/>
  <c r="AU790" i="74" s="1"/>
  <c r="AU796" i="74"/>
  <c r="BJ565" i="74"/>
  <c r="BJ490" i="74"/>
  <c r="BJ492" i="74"/>
  <c r="BO565" i="74"/>
  <c r="BO492" i="74"/>
  <c r="BO490" i="74"/>
  <c r="BE565" i="74"/>
  <c r="BE492" i="74"/>
  <c r="BE490" i="74"/>
  <c r="Q489" i="74"/>
  <c r="N338" i="74"/>
  <c r="N283" i="74"/>
  <c r="N339" i="74" s="1"/>
  <c r="AZ764" i="74"/>
  <c r="AZ769" i="74" s="1"/>
  <c r="BC836" i="74"/>
  <c r="BC841" i="74" s="1"/>
  <c r="CA859" i="74"/>
  <c r="CA864" i="74" s="1"/>
  <c r="BR565" i="74"/>
  <c r="BR492" i="74"/>
  <c r="BR490" i="74"/>
  <c r="BW565" i="74"/>
  <c r="BW492" i="74"/>
  <c r="BW490" i="74"/>
  <c r="CB565" i="74"/>
  <c r="CB492" i="74"/>
  <c r="CB490" i="74"/>
  <c r="CG860" i="74"/>
  <c r="CG865" i="74" s="1"/>
  <c r="AP846" i="74"/>
  <c r="AP835" i="74"/>
  <c r="AP840" i="74" s="1"/>
  <c r="AJ846" i="74"/>
  <c r="AJ835" i="74"/>
  <c r="AJ840" i="74" s="1"/>
  <c r="CD527" i="74"/>
  <c r="CD532" i="74" s="1"/>
  <c r="CD523" i="74"/>
  <c r="CD528" i="74" s="1"/>
  <c r="CF859" i="74"/>
  <c r="AH846" i="74"/>
  <c r="AH835" i="74"/>
  <c r="AH840" i="74" s="1"/>
  <c r="BO870" i="74"/>
  <c r="BQ690" i="74"/>
  <c r="BA692" i="74"/>
  <c r="BA697" i="74" s="1"/>
  <c r="BA701" i="74" s="1"/>
  <c r="BI859" i="74"/>
  <c r="AQ521" i="74"/>
  <c r="BU695" i="74"/>
  <c r="BU691" i="74"/>
  <c r="BU696" i="74" s="1"/>
  <c r="BJ765" i="74"/>
  <c r="BJ770" i="74" s="1"/>
  <c r="BJ774" i="74" s="1"/>
  <c r="AI913" i="74"/>
  <c r="AI909" i="74"/>
  <c r="AI914" i="74" s="1"/>
  <c r="AF521" i="74"/>
  <c r="AA522" i="74"/>
  <c r="AA527" i="74" s="1"/>
  <c r="V521" i="74"/>
  <c r="V522" i="74" s="1"/>
  <c r="V527" i="74" s="1"/>
  <c r="BQ807" i="74"/>
  <c r="R503" i="74"/>
  <c r="AX890" i="74"/>
  <c r="AX886" i="74"/>
  <c r="AX891" i="74" s="1"/>
  <c r="AW860" i="74"/>
  <c r="AW865" i="74" s="1"/>
  <c r="BT860" i="74"/>
  <c r="BT865" i="74" s="1"/>
  <c r="BZ859" i="74"/>
  <c r="BZ860" i="74" s="1"/>
  <c r="BZ865" i="74" s="1"/>
  <c r="CM692" i="74"/>
  <c r="CM697" i="74" s="1"/>
  <c r="CB545" i="74"/>
  <c r="CB550" i="74" s="1"/>
  <c r="CE859" i="74"/>
  <c r="CE864" i="74" s="1"/>
  <c r="BP695" i="74"/>
  <c r="BP691" i="74"/>
  <c r="BP696" i="74" s="1"/>
  <c r="CM523" i="74"/>
  <c r="CM528" i="74" s="1"/>
  <c r="CM532" i="74" s="1"/>
  <c r="CC525" i="74"/>
  <c r="S520" i="74"/>
  <c r="AQ763" i="74"/>
  <c r="BB544" i="74"/>
  <c r="BB545" i="74" s="1"/>
  <c r="BB550" i="74" s="1"/>
  <c r="AV544" i="74"/>
  <c r="AE692" i="74"/>
  <c r="AE697" i="74" s="1"/>
  <c r="AE701" i="74" s="1"/>
  <c r="N687" i="74"/>
  <c r="U700" i="74"/>
  <c r="N700" i="74" s="1"/>
  <c r="U689" i="74"/>
  <c r="CH565" i="74"/>
  <c r="CH492" i="74"/>
  <c r="CH490" i="74"/>
  <c r="CM565" i="74"/>
  <c r="CM492" i="74"/>
  <c r="CM490" i="74"/>
  <c r="CC565" i="74"/>
  <c r="CC492" i="74"/>
  <c r="S489" i="74"/>
  <c r="CC490" i="74"/>
  <c r="BC764" i="74"/>
  <c r="BC769" i="74" s="1"/>
  <c r="AZ859" i="74"/>
  <c r="BS860" i="74"/>
  <c r="BS865" i="74" s="1"/>
  <c r="AE910" i="74"/>
  <c r="AE915" i="74" s="1"/>
  <c r="AE919" i="74" s="1"/>
  <c r="CI860" i="74"/>
  <c r="CI865" i="74" s="1"/>
  <c r="CD859" i="74"/>
  <c r="CD860" i="74" s="1"/>
  <c r="CD865" i="74" s="1"/>
  <c r="CM712" i="74"/>
  <c r="CM717" i="74" s="1"/>
  <c r="CM723" i="74"/>
  <c r="BK910" i="74"/>
  <c r="BK915" i="74" s="1"/>
  <c r="BK919" i="74" s="1"/>
  <c r="CN764" i="74"/>
  <c r="CN769" i="74" s="1"/>
  <c r="BM723" i="74"/>
  <c r="BM712" i="74"/>
  <c r="BM717" i="74" s="1"/>
  <c r="BG712" i="74"/>
  <c r="BG717" i="74" s="1"/>
  <c r="BG723" i="74"/>
  <c r="BH836" i="74"/>
  <c r="CC767" i="74"/>
  <c r="S762" i="74"/>
  <c r="BG837" i="74"/>
  <c r="BG842" i="74" s="1"/>
  <c r="CF769" i="74"/>
  <c r="CF765" i="74"/>
  <c r="CF770" i="74" s="1"/>
  <c r="AX695" i="74"/>
  <c r="AX692" i="74"/>
  <c r="AX697" i="74" s="1"/>
  <c r="BP809" i="74"/>
  <c r="BP814" i="74" s="1"/>
  <c r="BP820" i="74"/>
  <c r="AH710" i="74"/>
  <c r="AH498" i="74"/>
  <c r="AH734" i="74" s="1"/>
  <c r="AM710" i="74"/>
  <c r="AM498" i="74"/>
  <c r="AM734" i="74" s="1"/>
  <c r="AR710" i="74"/>
  <c r="AR498" i="74"/>
  <c r="AR734" i="74" s="1"/>
  <c r="BH526" i="74"/>
  <c r="BH522" i="74"/>
  <c r="CJ765" i="74"/>
  <c r="CJ770" i="74" s="1"/>
  <c r="Z858" i="74"/>
  <c r="Z863" i="74" s="1"/>
  <c r="Z869" i="74"/>
  <c r="U835" i="74"/>
  <c r="U836" i="74" s="1"/>
  <c r="N833" i="74"/>
  <c r="U846" i="74"/>
  <c r="AU526" i="74"/>
  <c r="AU522" i="74"/>
  <c r="BA747" i="74"/>
  <c r="BA736" i="74"/>
  <c r="BA741" i="74" s="1"/>
  <c r="AU747" i="74"/>
  <c r="AU736" i="74"/>
  <c r="AU741" i="74" s="1"/>
  <c r="AB763" i="74"/>
  <c r="AB768" i="74" s="1"/>
  <c r="AC764" i="74"/>
  <c r="AC769" i="74" s="1"/>
  <c r="BM555" i="74"/>
  <c r="BL544" i="74"/>
  <c r="AL910" i="74"/>
  <c r="AL915" i="74" s="1"/>
  <c r="AL919" i="74" s="1"/>
  <c r="BC919" i="74"/>
  <c r="CA712" i="74"/>
  <c r="CA717" i="74" s="1"/>
  <c r="CA723" i="74"/>
  <c r="CG544" i="74"/>
  <c r="CG545" i="74" s="1"/>
  <c r="CG550" i="74" s="1"/>
  <c r="AV765" i="74"/>
  <c r="AV770" i="74" s="1"/>
  <c r="AY836" i="74"/>
  <c r="AY841" i="74" s="1"/>
  <c r="AT838" i="74"/>
  <c r="AT843" i="74" s="1"/>
  <c r="AT847" i="74" s="1"/>
  <c r="CB837" i="74"/>
  <c r="CB842" i="74" s="1"/>
  <c r="CK691" i="74"/>
  <c r="CK696" i="74" s="1"/>
  <c r="X913" i="74"/>
  <c r="X909" i="74"/>
  <c r="X914" i="74" s="1"/>
  <c r="CM886" i="74"/>
  <c r="CM891" i="74" s="1"/>
  <c r="CM895" i="74" s="1"/>
  <c r="CK522" i="74"/>
  <c r="AI691" i="74"/>
  <c r="AI696" i="74" s="1"/>
  <c r="AO691" i="74"/>
  <c r="AO696" i="74" s="1"/>
  <c r="BB796" i="74"/>
  <c r="BB785" i="74"/>
  <c r="BB790" i="74" s="1"/>
  <c r="AV796" i="74"/>
  <c r="AV785" i="74"/>
  <c r="AV790" i="74" s="1"/>
  <c r="AP909" i="74"/>
  <c r="AU765" i="74"/>
  <c r="AU770" i="74" s="1"/>
  <c r="AU774" i="74" s="1"/>
  <c r="BC859" i="74"/>
  <c r="BC860" i="74" s="1"/>
  <c r="BC865" i="74" s="1"/>
  <c r="BQ841" i="74"/>
  <c r="BQ840" i="74"/>
  <c r="R835" i="74"/>
  <c r="AB910" i="74"/>
  <c r="AB915" i="74" s="1"/>
  <c r="AB919" i="74" s="1"/>
  <c r="BG695" i="74"/>
  <c r="BG691" i="74"/>
  <c r="BG696" i="74" s="1"/>
  <c r="CC919" i="74"/>
  <c r="S912" i="74"/>
  <c r="AL858" i="74"/>
  <c r="AL863" i="74" s="1"/>
  <c r="AL869" i="74"/>
  <c r="AG846" i="74"/>
  <c r="AG835" i="74"/>
  <c r="AG836" i="74" s="1"/>
  <c r="O833" i="74"/>
  <c r="BS764" i="74"/>
  <c r="BS769" i="74" s="1"/>
  <c r="AS807" i="74"/>
  <c r="P503" i="74"/>
  <c r="AS837" i="74"/>
  <c r="AS838" i="74" s="1"/>
  <c r="CL860" i="74"/>
  <c r="CL865" i="74" s="1"/>
  <c r="BJ837" i="74"/>
  <c r="BJ842" i="74" s="1"/>
  <c r="CI890" i="74"/>
  <c r="CI886" i="74"/>
  <c r="CI891" i="74" s="1"/>
  <c r="AM521" i="74"/>
  <c r="AE783" i="74"/>
  <c r="AE503" i="74"/>
  <c r="AE807" i="74" s="1"/>
  <c r="U783" i="74"/>
  <c r="U503" i="74"/>
  <c r="N502" i="74"/>
  <c r="Z783" i="74"/>
  <c r="Z503" i="74"/>
  <c r="Z807" i="74" s="1"/>
  <c r="R521" i="74"/>
  <c r="BQ526" i="74"/>
  <c r="R526" i="74" s="1"/>
  <c r="BQ525" i="74"/>
  <c r="R520" i="74"/>
  <c r="AB532" i="74"/>
  <c r="CB809" i="74"/>
  <c r="CB814" i="74" s="1"/>
  <c r="CB820" i="74"/>
  <c r="BX544" i="74"/>
  <c r="AH764" i="74"/>
  <c r="AH769" i="74" s="1"/>
  <c r="AA692" i="74"/>
  <c r="AA697" i="74" s="1"/>
  <c r="AA701" i="74" s="1"/>
  <c r="AU836" i="74"/>
  <c r="U912" i="74"/>
  <c r="N907" i="74"/>
  <c r="CN836" i="74"/>
  <c r="CN837" i="74" s="1"/>
  <c r="CN842" i="74" s="1"/>
  <c r="CN723" i="74"/>
  <c r="CN712" i="74"/>
  <c r="CN717" i="74" s="1"/>
  <c r="CD723" i="74"/>
  <c r="CD712" i="74"/>
  <c r="CD717" i="74" s="1"/>
  <c r="BA919" i="74"/>
  <c r="BH723" i="74"/>
  <c r="BH712" i="74"/>
  <c r="BH717" i="74" s="1"/>
  <c r="BG861" i="74"/>
  <c r="BG866" i="74" s="1"/>
  <c r="BG870" i="74" s="1"/>
  <c r="BM809" i="74"/>
  <c r="BM814" i="74" s="1"/>
  <c r="BM820" i="74"/>
  <c r="BG820" i="74"/>
  <c r="BG809" i="74"/>
  <c r="BG814" i="74" s="1"/>
  <c r="BF836" i="74"/>
  <c r="BF841" i="74" s="1"/>
  <c r="V846" i="74"/>
  <c r="V835" i="74"/>
  <c r="V840" i="74" s="1"/>
  <c r="AA846" i="74"/>
  <c r="AA835" i="74"/>
  <c r="AA840" i="74" s="1"/>
  <c r="AV723" i="74"/>
  <c r="AV712" i="74"/>
  <c r="AV717" i="74" s="1"/>
  <c r="X763" i="74"/>
  <c r="X768" i="74" s="1"/>
  <c r="AD764" i="74"/>
  <c r="AD769" i="74" s="1"/>
  <c r="Y763" i="74"/>
  <c r="Y764" i="74" s="1"/>
  <c r="Y769" i="74" s="1"/>
  <c r="BH545" i="74"/>
  <c r="BH550" i="74" s="1"/>
  <c r="BX910" i="74"/>
  <c r="BX915" i="74" s="1"/>
  <c r="BX919" i="74" s="1"/>
  <c r="BW747" i="74"/>
  <c r="BW736" i="74"/>
  <c r="BW741" i="74" s="1"/>
  <c r="AB886" i="74"/>
  <c r="AB891" i="74" s="1"/>
  <c r="AB895" i="74" s="1"/>
  <c r="CM544" i="74"/>
  <c r="AY859" i="74"/>
  <c r="AY864" i="74" s="1"/>
  <c r="AT870" i="74"/>
  <c r="CB859" i="74"/>
  <c r="AN886" i="74"/>
  <c r="AN891" i="74" s="1"/>
  <c r="AN895" i="74" s="1"/>
  <c r="AT886" i="74"/>
  <c r="AT891" i="74" s="1"/>
  <c r="AT895" i="74" s="1"/>
  <c r="CD820" i="74"/>
  <c r="CD809" i="74"/>
  <c r="CD814" i="74" s="1"/>
  <c r="CI820" i="74"/>
  <c r="CI809" i="74"/>
  <c r="CI814" i="74" s="1"/>
  <c r="AJ691" i="74"/>
  <c r="AJ696" i="74" s="1"/>
  <c r="AX820" i="74"/>
  <c r="AX809" i="74"/>
  <c r="AX814" i="74" s="1"/>
  <c r="AM846" i="74"/>
  <c r="AM835" i="74"/>
  <c r="AM840" i="74" s="1"/>
  <c r="BE914" i="74"/>
  <c r="Q914" i="74" s="1"/>
  <c r="Q909" i="74"/>
  <c r="O885" i="74"/>
  <c r="BQ527" i="74" l="1"/>
  <c r="BQ523" i="74"/>
  <c r="BQ528" i="74" s="1"/>
  <c r="CL535" i="74"/>
  <c r="CL533" i="74"/>
  <c r="BN701" i="74"/>
  <c r="AF765" i="74"/>
  <c r="AF770" i="74" s="1"/>
  <c r="AF774" i="74" s="1"/>
  <c r="AF777" i="74" s="1"/>
  <c r="BS837" i="74"/>
  <c r="BS842" i="74" s="1"/>
  <c r="BY546" i="74"/>
  <c r="BY551" i="74" s="1"/>
  <c r="BY555" i="74" s="1"/>
  <c r="BY556" i="74" s="1"/>
  <c r="BY558" i="74" s="1"/>
  <c r="AZ545" i="74"/>
  <c r="BB837" i="74"/>
  <c r="BB842" i="74" s="1"/>
  <c r="BH692" i="74"/>
  <c r="BH697" i="74" s="1"/>
  <c r="BH701" i="74" s="1"/>
  <c r="BP786" i="74"/>
  <c r="BP791" i="74" s="1"/>
  <c r="BH860" i="74"/>
  <c r="BH865" i="74" s="1"/>
  <c r="V692" i="74"/>
  <c r="V697" i="74" s="1"/>
  <c r="V701" i="74" s="1"/>
  <c r="BO713" i="74"/>
  <c r="BO718" i="74" s="1"/>
  <c r="BR546" i="74"/>
  <c r="BR551" i="74" s="1"/>
  <c r="BI532" i="74"/>
  <c r="AT774" i="74"/>
  <c r="AT775" i="74" s="1"/>
  <c r="AT777" i="74" s="1"/>
  <c r="BN546" i="74"/>
  <c r="BN551" i="74" s="1"/>
  <c r="BN545" i="74"/>
  <c r="BN550" i="74" s="1"/>
  <c r="BN837" i="74"/>
  <c r="BN842" i="74" s="1"/>
  <c r="CN860" i="74"/>
  <c r="CN865" i="74" s="1"/>
  <c r="CB701" i="74"/>
  <c r="BL701" i="74"/>
  <c r="AM544" i="74"/>
  <c r="AM549" i="74" s="1"/>
  <c r="Z691" i="74"/>
  <c r="Z696" i="74" s="1"/>
  <c r="BU545" i="74"/>
  <c r="BU550" i="74" s="1"/>
  <c r="AM764" i="74"/>
  <c r="AM769" i="74" s="1"/>
  <c r="BT696" i="74"/>
  <c r="BT692" i="74"/>
  <c r="BT697" i="74" s="1"/>
  <c r="CK861" i="74"/>
  <c r="CK866" i="74" s="1"/>
  <c r="BL837" i="74"/>
  <c r="BL842" i="74" s="1"/>
  <c r="CF774" i="74"/>
  <c r="AI522" i="74"/>
  <c r="AI527" i="74" s="1"/>
  <c r="AR544" i="74"/>
  <c r="AR549" i="74" s="1"/>
  <c r="BO535" i="74"/>
  <c r="CD546" i="74"/>
  <c r="CD551" i="74" s="1"/>
  <c r="CD555" i="74" s="1"/>
  <c r="CD556" i="74" s="1"/>
  <c r="CD558" i="74" s="1"/>
  <c r="CD559" i="74" s="1"/>
  <c r="Z544" i="74"/>
  <c r="Z549" i="74" s="1"/>
  <c r="CF837" i="74"/>
  <c r="CF842" i="74" s="1"/>
  <c r="AV701" i="74"/>
  <c r="CN545" i="74"/>
  <c r="CN550" i="74" s="1"/>
  <c r="BK860" i="74"/>
  <c r="BK865" i="74" s="1"/>
  <c r="AU692" i="74"/>
  <c r="AU697" i="74" s="1"/>
  <c r="AW545" i="74"/>
  <c r="AW550" i="74" s="1"/>
  <c r="BS545" i="74"/>
  <c r="BI786" i="74"/>
  <c r="BI791" i="74" s="1"/>
  <c r="BB860" i="74"/>
  <c r="BB865" i="74" s="1"/>
  <c r="AM895" i="74"/>
  <c r="AM896" i="74" s="1"/>
  <c r="AM898" i="74" s="1"/>
  <c r="BU895" i="74"/>
  <c r="BU896" i="74" s="1"/>
  <c r="BU898" i="74" s="1"/>
  <c r="AO914" i="74"/>
  <c r="AO910" i="74"/>
  <c r="AO915" i="74" s="1"/>
  <c r="AO919" i="74" s="1"/>
  <c r="AO920" i="74" s="1"/>
  <c r="AO922" i="74" s="1"/>
  <c r="AW837" i="74"/>
  <c r="CD837" i="74"/>
  <c r="CN786" i="74"/>
  <c r="CN791" i="74" s="1"/>
  <c r="AV737" i="74"/>
  <c r="AV742" i="74" s="1"/>
  <c r="BH895" i="74"/>
  <c r="BH896" i="74" s="1"/>
  <c r="BH898" i="74" s="1"/>
  <c r="BI895" i="74"/>
  <c r="BI896" i="74" s="1"/>
  <c r="BI898" i="74" s="1"/>
  <c r="AZ919" i="74"/>
  <c r="AZ920" i="74" s="1"/>
  <c r="AZ922" i="74" s="1"/>
  <c r="BF895" i="74"/>
  <c r="BF896" i="74" s="1"/>
  <c r="BF898" i="74" s="1"/>
  <c r="BV919" i="74"/>
  <c r="BV920" i="74" s="1"/>
  <c r="BV922" i="74" s="1"/>
  <c r="CJ774" i="74"/>
  <c r="CJ775" i="74" s="1"/>
  <c r="CJ777" i="74" s="1"/>
  <c r="BI701" i="74"/>
  <c r="BO774" i="74"/>
  <c r="BO775" i="74" s="1"/>
  <c r="BO777" i="74" s="1"/>
  <c r="AH522" i="74"/>
  <c r="S764" i="74"/>
  <c r="AY701" i="74"/>
  <c r="AY702" i="74" s="1"/>
  <c r="AL522" i="74"/>
  <c r="CK555" i="74"/>
  <c r="Z522" i="74"/>
  <c r="AE764" i="74"/>
  <c r="BM692" i="74"/>
  <c r="BM697" i="74" s="1"/>
  <c r="BR555" i="74"/>
  <c r="BV545" i="74"/>
  <c r="U764" i="74"/>
  <c r="U769" i="74" s="1"/>
  <c r="AU701" i="74"/>
  <c r="AU702" i="74" s="1"/>
  <c r="AU704" i="74" s="1"/>
  <c r="CM701" i="74"/>
  <c r="CG837" i="74"/>
  <c r="CD919" i="74"/>
  <c r="CD920" i="74" s="1"/>
  <c r="CD922" i="74" s="1"/>
  <c r="CH837" i="74"/>
  <c r="CJ545" i="74"/>
  <c r="AQ695" i="74"/>
  <c r="AQ691" i="74"/>
  <c r="AQ696" i="74" s="1"/>
  <c r="AQ692" i="74"/>
  <c r="AQ697" i="74" s="1"/>
  <c r="AN765" i="74"/>
  <c r="AN770" i="74" s="1"/>
  <c r="AN774" i="74" s="1"/>
  <c r="BG545" i="74"/>
  <c r="AJ764" i="74"/>
  <c r="P836" i="74"/>
  <c r="AB544" i="74"/>
  <c r="AB549" i="74" s="1"/>
  <c r="AI544" i="74"/>
  <c r="AI549" i="74" s="1"/>
  <c r="CB765" i="74"/>
  <c r="CB770" i="74" s="1"/>
  <c r="CB774" i="74" s="1"/>
  <c r="AV774" i="74"/>
  <c r="AV775" i="74" s="1"/>
  <c r="AV777" i="74" s="1"/>
  <c r="AD544" i="74"/>
  <c r="AD549" i="74" s="1"/>
  <c r="AR545" i="74"/>
  <c r="AR550" i="74" s="1"/>
  <c r="BI545" i="74"/>
  <c r="CA527" i="74"/>
  <c r="CA523" i="74"/>
  <c r="CA528" i="74" s="1"/>
  <c r="BC532" i="74"/>
  <c r="AF691" i="74"/>
  <c r="AR765" i="74"/>
  <c r="AR770" i="74" s="1"/>
  <c r="AR774" i="74" s="1"/>
  <c r="X523" i="74"/>
  <c r="X528" i="74" s="1"/>
  <c r="X532" i="74" s="1"/>
  <c r="AC522" i="74"/>
  <c r="AW774" i="74"/>
  <c r="AW775" i="74" s="1"/>
  <c r="AW777" i="74" s="1"/>
  <c r="BR774" i="74"/>
  <c r="BR775" i="74" s="1"/>
  <c r="BR777" i="74" s="1"/>
  <c r="CH765" i="74"/>
  <c r="CH770" i="74" s="1"/>
  <c r="BP774" i="74"/>
  <c r="AA764" i="74"/>
  <c r="AK522" i="74"/>
  <c r="BK713" i="74"/>
  <c r="BK718" i="74" s="1"/>
  <c r="AF545" i="74"/>
  <c r="AF550" i="74" s="1"/>
  <c r="CJ919" i="74"/>
  <c r="CJ920" i="74" s="1"/>
  <c r="CJ922" i="74" s="1"/>
  <c r="BC545" i="74"/>
  <c r="BP527" i="74"/>
  <c r="BP523" i="74"/>
  <c r="BP528" i="74" s="1"/>
  <c r="AM836" i="74"/>
  <c r="AM841" i="74" s="1"/>
  <c r="CJ786" i="74"/>
  <c r="CJ791" i="74" s="1"/>
  <c r="AU713" i="74"/>
  <c r="BL737" i="74"/>
  <c r="AX837" i="74"/>
  <c r="AX842" i="74" s="1"/>
  <c r="V895" i="74"/>
  <c r="V896" i="74" s="1"/>
  <c r="V898" i="74" s="1"/>
  <c r="CE837" i="74"/>
  <c r="U837" i="74"/>
  <c r="U838" i="74" s="1"/>
  <c r="U843" i="74" s="1"/>
  <c r="AI836" i="74"/>
  <c r="AI841" i="74" s="1"/>
  <c r="CD786" i="74"/>
  <c r="CD791" i="74" s="1"/>
  <c r="AX860" i="74"/>
  <c r="AI859" i="74"/>
  <c r="AI864" i="74" s="1"/>
  <c r="BW860" i="74"/>
  <c r="R836" i="74"/>
  <c r="BY860" i="74"/>
  <c r="BK737" i="74"/>
  <c r="BK742" i="74" s="1"/>
  <c r="BU786" i="74"/>
  <c r="BU791" i="74" s="1"/>
  <c r="AZ786" i="74"/>
  <c r="AZ791" i="74" s="1"/>
  <c r="AT786" i="74"/>
  <c r="AT791" i="74" s="1"/>
  <c r="BC713" i="74"/>
  <c r="BC718" i="74" s="1"/>
  <c r="BJ713" i="74"/>
  <c r="BJ718" i="74" s="1"/>
  <c r="CI810" i="74"/>
  <c r="CI815" i="74" s="1"/>
  <c r="BP810" i="74"/>
  <c r="BP815" i="74" s="1"/>
  <c r="CG786" i="74"/>
  <c r="CG791" i="74" s="1"/>
  <c r="BF786" i="74"/>
  <c r="BF791" i="74" s="1"/>
  <c r="BL810" i="74"/>
  <c r="BL815" i="74" s="1"/>
  <c r="CK810" i="74"/>
  <c r="CK815" i="74" s="1"/>
  <c r="BB737" i="74"/>
  <c r="BB742" i="74" s="1"/>
  <c r="CK837" i="74"/>
  <c r="BK895" i="74"/>
  <c r="BK896" i="74" s="1"/>
  <c r="BK898" i="74" s="1"/>
  <c r="AD910" i="74"/>
  <c r="AD915" i="74" s="1"/>
  <c r="AD919" i="74" s="1"/>
  <c r="BW737" i="74"/>
  <c r="BW742" i="74" s="1"/>
  <c r="AV786" i="74"/>
  <c r="BZ737" i="74"/>
  <c r="BZ742" i="74" s="1"/>
  <c r="BY810" i="74"/>
  <c r="BY815" i="74" s="1"/>
  <c r="AZ895" i="74"/>
  <c r="BB810" i="74"/>
  <c r="BB815" i="74" s="1"/>
  <c r="CM786" i="74"/>
  <c r="CM791" i="74" s="1"/>
  <c r="AH859" i="74"/>
  <c r="AH864" i="74" s="1"/>
  <c r="AP859" i="74"/>
  <c r="AP864" i="74" s="1"/>
  <c r="AB859" i="74"/>
  <c r="AB864" i="74" s="1"/>
  <c r="BI810" i="74"/>
  <c r="BI815" i="74" s="1"/>
  <c r="BS810" i="74"/>
  <c r="BS815" i="74" s="1"/>
  <c r="W859" i="74"/>
  <c r="W864" i="74" s="1"/>
  <c r="AR836" i="74"/>
  <c r="AR841" i="74" s="1"/>
  <c r="BN786" i="74"/>
  <c r="BN791" i="74" s="1"/>
  <c r="BO810" i="74"/>
  <c r="BO815" i="74" s="1"/>
  <c r="AT810" i="74"/>
  <c r="AT815" i="74" s="1"/>
  <c r="AH898" i="74"/>
  <c r="CL837" i="74"/>
  <c r="BN919" i="74"/>
  <c r="BN920" i="74" s="1"/>
  <c r="BN922" i="74" s="1"/>
  <c r="CM713" i="74"/>
  <c r="CM718" i="74" s="1"/>
  <c r="BZ810" i="74"/>
  <c r="BZ815" i="74" s="1"/>
  <c r="BA861" i="74"/>
  <c r="BA866" i="74" s="1"/>
  <c r="BA870" i="74" s="1"/>
  <c r="BA871" i="74" s="1"/>
  <c r="BA873" i="74" s="1"/>
  <c r="BA810" i="74"/>
  <c r="BA815" i="74" s="1"/>
  <c r="BT713" i="74"/>
  <c r="BT718" i="74" s="1"/>
  <c r="AN859" i="74"/>
  <c r="AN864" i="74" s="1"/>
  <c r="CK786" i="74"/>
  <c r="CK791" i="74" s="1"/>
  <c r="BX810" i="74"/>
  <c r="BX815" i="74" s="1"/>
  <c r="AO836" i="74"/>
  <c r="AO841" i="74" s="1"/>
  <c r="BM786" i="74"/>
  <c r="BM791" i="74" s="1"/>
  <c r="AQ859" i="74"/>
  <c r="BZ786" i="74"/>
  <c r="BZ791" i="74" s="1"/>
  <c r="AI860" i="74"/>
  <c r="AI865" i="74" s="1"/>
  <c r="AY810" i="74"/>
  <c r="AY815" i="74" s="1"/>
  <c r="BG713" i="74"/>
  <c r="BG718" i="74" s="1"/>
  <c r="Q796" i="74"/>
  <c r="BL786" i="74"/>
  <c r="BL791" i="74" s="1"/>
  <c r="BD713" i="74"/>
  <c r="BD718" i="74" s="1"/>
  <c r="X859" i="74"/>
  <c r="X864" i="74" s="1"/>
  <c r="AC859" i="74"/>
  <c r="AC864" i="74" s="1"/>
  <c r="CL810" i="74"/>
  <c r="CL815" i="74" s="1"/>
  <c r="BV837" i="74"/>
  <c r="CL896" i="74"/>
  <c r="CL898" i="74" s="1"/>
  <c r="AG837" i="74"/>
  <c r="AG838" i="74" s="1"/>
  <c r="AG843" i="74" s="1"/>
  <c r="AF919" i="74"/>
  <c r="AV896" i="74"/>
  <c r="AV898" i="74" s="1"/>
  <c r="AM859" i="74"/>
  <c r="AM864" i="74" s="1"/>
  <c r="BH737" i="74"/>
  <c r="BH742" i="74" s="1"/>
  <c r="BR786" i="74"/>
  <c r="CA737" i="74"/>
  <c r="AY737" i="74"/>
  <c r="AY742" i="74" s="1"/>
  <c r="S890" i="74"/>
  <c r="BC737" i="74"/>
  <c r="BA837" i="74"/>
  <c r="CM810" i="74"/>
  <c r="AK836" i="74"/>
  <c r="AK841" i="74" s="1"/>
  <c r="BU810" i="74"/>
  <c r="BU815" i="74" s="1"/>
  <c r="CC787" i="74"/>
  <c r="CC792" i="74" s="1"/>
  <c r="AT737" i="74"/>
  <c r="AT742" i="74" s="1"/>
  <c r="CD895" i="74"/>
  <c r="AA895" i="74"/>
  <c r="AA896" i="74" s="1"/>
  <c r="AA898" i="74" s="1"/>
  <c r="CM837" i="74"/>
  <c r="CC886" i="74"/>
  <c r="CC891" i="74" s="1"/>
  <c r="CC895" i="74" s="1"/>
  <c r="AA836" i="74"/>
  <c r="AA841" i="74" s="1"/>
  <c r="BM713" i="74"/>
  <c r="BM718" i="74" s="1"/>
  <c r="AH836" i="74"/>
  <c r="AH841" i="74" s="1"/>
  <c r="BA786" i="74"/>
  <c r="BA791" i="74" s="1"/>
  <c r="AY713" i="74"/>
  <c r="AY718" i="74" s="1"/>
  <c r="Y859" i="74"/>
  <c r="BK738" i="74"/>
  <c r="BK743" i="74" s="1"/>
  <c r="AN836" i="74"/>
  <c r="AX713" i="74"/>
  <c r="AX718" i="74" s="1"/>
  <c r="CK713" i="74"/>
  <c r="CK718" i="74" s="1"/>
  <c r="AV738" i="74"/>
  <c r="AV743" i="74" s="1"/>
  <c r="CN737" i="74"/>
  <c r="CN742" i="74" s="1"/>
  <c r="BW786" i="74"/>
  <c r="BW791" i="74" s="1"/>
  <c r="CK870" i="74"/>
  <c r="CA786" i="74"/>
  <c r="CA791" i="74" s="1"/>
  <c r="AX737" i="74"/>
  <c r="AX742" i="74" s="1"/>
  <c r="BK870" i="74"/>
  <c r="BK871" i="74" s="1"/>
  <c r="BK873" i="74" s="1"/>
  <c r="CN810" i="74"/>
  <c r="CN815" i="74" s="1"/>
  <c r="BK838" i="74"/>
  <c r="BK843" i="74" s="1"/>
  <c r="BK847" i="74" s="1"/>
  <c r="BK848" i="74" s="1"/>
  <c r="BK850" i="74" s="1"/>
  <c r="AQ836" i="74"/>
  <c r="AQ841" i="74" s="1"/>
  <c r="AZ737" i="74"/>
  <c r="AZ742" i="74" s="1"/>
  <c r="BV786" i="74"/>
  <c r="BV791" i="74" s="1"/>
  <c r="BO786" i="74"/>
  <c r="BO791" i="74" s="1"/>
  <c r="CE810" i="74"/>
  <c r="CE815" i="74" s="1"/>
  <c r="BJ737" i="74"/>
  <c r="BJ742" i="74" s="1"/>
  <c r="AK895" i="74"/>
  <c r="BQ787" i="74"/>
  <c r="BQ788" i="74" s="1"/>
  <c r="S885" i="74"/>
  <c r="BJ919" i="74"/>
  <c r="BJ920" i="74" s="1"/>
  <c r="BJ922" i="74" s="1"/>
  <c r="CB895" i="74"/>
  <c r="CB896" i="74" s="1"/>
  <c r="CB898" i="74" s="1"/>
  <c r="CM860" i="74"/>
  <c r="BD860" i="74"/>
  <c r="AU860" i="74"/>
  <c r="S914" i="74"/>
  <c r="BW837" i="74"/>
  <c r="AX810" i="74"/>
  <c r="AX815" i="74" s="1"/>
  <c r="CD810" i="74"/>
  <c r="CD815" i="74" s="1"/>
  <c r="V836" i="74"/>
  <c r="V841" i="74" s="1"/>
  <c r="CD713" i="74"/>
  <c r="CD718" i="74" s="1"/>
  <c r="BB786" i="74"/>
  <c r="BB791" i="74" s="1"/>
  <c r="CA713" i="74"/>
  <c r="CA718" i="74" s="1"/>
  <c r="CL713" i="74"/>
  <c r="CL718" i="74" s="1"/>
  <c r="CG713" i="74"/>
  <c r="CG718" i="74" s="1"/>
  <c r="BI787" i="74"/>
  <c r="BI792" i="74" s="1"/>
  <c r="CE713" i="74"/>
  <c r="CE718" i="74" s="1"/>
  <c r="BU837" i="74"/>
  <c r="BG737" i="74"/>
  <c r="BG742" i="74" s="1"/>
  <c r="CH786" i="74"/>
  <c r="CH791" i="74" s="1"/>
  <c r="BV713" i="74"/>
  <c r="BV718" i="74" s="1"/>
  <c r="CH713" i="74"/>
  <c r="CH718" i="74" s="1"/>
  <c r="BR860" i="74"/>
  <c r="BX737" i="74"/>
  <c r="BX742" i="74" s="1"/>
  <c r="BN737" i="74"/>
  <c r="BN742" i="74" s="1"/>
  <c r="AL836" i="74"/>
  <c r="AL841" i="74" s="1"/>
  <c r="CH737" i="74"/>
  <c r="CH742" i="74" s="1"/>
  <c r="AR859" i="74"/>
  <c r="AR864" i="74" s="1"/>
  <c r="AZ810" i="74"/>
  <c r="AZ815" i="74" s="1"/>
  <c r="BD737" i="74"/>
  <c r="BD742" i="74" s="1"/>
  <c r="BT786" i="74"/>
  <c r="BT791" i="74" s="1"/>
  <c r="BY713" i="74"/>
  <c r="BY718" i="74" s="1"/>
  <c r="BM860" i="74"/>
  <c r="BU860" i="74"/>
  <c r="BX837" i="74"/>
  <c r="BP864" i="74"/>
  <c r="BP860" i="74"/>
  <c r="AK914" i="74"/>
  <c r="AK910" i="74"/>
  <c r="AK915" i="74" s="1"/>
  <c r="V702" i="74"/>
  <c r="V704" i="74"/>
  <c r="BJ775" i="74"/>
  <c r="BJ777" i="74" s="1"/>
  <c r="BY775" i="74"/>
  <c r="BY777" i="74" s="1"/>
  <c r="CH702" i="74"/>
  <c r="CH704" i="74"/>
  <c r="AH702" i="74"/>
  <c r="AH704" i="74"/>
  <c r="BK533" i="74"/>
  <c r="BK535" i="74" s="1"/>
  <c r="AW702" i="74"/>
  <c r="AW704" i="74" s="1"/>
  <c r="Z920" i="74"/>
  <c r="Z922" i="74" s="1"/>
  <c r="BH775" i="74"/>
  <c r="BH777" i="74" s="1"/>
  <c r="AZ533" i="74"/>
  <c r="AZ535" i="74" s="1"/>
  <c r="AT702" i="74"/>
  <c r="AT704" i="74" s="1"/>
  <c r="BK702" i="74"/>
  <c r="BK704" i="74" s="1"/>
  <c r="BX920" i="74"/>
  <c r="BX922" i="74" s="1"/>
  <c r="AA702" i="74"/>
  <c r="AA704" i="74"/>
  <c r="BH702" i="74"/>
  <c r="BH704" i="74" s="1"/>
  <c r="BE696" i="74"/>
  <c r="Q696" i="74" s="1"/>
  <c r="Q691" i="74"/>
  <c r="BE692" i="74"/>
  <c r="CA702" i="74"/>
  <c r="CA704" i="74" s="1"/>
  <c r="X533" i="74"/>
  <c r="CJ533" i="74"/>
  <c r="CJ535" i="74" s="1"/>
  <c r="CK871" i="74"/>
  <c r="CK873" i="74" s="1"/>
  <c r="AR702" i="74"/>
  <c r="AR704" i="74" s="1"/>
  <c r="CL702" i="74"/>
  <c r="CL704" i="74" s="1"/>
  <c r="CG775" i="74"/>
  <c r="CG777" i="74"/>
  <c r="BW533" i="74"/>
  <c r="BW535" i="74" s="1"/>
  <c r="AT896" i="74"/>
  <c r="AT898" i="74" s="1"/>
  <c r="CM896" i="74"/>
  <c r="CM898" i="74" s="1"/>
  <c r="BG871" i="74"/>
  <c r="BG873" i="74" s="1"/>
  <c r="BK920" i="74"/>
  <c r="BK922" i="74" s="1"/>
  <c r="BR556" i="74"/>
  <c r="BR558" i="74" s="1"/>
  <c r="BV702" i="74"/>
  <c r="BV704" i="74" s="1"/>
  <c r="CG702" i="74"/>
  <c r="CG704" i="74" s="1"/>
  <c r="CM702" i="74"/>
  <c r="CM704" i="74"/>
  <c r="AB896" i="74"/>
  <c r="AB898" i="74" s="1"/>
  <c r="AB920" i="74"/>
  <c r="AB922" i="74" s="1"/>
  <c r="BA702" i="74"/>
  <c r="BA704" i="74" s="1"/>
  <c r="AF775" i="74"/>
  <c r="AW896" i="74"/>
  <c r="AW898" i="74" s="1"/>
  <c r="AP702" i="74"/>
  <c r="AP704" i="74" s="1"/>
  <c r="CI702" i="74"/>
  <c r="CI704" i="74"/>
  <c r="AN896" i="74"/>
  <c r="AN898" i="74" s="1"/>
  <c r="AT848" i="74"/>
  <c r="AT850" i="74" s="1"/>
  <c r="AE702" i="74"/>
  <c r="AE704" i="74" s="1"/>
  <c r="BL775" i="74"/>
  <c r="BL777" i="74" s="1"/>
  <c r="BJ533" i="74"/>
  <c r="BJ535" i="74" s="1"/>
  <c r="AG769" i="74"/>
  <c r="CK556" i="74"/>
  <c r="CK558" i="74" s="1"/>
  <c r="AY533" i="74"/>
  <c r="AY535" i="74" s="1"/>
  <c r="AF920" i="74"/>
  <c r="AF922" i="74" s="1"/>
  <c r="CI775" i="74"/>
  <c r="CI777" i="74" s="1"/>
  <c r="BP775" i="74"/>
  <c r="BP777" i="74"/>
  <c r="BO702" i="74"/>
  <c r="BO704" i="74"/>
  <c r="CM549" i="74"/>
  <c r="AM526" i="74"/>
  <c r="BC920" i="74"/>
  <c r="BC922" i="74" s="1"/>
  <c r="CF775" i="74"/>
  <c r="CF777" i="74" s="1"/>
  <c r="CD533" i="74"/>
  <c r="CD535" i="74" s="1"/>
  <c r="CB589" i="74"/>
  <c r="CB491" i="74"/>
  <c r="CB613" i="74" s="1"/>
  <c r="BW637" i="74"/>
  <c r="BW493" i="74"/>
  <c r="BW661" i="74" s="1"/>
  <c r="BR567" i="74"/>
  <c r="BR572" i="74" s="1"/>
  <c r="BR578" i="74"/>
  <c r="BE589" i="74"/>
  <c r="BE491" i="74"/>
  <c r="Q490" i="74"/>
  <c r="BO637" i="74"/>
  <c r="BO493" i="74"/>
  <c r="BO661" i="74" s="1"/>
  <c r="BJ567" i="74"/>
  <c r="BJ572" i="74" s="1"/>
  <c r="BJ578" i="74"/>
  <c r="BN702" i="74"/>
  <c r="BN704" i="74" s="1"/>
  <c r="BU737" i="74"/>
  <c r="BU742" i="74" s="1"/>
  <c r="BP841" i="74"/>
  <c r="AR796" i="74"/>
  <c r="AR785" i="74"/>
  <c r="AR790" i="74" s="1"/>
  <c r="Q785" i="74"/>
  <c r="BE790" i="74"/>
  <c r="R544" i="74"/>
  <c r="BQ549" i="74"/>
  <c r="BQ548" i="74"/>
  <c r="R543" i="74"/>
  <c r="AA747" i="74"/>
  <c r="AA736" i="74"/>
  <c r="AA741" i="74" s="1"/>
  <c r="AY589" i="74"/>
  <c r="AY491" i="74"/>
  <c r="AY613" i="74" s="1"/>
  <c r="AT637" i="74"/>
  <c r="AT493" i="74"/>
  <c r="AT661" i="74" s="1"/>
  <c r="AV702" i="74"/>
  <c r="AV704" i="74" s="1"/>
  <c r="CA841" i="74"/>
  <c r="CA837" i="74"/>
  <c r="CA842" i="74" s="1"/>
  <c r="AG914" i="74"/>
  <c r="O909" i="74"/>
  <c r="AG910" i="74"/>
  <c r="BJ549" i="74"/>
  <c r="BW920" i="74"/>
  <c r="BW922" i="74" s="1"/>
  <c r="AS697" i="74"/>
  <c r="BQ915" i="74"/>
  <c r="R915" i="74" s="1"/>
  <c r="R910" i="74"/>
  <c r="AK545" i="74"/>
  <c r="AK550" i="74" s="1"/>
  <c r="BZ549" i="74"/>
  <c r="BJ864" i="74"/>
  <c r="O891" i="74"/>
  <c r="AK695" i="74"/>
  <c r="AK691" i="74"/>
  <c r="X764" i="74"/>
  <c r="X769" i="74" s="1"/>
  <c r="BF837" i="74"/>
  <c r="BF842" i="74" s="1"/>
  <c r="P764" i="74"/>
  <c r="AS769" i="74"/>
  <c r="AS548" i="74"/>
  <c r="P543" i="74"/>
  <c r="BW787" i="74"/>
  <c r="BW792" i="74" s="1"/>
  <c r="AF809" i="74"/>
  <c r="AF814" i="74" s="1"/>
  <c r="AF820" i="74"/>
  <c r="AS527" i="74"/>
  <c r="P522" i="74"/>
  <c r="AM522" i="74"/>
  <c r="AM527" i="74" s="1"/>
  <c r="BR896" i="74"/>
  <c r="BR898" i="74" s="1"/>
  <c r="CC809" i="74"/>
  <c r="CC820" i="74"/>
  <c r="S820" i="74" s="1"/>
  <c r="S807" i="74"/>
  <c r="BY920" i="74"/>
  <c r="BY922" i="74"/>
  <c r="AZ713" i="74"/>
  <c r="AZ718" i="74" s="1"/>
  <c r="AG895" i="74"/>
  <c r="AO712" i="74"/>
  <c r="AO717" i="74" s="1"/>
  <c r="AO723" i="74"/>
  <c r="AI723" i="74"/>
  <c r="AI712" i="74"/>
  <c r="AI717" i="74" s="1"/>
  <c r="CC770" i="74"/>
  <c r="BL527" i="74"/>
  <c r="BL523" i="74"/>
  <c r="BL528" i="74" s="1"/>
  <c r="CI861" i="74"/>
  <c r="CI866" i="74" s="1"/>
  <c r="CI870" i="74" s="1"/>
  <c r="AX769" i="74"/>
  <c r="AX765" i="74"/>
  <c r="AX770" i="74" s="1"/>
  <c r="AX774" i="74" s="1"/>
  <c r="CN578" i="74"/>
  <c r="CN567" i="74"/>
  <c r="CN572" i="74" s="1"/>
  <c r="CD589" i="74"/>
  <c r="CD491" i="74"/>
  <c r="CD613" i="74" s="1"/>
  <c r="BY589" i="74"/>
  <c r="BY491" i="74"/>
  <c r="BY613" i="74" s="1"/>
  <c r="BX637" i="74"/>
  <c r="BX493" i="74"/>
  <c r="BX661" i="74" s="1"/>
  <c r="BS567" i="74"/>
  <c r="BS572" i="74" s="1"/>
  <c r="BS578" i="74"/>
  <c r="BP589" i="74"/>
  <c r="BP491" i="74"/>
  <c r="BP613" i="74" s="1"/>
  <c r="BK637" i="74"/>
  <c r="BK493" i="74"/>
  <c r="BK661" i="74" s="1"/>
  <c r="BF567" i="74"/>
  <c r="BF572" i="74" s="1"/>
  <c r="BF578" i="74"/>
  <c r="BE843" i="74"/>
  <c r="BM775" i="74"/>
  <c r="BM777" i="74"/>
  <c r="AV920" i="74"/>
  <c r="AV922" i="74" s="1"/>
  <c r="AO809" i="74"/>
  <c r="AO814" i="74" s="1"/>
  <c r="AO820" i="74"/>
  <c r="AI820" i="74"/>
  <c r="AI809" i="74"/>
  <c r="AI814" i="74" s="1"/>
  <c r="AS891" i="74"/>
  <c r="P891" i="74" s="1"/>
  <c r="P886" i="74"/>
  <c r="X702" i="74"/>
  <c r="X704" i="74" s="1"/>
  <c r="AK765" i="74"/>
  <c r="AK770" i="74" s="1"/>
  <c r="AK774" i="74" s="1"/>
  <c r="AC723" i="74"/>
  <c r="AC712" i="74"/>
  <c r="AC717" i="74" s="1"/>
  <c r="W712" i="74"/>
  <c r="W717" i="74" s="1"/>
  <c r="W723" i="74"/>
  <c r="BA578" i="74"/>
  <c r="BA567" i="74"/>
  <c r="BA572" i="74" s="1"/>
  <c r="AU589" i="74"/>
  <c r="AU491" i="74"/>
  <c r="AU613" i="74" s="1"/>
  <c r="AD545" i="74"/>
  <c r="AD550" i="74" s="1"/>
  <c r="AL696" i="74"/>
  <c r="AL692" i="74"/>
  <c r="AL697" i="74" s="1"/>
  <c r="CH864" i="74"/>
  <c r="O913" i="74"/>
  <c r="O541" i="74"/>
  <c r="AG543" i="74"/>
  <c r="AG544" i="74" s="1"/>
  <c r="AG554" i="74"/>
  <c r="O554" i="74" s="1"/>
  <c r="BD546" i="74"/>
  <c r="BD551" i="74" s="1"/>
  <c r="BD555" i="74" s="1"/>
  <c r="AO764" i="74"/>
  <c r="AO769" i="74" s="1"/>
  <c r="N891" i="74"/>
  <c r="BX811" i="74"/>
  <c r="BX816" i="74" s="1"/>
  <c r="AD765" i="74"/>
  <c r="AD770" i="74" s="1"/>
  <c r="AD774" i="74" s="1"/>
  <c r="BL811" i="74"/>
  <c r="BL816" i="74" s="1"/>
  <c r="BL838" i="74"/>
  <c r="BL843" i="74" s="1"/>
  <c r="BL847" i="74" s="1"/>
  <c r="AC809" i="74"/>
  <c r="AC814" i="74" s="1"/>
  <c r="AC820" i="74"/>
  <c r="W820" i="74"/>
  <c r="W809" i="74"/>
  <c r="W814" i="74" s="1"/>
  <c r="AS791" i="74"/>
  <c r="O856" i="74"/>
  <c r="AG869" i="74"/>
  <c r="O869" i="74" s="1"/>
  <c r="AG858" i="74"/>
  <c r="AG859" i="74" s="1"/>
  <c r="AO692" i="74"/>
  <c r="AO697" i="74" s="1"/>
  <c r="AO701" i="74" s="1"/>
  <c r="CB838" i="74"/>
  <c r="CB843" i="74" s="1"/>
  <c r="CB847" i="74" s="1"/>
  <c r="R712" i="74"/>
  <c r="BQ717" i="74"/>
  <c r="BM896" i="74"/>
  <c r="BM898" i="74"/>
  <c r="AJ736" i="74"/>
  <c r="AJ741" i="74" s="1"/>
  <c r="AJ747" i="74"/>
  <c r="BG838" i="74"/>
  <c r="BG843" i="74" s="1"/>
  <c r="BG847" i="74" s="1"/>
  <c r="BL713" i="74"/>
  <c r="BL718" i="74" s="1"/>
  <c r="CC717" i="74"/>
  <c r="S712" i="74"/>
  <c r="CK589" i="74"/>
  <c r="CK491" i="74"/>
  <c r="CK613" i="74" s="1"/>
  <c r="CJ637" i="74"/>
  <c r="CJ493" i="74"/>
  <c r="CJ661" i="74" s="1"/>
  <c r="CE567" i="74"/>
  <c r="CE572" i="74" s="1"/>
  <c r="CE578" i="74"/>
  <c r="S690" i="74"/>
  <c r="CC695" i="74"/>
  <c r="S695" i="74" s="1"/>
  <c r="CC691" i="74"/>
  <c r="AK837" i="74"/>
  <c r="AK842" i="74" s="1"/>
  <c r="BU589" i="74"/>
  <c r="BU491" i="74"/>
  <c r="BU613" i="74" s="1"/>
  <c r="BT637" i="74"/>
  <c r="BT493" i="74"/>
  <c r="BT661" i="74" s="1"/>
  <c r="BZ567" i="74"/>
  <c r="BZ572" i="74" s="1"/>
  <c r="BZ578" i="74"/>
  <c r="Z565" i="74"/>
  <c r="Z490" i="74"/>
  <c r="Z492" i="74"/>
  <c r="AE565" i="74"/>
  <c r="AE492" i="74"/>
  <c r="AE490" i="74"/>
  <c r="U565" i="74"/>
  <c r="U490" i="74"/>
  <c r="N489" i="74"/>
  <c r="U492" i="74"/>
  <c r="BM637" i="74"/>
  <c r="BM493" i="74"/>
  <c r="BM661" i="74" s="1"/>
  <c r="BL578" i="74"/>
  <c r="BL567" i="74"/>
  <c r="BL572" i="74" s="1"/>
  <c r="Q836" i="74"/>
  <c r="BH920" i="74"/>
  <c r="BH922" i="74" s="1"/>
  <c r="BW692" i="74"/>
  <c r="BW697" i="74" s="1"/>
  <c r="AK796" i="74"/>
  <c r="AK785" i="74"/>
  <c r="AK790" i="74" s="1"/>
  <c r="CF713" i="74"/>
  <c r="CF718" i="74" s="1"/>
  <c r="Y692" i="74"/>
  <c r="Y697" i="74" s="1"/>
  <c r="Y701" i="74" s="1"/>
  <c r="AI565" i="74"/>
  <c r="AI492" i="74"/>
  <c r="AI490" i="74"/>
  <c r="AN565" i="74"/>
  <c r="AN492" i="74"/>
  <c r="AN490" i="74"/>
  <c r="AO565" i="74"/>
  <c r="AO492" i="74"/>
  <c r="AO490" i="74"/>
  <c r="BT837" i="74"/>
  <c r="BU811" i="74"/>
  <c r="BU816" i="74" s="1"/>
  <c r="Y712" i="74"/>
  <c r="Y717" i="74" s="1"/>
  <c r="Y723" i="74"/>
  <c r="AD723" i="74"/>
  <c r="AD712" i="74"/>
  <c r="AD717" i="74" s="1"/>
  <c r="AW578" i="74"/>
  <c r="AW567" i="74"/>
  <c r="AW572" i="74" s="1"/>
  <c r="BB589" i="74"/>
  <c r="BB491" i="74"/>
  <c r="BB613" i="74" s="1"/>
  <c r="AJ523" i="74"/>
  <c r="AJ528" i="74" s="1"/>
  <c r="AJ532" i="74" s="1"/>
  <c r="BA896" i="74"/>
  <c r="BA898" i="74" s="1"/>
  <c r="U543" i="74"/>
  <c r="U544" i="74" s="1"/>
  <c r="N541" i="74"/>
  <c r="U554" i="74"/>
  <c r="N554" i="74" s="1"/>
  <c r="CK811" i="74"/>
  <c r="CK816" i="74" s="1"/>
  <c r="BD837" i="74"/>
  <c r="CI545" i="74"/>
  <c r="Q544" i="74"/>
  <c r="BE549" i="74"/>
  <c r="Q543" i="74"/>
  <c r="BE548" i="74"/>
  <c r="Y522" i="74"/>
  <c r="R891" i="74"/>
  <c r="CC548" i="74"/>
  <c r="S543" i="74"/>
  <c r="BI737" i="74"/>
  <c r="BI742" i="74" s="1"/>
  <c r="AD785" i="74"/>
  <c r="AD790" i="74" s="1"/>
  <c r="AD796" i="74"/>
  <c r="X796" i="74"/>
  <c r="X785" i="74"/>
  <c r="X790" i="74" s="1"/>
  <c r="BS765" i="74"/>
  <c r="BS770" i="74" s="1"/>
  <c r="BS774" i="74" s="1"/>
  <c r="AZ765" i="74"/>
  <c r="AZ770" i="74" s="1"/>
  <c r="AZ774" i="74" s="1"/>
  <c r="S796" i="74"/>
  <c r="AG734" i="74"/>
  <c r="O498" i="74"/>
  <c r="AL747" i="74"/>
  <c r="AL736" i="74"/>
  <c r="AL741" i="74" s="1"/>
  <c r="Q525" i="74"/>
  <c r="CG589" i="74"/>
  <c r="CG491" i="74"/>
  <c r="CG613" i="74" s="1"/>
  <c r="CF637" i="74"/>
  <c r="CF493" i="74"/>
  <c r="CF661" i="74" s="1"/>
  <c r="CL567" i="74"/>
  <c r="CL572" i="74" s="1"/>
  <c r="CL578" i="74"/>
  <c r="CC527" i="74"/>
  <c r="S522" i="74"/>
  <c r="AK896" i="74"/>
  <c r="AK898" i="74" s="1"/>
  <c r="AA914" i="74"/>
  <c r="AA910" i="74"/>
  <c r="AA915" i="74" s="1"/>
  <c r="O521" i="74"/>
  <c r="AG526" i="74"/>
  <c r="AG522" i="74"/>
  <c r="AG523" i="74" s="1"/>
  <c r="CI533" i="74"/>
  <c r="CI535" i="74" s="1"/>
  <c r="BQ637" i="74"/>
  <c r="BQ493" i="74"/>
  <c r="R492" i="74"/>
  <c r="CA567" i="74"/>
  <c r="CA572" i="74" s="1"/>
  <c r="CA578" i="74"/>
  <c r="BI637" i="74"/>
  <c r="BI493" i="74"/>
  <c r="BI661" i="74" s="1"/>
  <c r="BH578" i="74"/>
  <c r="BH567" i="74"/>
  <c r="BH572" i="74" s="1"/>
  <c r="AL796" i="74"/>
  <c r="AL785" i="74"/>
  <c r="AL790" i="74" s="1"/>
  <c r="AQ820" i="74"/>
  <c r="AQ809" i="74"/>
  <c r="AQ814" i="74" s="1"/>
  <c r="BZ787" i="74"/>
  <c r="BZ792" i="74" s="1"/>
  <c r="U734" i="74"/>
  <c r="N498" i="74"/>
  <c r="Z747" i="74"/>
  <c r="Z736" i="74"/>
  <c r="Z741" i="74" s="1"/>
  <c r="AS589" i="74"/>
  <c r="AS491" i="74"/>
  <c r="P490" i="74"/>
  <c r="BC589" i="74"/>
  <c r="BC491" i="74"/>
  <c r="BC613" i="74" s="1"/>
  <c r="AX637" i="74"/>
  <c r="AX493" i="74"/>
  <c r="AX661" i="74" s="1"/>
  <c r="CN713" i="74"/>
  <c r="CN718" i="74" s="1"/>
  <c r="AE820" i="74"/>
  <c r="AE809" i="74"/>
  <c r="AE814" i="74" s="1"/>
  <c r="AS843" i="74"/>
  <c r="AM747" i="74"/>
  <c r="AM736" i="74"/>
  <c r="AM741" i="74" s="1"/>
  <c r="BH841" i="74"/>
  <c r="U694" i="74"/>
  <c r="N689" i="74"/>
  <c r="AT871" i="74"/>
  <c r="AT873" i="74" s="1"/>
  <c r="AU841" i="74"/>
  <c r="AU837" i="74"/>
  <c r="AU842" i="74" s="1"/>
  <c r="BX549" i="74"/>
  <c r="AU775" i="74"/>
  <c r="AU777" i="74" s="1"/>
  <c r="CG549" i="74"/>
  <c r="CG546" i="74"/>
  <c r="CG551" i="74" s="1"/>
  <c r="AL920" i="74"/>
  <c r="AL922" i="74" s="1"/>
  <c r="AU527" i="74"/>
  <c r="AU523" i="74"/>
  <c r="AU528" i="74" s="1"/>
  <c r="N846" i="74"/>
  <c r="Z859" i="74"/>
  <c r="Z864" i="74" s="1"/>
  <c r="AM712" i="74"/>
  <c r="AM717" i="74" s="1"/>
  <c r="AM723" i="74"/>
  <c r="AE920" i="74"/>
  <c r="AE922" i="74" s="1"/>
  <c r="CC578" i="74"/>
  <c r="S565" i="74"/>
  <c r="CC567" i="74"/>
  <c r="CH589" i="74"/>
  <c r="CH491" i="74"/>
  <c r="CH613" i="74" s="1"/>
  <c r="U690" i="74"/>
  <c r="BP692" i="74"/>
  <c r="BP697" i="74" s="1"/>
  <c r="BZ864" i="74"/>
  <c r="BZ861" i="74"/>
  <c r="BZ866" i="74" s="1"/>
  <c r="AX895" i="74"/>
  <c r="V526" i="74"/>
  <c r="V523" i="74"/>
  <c r="V528" i="74" s="1"/>
  <c r="BQ695" i="74"/>
  <c r="R695" i="74" s="1"/>
  <c r="R690" i="74"/>
  <c r="BQ691" i="74"/>
  <c r="BQ692" i="74" s="1"/>
  <c r="CF864" i="74"/>
  <c r="CB637" i="74"/>
  <c r="CB493" i="74"/>
  <c r="CB661" i="74" s="1"/>
  <c r="BW567" i="74"/>
  <c r="BW572" i="74" s="1"/>
  <c r="BW578" i="74"/>
  <c r="BE637" i="74"/>
  <c r="BE493" i="74"/>
  <c r="Q492" i="74"/>
  <c r="BO567" i="74"/>
  <c r="BO572" i="74" s="1"/>
  <c r="BO578" i="74"/>
  <c r="AU786" i="74"/>
  <c r="AU791" i="74" s="1"/>
  <c r="BZ774" i="74"/>
  <c r="AY920" i="74"/>
  <c r="AY922" i="74" s="1"/>
  <c r="BP549" i="74"/>
  <c r="AH820" i="74"/>
  <c r="AH809" i="74"/>
  <c r="AH814" i="74" s="1"/>
  <c r="AM820" i="74"/>
  <c r="AM809" i="74"/>
  <c r="AM814" i="74" s="1"/>
  <c r="CN774" i="74"/>
  <c r="BY841" i="74"/>
  <c r="R841" i="74" s="1"/>
  <c r="BY838" i="74"/>
  <c r="BY843" i="74" s="1"/>
  <c r="AH919" i="74"/>
  <c r="BQ545" i="74"/>
  <c r="AY774" i="74"/>
  <c r="AE526" i="74"/>
  <c r="AA712" i="74"/>
  <c r="AA717" i="74" s="1"/>
  <c r="AA723" i="74"/>
  <c r="BD589" i="74"/>
  <c r="BD491" i="74"/>
  <c r="BD613" i="74" s="1"/>
  <c r="AY637" i="74"/>
  <c r="AY493" i="74"/>
  <c r="AY661" i="74" s="1"/>
  <c r="AT567" i="74"/>
  <c r="AT572" i="74" s="1"/>
  <c r="AT578" i="74"/>
  <c r="AS718" i="74"/>
  <c r="AS714" i="74"/>
  <c r="BL920" i="74"/>
  <c r="BL922" i="74" s="1"/>
  <c r="CM774" i="74"/>
  <c r="AC695" i="74"/>
  <c r="AC691" i="74"/>
  <c r="AC696" i="74" s="1"/>
  <c r="AI768" i="74"/>
  <c r="AI765" i="74"/>
  <c r="AI770" i="74" s="1"/>
  <c r="BT549" i="74"/>
  <c r="AN526" i="74"/>
  <c r="AL544" i="74"/>
  <c r="AL549" i="74" s="1"/>
  <c r="AL545" i="74"/>
  <c r="AL550" i="74" s="1"/>
  <c r="AJ895" i="74"/>
  <c r="P694" i="74"/>
  <c r="BH810" i="74"/>
  <c r="BH815" i="74" s="1"/>
  <c r="BU532" i="74"/>
  <c r="CM545" i="74"/>
  <c r="CM550" i="74" s="1"/>
  <c r="CN738" i="74"/>
  <c r="CN743" i="74" s="1"/>
  <c r="U914" i="74"/>
  <c r="N909" i="74"/>
  <c r="AS915" i="74"/>
  <c r="P915" i="74" s="1"/>
  <c r="P910" i="74"/>
  <c r="AS544" i="74"/>
  <c r="AS545" i="74"/>
  <c r="AF796" i="74"/>
  <c r="AF785" i="74"/>
  <c r="AF790" i="74" s="1"/>
  <c r="AS526" i="74"/>
  <c r="P526" i="74" s="1"/>
  <c r="P521" i="74"/>
  <c r="BE864" i="74"/>
  <c r="Q859" i="74"/>
  <c r="BE860" i="74"/>
  <c r="AV810" i="74"/>
  <c r="AV815" i="74" s="1"/>
  <c r="AI692" i="74"/>
  <c r="AI697" i="74" s="1"/>
  <c r="AI701" i="74" s="1"/>
  <c r="BU769" i="74"/>
  <c r="BU765" i="74"/>
  <c r="BU770" i="74" s="1"/>
  <c r="BB769" i="74"/>
  <c r="BB774" i="74" s="1"/>
  <c r="BB765" i="74"/>
  <c r="BB770" i="74" s="1"/>
  <c r="CL545" i="74"/>
  <c r="BX527" i="74"/>
  <c r="BX523" i="74"/>
  <c r="BX528" i="74" s="1"/>
  <c r="AN736" i="74"/>
  <c r="AN741" i="74" s="1"/>
  <c r="AN747" i="74"/>
  <c r="BK786" i="74"/>
  <c r="BK791" i="74" s="1"/>
  <c r="BH837" i="74"/>
  <c r="BH842" i="74" s="1"/>
  <c r="CF527" i="74"/>
  <c r="CF523" i="74"/>
  <c r="CF528" i="74" s="1"/>
  <c r="CI589" i="74"/>
  <c r="CI491" i="74"/>
  <c r="CI613" i="74" s="1"/>
  <c r="CD637" i="74"/>
  <c r="CD493" i="74"/>
  <c r="CD661" i="74" s="1"/>
  <c r="BN769" i="74"/>
  <c r="BN765" i="74"/>
  <c r="BN770" i="74" s="1"/>
  <c r="CF860" i="74"/>
  <c r="CF865" i="74" s="1"/>
  <c r="BY637" i="74"/>
  <c r="BY493" i="74"/>
  <c r="BY661" i="74" s="1"/>
  <c r="BX578" i="74"/>
  <c r="BX567" i="74"/>
  <c r="BX572" i="74" s="1"/>
  <c r="AS863" i="74"/>
  <c r="P858" i="74"/>
  <c r="BP637" i="74"/>
  <c r="BP493" i="74"/>
  <c r="BP661" i="74" s="1"/>
  <c r="BK567" i="74"/>
  <c r="BK572" i="74" s="1"/>
  <c r="BK578" i="74"/>
  <c r="CG810" i="74"/>
  <c r="CG815" i="74" s="1"/>
  <c r="BS532" i="74"/>
  <c r="AO796" i="74"/>
  <c r="AO785" i="74"/>
  <c r="AO790" i="74" s="1"/>
  <c r="AI785" i="74"/>
  <c r="AI790" i="74" s="1"/>
  <c r="AI796" i="74"/>
  <c r="BF713" i="74"/>
  <c r="BP713" i="74"/>
  <c r="BS838" i="74"/>
  <c r="BS843" i="74" s="1"/>
  <c r="BS847" i="74" s="1"/>
  <c r="AS890" i="74"/>
  <c r="P890" i="74" s="1"/>
  <c r="P885" i="74"/>
  <c r="CH895" i="74"/>
  <c r="AB736" i="74"/>
  <c r="AB741" i="74" s="1"/>
  <c r="AB747" i="74"/>
  <c r="BE768" i="74"/>
  <c r="Q768" i="74" s="1"/>
  <c r="Q763" i="74"/>
  <c r="AZ589" i="74"/>
  <c r="AZ491" i="74"/>
  <c r="AZ613" i="74" s="1"/>
  <c r="AU637" i="74"/>
  <c r="AU493" i="74"/>
  <c r="AU661" i="74" s="1"/>
  <c r="AD546" i="74"/>
  <c r="AD551" i="74" s="1"/>
  <c r="AD555" i="74" s="1"/>
  <c r="Y544" i="74"/>
  <c r="Y549" i="74" s="1"/>
  <c r="S836" i="74"/>
  <c r="BC896" i="74"/>
  <c r="BC898" i="74" s="1"/>
  <c r="BX692" i="74"/>
  <c r="BX697" i="74" s="1"/>
  <c r="R767" i="74"/>
  <c r="W691" i="74"/>
  <c r="BB861" i="74"/>
  <c r="BB866" i="74" s="1"/>
  <c r="BB870" i="74" s="1"/>
  <c r="U895" i="74"/>
  <c r="CJ713" i="74"/>
  <c r="CJ861" i="74"/>
  <c r="CJ866" i="74" s="1"/>
  <c r="CJ870" i="74" s="1"/>
  <c r="BS920" i="74"/>
  <c r="BS922" i="74" s="1"/>
  <c r="BR737" i="74"/>
  <c r="BR742" i="74" s="1"/>
  <c r="CB737" i="74"/>
  <c r="X765" i="74"/>
  <c r="X770" i="74" s="1"/>
  <c r="BH861" i="74"/>
  <c r="BH866" i="74" s="1"/>
  <c r="BH870" i="74" s="1"/>
  <c r="P767" i="74"/>
  <c r="AH765" i="74"/>
  <c r="AH770" i="74" s="1"/>
  <c r="AH774" i="74" s="1"/>
  <c r="AC796" i="74"/>
  <c r="AC785" i="74"/>
  <c r="AC790" i="74" s="1"/>
  <c r="W796" i="74"/>
  <c r="W785" i="74"/>
  <c r="W790" i="74" s="1"/>
  <c r="CL861" i="74"/>
  <c r="CL866" i="74" s="1"/>
  <c r="CL870" i="74" s="1"/>
  <c r="BQ863" i="74"/>
  <c r="R858" i="74"/>
  <c r="AS790" i="74"/>
  <c r="P785" i="74"/>
  <c r="BX765" i="74"/>
  <c r="BX770" i="74" s="1"/>
  <c r="BX774" i="74" s="1"/>
  <c r="BM701" i="74"/>
  <c r="CA920" i="74"/>
  <c r="CA922" i="74" s="1"/>
  <c r="CC863" i="74"/>
  <c r="S858" i="74"/>
  <c r="AY837" i="74"/>
  <c r="AY842" i="74" s="1"/>
  <c r="BV714" i="74"/>
  <c r="R723" i="74"/>
  <c r="CN920" i="74"/>
  <c r="CN922" i="74" s="1"/>
  <c r="AJ723" i="74"/>
  <c r="AJ712" i="74"/>
  <c r="AJ717" i="74" s="1"/>
  <c r="S768" i="74"/>
  <c r="CH714" i="74"/>
  <c r="CK637" i="74"/>
  <c r="CK493" i="74"/>
  <c r="CK661" i="74" s="1"/>
  <c r="CJ578" i="74"/>
  <c r="CJ567" i="74"/>
  <c r="CJ572" i="74" s="1"/>
  <c r="CH774" i="74"/>
  <c r="BU637" i="74"/>
  <c r="BU493" i="74"/>
  <c r="BU661" i="74" s="1"/>
  <c r="BT578" i="74"/>
  <c r="BT567" i="74"/>
  <c r="BT572" i="74" s="1"/>
  <c r="CA860" i="74"/>
  <c r="CA865" i="74" s="1"/>
  <c r="AD565" i="74"/>
  <c r="AD492" i="74"/>
  <c r="AD490" i="74"/>
  <c r="X565" i="74"/>
  <c r="X492" i="74"/>
  <c r="X490" i="74"/>
  <c r="Y565" i="74"/>
  <c r="Y492" i="74"/>
  <c r="Y490" i="74"/>
  <c r="BM578" i="74"/>
  <c r="BM567" i="74"/>
  <c r="BM572" i="74" s="1"/>
  <c r="BG589" i="74"/>
  <c r="BG491" i="74"/>
  <c r="BG613" i="74" s="1"/>
  <c r="CL786" i="74"/>
  <c r="CL791" i="74" s="1"/>
  <c r="BT737" i="74"/>
  <c r="BW701" i="74"/>
  <c r="AP820" i="74"/>
  <c r="AP809" i="74"/>
  <c r="AP814" i="74" s="1"/>
  <c r="AJ809" i="74"/>
  <c r="AJ814" i="74" s="1"/>
  <c r="AJ820" i="74"/>
  <c r="BE809" i="74"/>
  <c r="BE820" i="74"/>
  <c r="Q820" i="74" s="1"/>
  <c r="Q807" i="74"/>
  <c r="AH565" i="74"/>
  <c r="AH492" i="74"/>
  <c r="AH490" i="74"/>
  <c r="AM565" i="74"/>
  <c r="AM492" i="74"/>
  <c r="AM490" i="74"/>
  <c r="AR565" i="74"/>
  <c r="AR492" i="74"/>
  <c r="AR490" i="74"/>
  <c r="X736" i="74"/>
  <c r="X741" i="74" s="1"/>
  <c r="X747" i="74"/>
  <c r="BE764" i="74"/>
  <c r="AV589" i="74"/>
  <c r="AV491" i="74"/>
  <c r="AV613" i="74" s="1"/>
  <c r="BB637" i="74"/>
  <c r="BB493" i="74"/>
  <c r="BB661" i="74" s="1"/>
  <c r="CK812" i="74"/>
  <c r="CK817" i="74" s="1"/>
  <c r="CN546" i="74"/>
  <c r="CN551" i="74" s="1"/>
  <c r="CN555" i="74" s="1"/>
  <c r="BE545" i="74"/>
  <c r="N762" i="74"/>
  <c r="U767" i="74"/>
  <c r="Z765" i="74"/>
  <c r="Z770" i="74" s="1"/>
  <c r="Z774" i="74" s="1"/>
  <c r="AS747" i="74"/>
  <c r="P747" i="74" s="1"/>
  <c r="AS736" i="74"/>
  <c r="P734" i="74"/>
  <c r="W836" i="74"/>
  <c r="W841" i="74" s="1"/>
  <c r="BF860" i="74"/>
  <c r="BE718" i="74"/>
  <c r="AB692" i="74"/>
  <c r="AB697" i="74" s="1"/>
  <c r="AB701" i="74" s="1"/>
  <c r="BN860" i="74"/>
  <c r="BN865" i="74" s="1"/>
  <c r="O890" i="74"/>
  <c r="CC544" i="74"/>
  <c r="CC545" i="74" s="1"/>
  <c r="BB738" i="74"/>
  <c r="BB743" i="74" s="1"/>
  <c r="AF859" i="74"/>
  <c r="AF864" i="74" s="1"/>
  <c r="BG786" i="74"/>
  <c r="BG791" i="74" s="1"/>
  <c r="Y809" i="74"/>
  <c r="Y814" i="74" s="1"/>
  <c r="Y820" i="74"/>
  <c r="CN692" i="74"/>
  <c r="CN697" i="74" s="1"/>
  <c r="BV737" i="74"/>
  <c r="BV742" i="74" s="1"/>
  <c r="AG723" i="74"/>
  <c r="AG712" i="74"/>
  <c r="AG713" i="74" s="1"/>
  <c r="O710" i="74"/>
  <c r="AL723" i="74"/>
  <c r="AL712" i="74"/>
  <c r="AL717" i="74" s="1"/>
  <c r="CC747" i="74"/>
  <c r="S747" i="74" s="1"/>
  <c r="CC736" i="74"/>
  <c r="S734" i="74"/>
  <c r="CG637" i="74"/>
  <c r="CG493" i="74"/>
  <c r="CG661" i="74" s="1"/>
  <c r="CF578" i="74"/>
  <c r="CF567" i="74"/>
  <c r="CF572" i="74" s="1"/>
  <c r="BT527" i="74"/>
  <c r="BT523" i="74"/>
  <c r="BT528" i="74" s="1"/>
  <c r="CL765" i="74"/>
  <c r="CL770" i="74" s="1"/>
  <c r="CL774" i="74" s="1"/>
  <c r="S526" i="74"/>
  <c r="BQ895" i="74"/>
  <c r="BQ791" i="74"/>
  <c r="AN914" i="74"/>
  <c r="AN910" i="74"/>
  <c r="AN915" i="74" s="1"/>
  <c r="BQ578" i="74"/>
  <c r="BQ567" i="74"/>
  <c r="BQ568" i="74" s="1"/>
  <c r="BQ569" i="74" s="1"/>
  <c r="R565" i="74"/>
  <c r="BV637" i="74"/>
  <c r="BV493" i="74"/>
  <c r="BV661" i="74" s="1"/>
  <c r="BI578" i="74"/>
  <c r="BI567" i="74"/>
  <c r="BI572" i="74" s="1"/>
  <c r="BN589" i="74"/>
  <c r="BN491" i="74"/>
  <c r="BN613" i="74" s="1"/>
  <c r="CF810" i="74"/>
  <c r="CF815" i="74" s="1"/>
  <c r="BR692" i="74"/>
  <c r="BR697" i="74" s="1"/>
  <c r="BR701" i="74" s="1"/>
  <c r="AG807" i="74"/>
  <c r="O503" i="74"/>
  <c r="AQ785" i="74"/>
  <c r="AQ790" i="74" s="1"/>
  <c r="AQ796" i="74"/>
  <c r="BI774" i="74"/>
  <c r="N521" i="74"/>
  <c r="U526" i="74"/>
  <c r="U525" i="74"/>
  <c r="N520" i="74"/>
  <c r="U723" i="74"/>
  <c r="U712" i="74"/>
  <c r="U713" i="74" s="1"/>
  <c r="N710" i="74"/>
  <c r="Z723" i="74"/>
  <c r="Z712" i="74"/>
  <c r="Z717" i="74" s="1"/>
  <c r="AS637" i="74"/>
  <c r="AS493" i="74"/>
  <c r="P492" i="74"/>
  <c r="BC637" i="74"/>
  <c r="BC493" i="74"/>
  <c r="BC661" i="74" s="1"/>
  <c r="AX567" i="74"/>
  <c r="AX572" i="74" s="1"/>
  <c r="AX578" i="74"/>
  <c r="AI861" i="74"/>
  <c r="AI866" i="74" s="1"/>
  <c r="BR532" i="74"/>
  <c r="AG694" i="74"/>
  <c r="O689" i="74"/>
  <c r="AG690" i="74"/>
  <c r="CB864" i="74"/>
  <c r="CB860" i="74"/>
  <c r="CB865" i="74" s="1"/>
  <c r="BQ532" i="74"/>
  <c r="R525" i="74"/>
  <c r="AG842" i="74"/>
  <c r="BQ847" i="74"/>
  <c r="R840" i="74"/>
  <c r="AZ864" i="74"/>
  <c r="CM567" i="74"/>
  <c r="CM572" i="74" s="1"/>
  <c r="CM578" i="74"/>
  <c r="AQ768" i="74"/>
  <c r="BH713" i="74"/>
  <c r="BH718" i="74" s="1"/>
  <c r="CN841" i="74"/>
  <c r="S841" i="74" s="1"/>
  <c r="CN838" i="74"/>
  <c r="CN843" i="74" s="1"/>
  <c r="AB533" i="74"/>
  <c r="AB535" i="74"/>
  <c r="AE785" i="74"/>
  <c r="AE790" i="74" s="1"/>
  <c r="AE796" i="74"/>
  <c r="O846" i="74"/>
  <c r="BM810" i="74"/>
  <c r="BM815" i="74" s="1"/>
  <c r="U807" i="74"/>
  <c r="N503" i="74"/>
  <c r="AG841" i="74"/>
  <c r="BG692" i="74"/>
  <c r="BG697" i="74" s="1"/>
  <c r="BG701" i="74" s="1"/>
  <c r="AR736" i="74"/>
  <c r="AR741" i="74" s="1"/>
  <c r="AR747" i="74"/>
  <c r="AX701" i="74"/>
  <c r="CC589" i="74"/>
  <c r="CC491" i="74"/>
  <c r="S490" i="74"/>
  <c r="CM589" i="74"/>
  <c r="CM491" i="74"/>
  <c r="CM613" i="74" s="1"/>
  <c r="S525" i="74"/>
  <c r="AQ526" i="74"/>
  <c r="AJ836" i="74"/>
  <c r="AJ841" i="74" s="1"/>
  <c r="CB578" i="74"/>
  <c r="CB567" i="74"/>
  <c r="CB572" i="74" s="1"/>
  <c r="BR589" i="74"/>
  <c r="BR491" i="74"/>
  <c r="BR613" i="74" s="1"/>
  <c r="BE578" i="74"/>
  <c r="BE567" i="74"/>
  <c r="BE568" i="74" s="1"/>
  <c r="Q565" i="74"/>
  <c r="BJ637" i="74"/>
  <c r="BJ493" i="74"/>
  <c r="BJ661" i="74" s="1"/>
  <c r="CE549" i="74"/>
  <c r="CE546" i="74"/>
  <c r="CE551" i="74" s="1"/>
  <c r="BF556" i="74"/>
  <c r="BF558" i="74"/>
  <c r="BF559" i="74" s="1"/>
  <c r="AH796" i="74"/>
  <c r="AH785" i="74"/>
  <c r="AH790" i="74" s="1"/>
  <c r="AM796" i="74"/>
  <c r="AM785" i="74"/>
  <c r="AM790" i="74" s="1"/>
  <c r="BE786" i="74"/>
  <c r="CG714" i="74"/>
  <c r="BT810" i="74"/>
  <c r="BT815" i="74" s="1"/>
  <c r="AF736" i="74"/>
  <c r="AF741" i="74" s="1"/>
  <c r="AF747" i="74"/>
  <c r="V747" i="74"/>
  <c r="V736" i="74"/>
  <c r="V741" i="74" s="1"/>
  <c r="BD637" i="74"/>
  <c r="BD493" i="74"/>
  <c r="BD661" i="74" s="1"/>
  <c r="AY567" i="74"/>
  <c r="AY572" i="74" s="1"/>
  <c r="AY578" i="74"/>
  <c r="AC544" i="74"/>
  <c r="AC549" i="74" s="1"/>
  <c r="AC545" i="74"/>
  <c r="AC550" i="74" s="1"/>
  <c r="CJ810" i="74"/>
  <c r="CJ815" i="74" s="1"/>
  <c r="S840" i="74"/>
  <c r="BY737" i="74"/>
  <c r="O912" i="74"/>
  <c r="P712" i="74"/>
  <c r="AS717" i="74"/>
  <c r="P723" i="74"/>
  <c r="AB836" i="74"/>
  <c r="AB841" i="74" s="1"/>
  <c r="BI788" i="74"/>
  <c r="BI793" i="74" s="1"/>
  <c r="BI797" i="74" s="1"/>
  <c r="BL864" i="74"/>
  <c r="BL860" i="74"/>
  <c r="BL865" i="74" s="1"/>
  <c r="AN775" i="74"/>
  <c r="AN777" i="74"/>
  <c r="BY786" i="74"/>
  <c r="BY791" i="74" s="1"/>
  <c r="AD526" i="74"/>
  <c r="AD523" i="74"/>
  <c r="AD528" i="74" s="1"/>
  <c r="AO533" i="74"/>
  <c r="AO535" i="74" s="1"/>
  <c r="Q910" i="74"/>
  <c r="AQ544" i="74"/>
  <c r="AQ549" i="74" s="1"/>
  <c r="BT545" i="74"/>
  <c r="BT550" i="74" s="1"/>
  <c r="AN522" i="74"/>
  <c r="AN527" i="74" s="1"/>
  <c r="AZ896" i="74"/>
  <c r="AZ898" i="74" s="1"/>
  <c r="CB702" i="74"/>
  <c r="CB704" i="74" s="1"/>
  <c r="CC896" i="74"/>
  <c r="AN544" i="74"/>
  <c r="AN549" i="74" s="1"/>
  <c r="AV739" i="74"/>
  <c r="AV744" i="74" s="1"/>
  <c r="AV748" i="74" s="1"/>
  <c r="BX545" i="74"/>
  <c r="BX550" i="74" s="1"/>
  <c r="BB838" i="74"/>
  <c r="BB843" i="74" s="1"/>
  <c r="BB847" i="74" s="1"/>
  <c r="V820" i="74"/>
  <c r="V809" i="74"/>
  <c r="V814" i="74" s="1"/>
  <c r="AA820" i="74"/>
  <c r="AA809" i="74"/>
  <c r="AA814" i="74" s="1"/>
  <c r="BN838" i="74"/>
  <c r="BN843" i="74" s="1"/>
  <c r="BN847" i="74" s="1"/>
  <c r="P840" i="74"/>
  <c r="AN702" i="74"/>
  <c r="AN704" i="74" s="1"/>
  <c r="CM787" i="74"/>
  <c r="CM792" i="74" s="1"/>
  <c r="BE890" i="74"/>
  <c r="Q885" i="74"/>
  <c r="BE886" i="74"/>
  <c r="AQ914" i="74"/>
  <c r="AQ910" i="74"/>
  <c r="AQ915" i="74" s="1"/>
  <c r="AN723" i="74"/>
  <c r="AN712" i="74"/>
  <c r="AN717" i="74" s="1"/>
  <c r="BF787" i="74"/>
  <c r="BF792" i="74" s="1"/>
  <c r="CM737" i="74"/>
  <c r="CM742" i="74" s="1"/>
  <c r="CN589" i="74"/>
  <c r="CN491" i="74"/>
  <c r="CN613" i="74" s="1"/>
  <c r="CI637" i="74"/>
  <c r="CI493" i="74"/>
  <c r="CI661" i="74" s="1"/>
  <c r="CD567" i="74"/>
  <c r="CD572" i="74" s="1"/>
  <c r="CD578" i="74"/>
  <c r="AG768" i="74"/>
  <c r="O763" i="74"/>
  <c r="AQ522" i="74"/>
  <c r="AQ527" i="74" s="1"/>
  <c r="AP860" i="74"/>
  <c r="AP865" i="74" s="1"/>
  <c r="BY578" i="74"/>
  <c r="BY567" i="74"/>
  <c r="BY572" i="74" s="1"/>
  <c r="BS589" i="74"/>
  <c r="BS491" i="74"/>
  <c r="BS613" i="74" s="1"/>
  <c r="BP578" i="74"/>
  <c r="BP567" i="74"/>
  <c r="BP572" i="74" s="1"/>
  <c r="BF637" i="74"/>
  <c r="BF493" i="74"/>
  <c r="BF661" i="74" s="1"/>
  <c r="BA811" i="74"/>
  <c r="BA816" i="74" s="1"/>
  <c r="AM692" i="74"/>
  <c r="AM697" i="74" s="1"/>
  <c r="AM701" i="74" s="1"/>
  <c r="BJ896" i="74"/>
  <c r="BJ898" i="74" s="1"/>
  <c r="BN896" i="74"/>
  <c r="BN898" i="74" s="1"/>
  <c r="BP545" i="74"/>
  <c r="BP550" i="74" s="1"/>
  <c r="X836" i="74"/>
  <c r="X841" i="74" s="1"/>
  <c r="BI533" i="74"/>
  <c r="BI535" i="74" s="1"/>
  <c r="AN809" i="74"/>
  <c r="AN814" i="74" s="1"/>
  <c r="AN820" i="74"/>
  <c r="Q694" i="74"/>
  <c r="AE522" i="74"/>
  <c r="AE527" i="74" s="1"/>
  <c r="AB723" i="74"/>
  <c r="AB712" i="74"/>
  <c r="AB717" i="74" s="1"/>
  <c r="BA589" i="74"/>
  <c r="BA491" i="74"/>
  <c r="BA613" i="74" s="1"/>
  <c r="AZ637" i="74"/>
  <c r="AZ493" i="74"/>
  <c r="AZ661" i="74" s="1"/>
  <c r="AU567" i="74"/>
  <c r="AU572" i="74" s="1"/>
  <c r="AU578" i="74"/>
  <c r="CE786" i="74"/>
  <c r="CE791" i="74" s="1"/>
  <c r="CJ702" i="74"/>
  <c r="CJ704" i="74" s="1"/>
  <c r="BX713" i="74"/>
  <c r="BX701" i="74"/>
  <c r="BO737" i="74"/>
  <c r="BO742" i="74" s="1"/>
  <c r="AV864" i="74"/>
  <c r="AV860" i="74"/>
  <c r="AY545" i="74"/>
  <c r="AR546" i="74"/>
  <c r="AR551" i="74" s="1"/>
  <c r="AR555" i="74" s="1"/>
  <c r="BX786" i="74"/>
  <c r="BX791" i="74" s="1"/>
  <c r="BE747" i="74"/>
  <c r="Q747" i="74" s="1"/>
  <c r="BE736" i="74"/>
  <c r="Q734" i="74"/>
  <c r="AY860" i="74"/>
  <c r="AY865" i="74" s="1"/>
  <c r="AF836" i="74"/>
  <c r="AF841" i="74" s="1"/>
  <c r="CJ837" i="74"/>
  <c r="BW810" i="74"/>
  <c r="BW815" i="74" s="1"/>
  <c r="W522" i="74"/>
  <c r="AB809" i="74"/>
  <c r="AB814" i="74" s="1"/>
  <c r="AB820" i="74"/>
  <c r="AR522" i="74"/>
  <c r="AS787" i="74"/>
  <c r="P796" i="74"/>
  <c r="AW786" i="74"/>
  <c r="AW791" i="74" s="1"/>
  <c r="BG527" i="74"/>
  <c r="BG523" i="74"/>
  <c r="BG528" i="74" s="1"/>
  <c r="BB692" i="74"/>
  <c r="BB697" i="74" s="1"/>
  <c r="BB701" i="74" s="1"/>
  <c r="AU920" i="74"/>
  <c r="AU922" i="74" s="1"/>
  <c r="AC765" i="74"/>
  <c r="AC770" i="74" s="1"/>
  <c r="AC774" i="74" s="1"/>
  <c r="AE836" i="74"/>
  <c r="AE841" i="74" s="1"/>
  <c r="AK747" i="74"/>
  <c r="AK736" i="74"/>
  <c r="AK741" i="74" s="1"/>
  <c r="AP747" i="74"/>
  <c r="AP736" i="74"/>
  <c r="AP741" i="74" s="1"/>
  <c r="BK810" i="74"/>
  <c r="BK815" i="74" s="1"/>
  <c r="Q522" i="74"/>
  <c r="BE527" i="74"/>
  <c r="CC713" i="74"/>
  <c r="CC714" i="74" s="1"/>
  <c r="S723" i="74"/>
  <c r="BS861" i="74"/>
  <c r="BS866" i="74" s="1"/>
  <c r="BS870" i="74" s="1"/>
  <c r="CK578" i="74"/>
  <c r="CK567" i="74"/>
  <c r="CK572" i="74" s="1"/>
  <c r="CE589" i="74"/>
  <c r="CE491" i="74"/>
  <c r="CE613" i="74" s="1"/>
  <c r="AL764" i="74"/>
  <c r="CE860" i="74"/>
  <c r="CE865" i="74" s="1"/>
  <c r="BW545" i="74"/>
  <c r="S694" i="74"/>
  <c r="BL702" i="74"/>
  <c r="BL704" i="74" s="1"/>
  <c r="BU578" i="74"/>
  <c r="BU567" i="74"/>
  <c r="BU572" i="74" s="1"/>
  <c r="BZ637" i="74"/>
  <c r="BZ493" i="74"/>
  <c r="BZ661" i="74" s="1"/>
  <c r="BC837" i="74"/>
  <c r="BC842" i="74" s="1"/>
  <c r="W565" i="74"/>
  <c r="W492" i="74"/>
  <c r="W490" i="74"/>
  <c r="AB565" i="74"/>
  <c r="AB492" i="74"/>
  <c r="AB490" i="74"/>
  <c r="AC565" i="74"/>
  <c r="AC492" i="74"/>
  <c r="AC490" i="74"/>
  <c r="BL589" i="74"/>
  <c r="BL491" i="74"/>
  <c r="BL613" i="74" s="1"/>
  <c r="BG637" i="74"/>
  <c r="BG493" i="74"/>
  <c r="BG661" i="74" s="1"/>
  <c r="AZ787" i="74"/>
  <c r="AZ792" i="74" s="1"/>
  <c r="AP785" i="74"/>
  <c r="AP790" i="74" s="1"/>
  <c r="AP796" i="74"/>
  <c r="AJ796" i="74"/>
  <c r="AJ785" i="74"/>
  <c r="AJ790" i="74" s="1"/>
  <c r="CG532" i="74"/>
  <c r="CI837" i="74"/>
  <c r="CI842" i="74" s="1"/>
  <c r="AL565" i="74"/>
  <c r="AL490" i="74"/>
  <c r="AL492" i="74"/>
  <c r="AQ565" i="74"/>
  <c r="AQ492" i="74"/>
  <c r="AQ490" i="74"/>
  <c r="AG565" i="74"/>
  <c r="O489" i="74"/>
  <c r="AG492" i="74"/>
  <c r="AG490" i="74"/>
  <c r="CA545" i="74"/>
  <c r="X723" i="74"/>
  <c r="X712" i="74"/>
  <c r="X717" i="74" s="1"/>
  <c r="AW589" i="74"/>
  <c r="AW491" i="74"/>
  <c r="AW613" i="74" s="1"/>
  <c r="AV637" i="74"/>
  <c r="AV493" i="74"/>
  <c r="AV661" i="74" s="1"/>
  <c r="BB567" i="74"/>
  <c r="BB572" i="74" s="1"/>
  <c r="BB578" i="74"/>
  <c r="BM532" i="74"/>
  <c r="AO837" i="74"/>
  <c r="AO842" i="74" s="1"/>
  <c r="AY786" i="74"/>
  <c r="AY791" i="74" s="1"/>
  <c r="AT787" i="74"/>
  <c r="AT792" i="74" s="1"/>
  <c r="CC843" i="74"/>
  <c r="CC847" i="74" s="1"/>
  <c r="BO546" i="74"/>
  <c r="BO551" i="74" s="1"/>
  <c r="BO555" i="74" s="1"/>
  <c r="U768" i="74"/>
  <c r="N763" i="74"/>
  <c r="BH786" i="74"/>
  <c r="BH791" i="74" s="1"/>
  <c r="AS696" i="74"/>
  <c r="P691" i="74"/>
  <c r="Q723" i="74"/>
  <c r="BE714" i="74"/>
  <c r="AT545" i="74"/>
  <c r="BN810" i="74"/>
  <c r="BN815" i="74" s="1"/>
  <c r="CF895" i="74"/>
  <c r="S886" i="74"/>
  <c r="AX786" i="74"/>
  <c r="AX791" i="74" s="1"/>
  <c r="AW737" i="74"/>
  <c r="P768" i="74"/>
  <c r="Y796" i="74"/>
  <c r="Y785" i="74"/>
  <c r="Y790" i="74" s="1"/>
  <c r="CN701" i="74"/>
  <c r="BF769" i="74"/>
  <c r="BF765" i="74"/>
  <c r="BF770" i="74" s="1"/>
  <c r="CC791" i="74"/>
  <c r="R734" i="74"/>
  <c r="BQ747" i="74"/>
  <c r="R747" i="74" s="1"/>
  <c r="BQ736" i="74"/>
  <c r="AQ747" i="74"/>
  <c r="AQ736" i="74"/>
  <c r="AQ741" i="74" s="1"/>
  <c r="BY692" i="74"/>
  <c r="BY697" i="74" s="1"/>
  <c r="BY701" i="74" s="1"/>
  <c r="Q526" i="74"/>
  <c r="BS895" i="74"/>
  <c r="CG578" i="74"/>
  <c r="CG567" i="74"/>
  <c r="CG572" i="74" s="1"/>
  <c r="CL637" i="74"/>
  <c r="CL493" i="74"/>
  <c r="CL661" i="74" s="1"/>
  <c r="AR914" i="74"/>
  <c r="AR910" i="74"/>
  <c r="AR915" i="74" s="1"/>
  <c r="BD769" i="74"/>
  <c r="BD765" i="74"/>
  <c r="BD770" i="74" s="1"/>
  <c r="BV810" i="74"/>
  <c r="BV815" i="74" s="1"/>
  <c r="AK859" i="74"/>
  <c r="AK864" i="74" s="1"/>
  <c r="CA589" i="74"/>
  <c r="CA491" i="74"/>
  <c r="CA613" i="74" s="1"/>
  <c r="BV589" i="74"/>
  <c r="BV491" i="74"/>
  <c r="BV613" i="74" s="1"/>
  <c r="BH589" i="74"/>
  <c r="BH491" i="74"/>
  <c r="BH613" i="74" s="1"/>
  <c r="BN637" i="74"/>
  <c r="BN493" i="74"/>
  <c r="BN661" i="74" s="1"/>
  <c r="AW919" i="74"/>
  <c r="U522" i="74"/>
  <c r="AE747" i="74"/>
  <c r="AE736" i="74"/>
  <c r="AE741" i="74" s="1"/>
  <c r="Q767" i="74"/>
  <c r="BC567" i="74"/>
  <c r="BC572" i="74" s="1"/>
  <c r="BC578" i="74"/>
  <c r="V544" i="74"/>
  <c r="V549" i="74" s="1"/>
  <c r="BE919" i="74"/>
  <c r="BW774" i="74"/>
  <c r="P695" i="74"/>
  <c r="Z785" i="74"/>
  <c r="Z790" i="74" s="1"/>
  <c r="Z796" i="74"/>
  <c r="CC920" i="74"/>
  <c r="S919" i="74"/>
  <c r="BC864" i="74"/>
  <c r="BC861" i="74"/>
  <c r="BC866" i="74" s="1"/>
  <c r="BA737" i="74"/>
  <c r="BA742" i="74" s="1"/>
  <c r="BP811" i="74"/>
  <c r="BP816" i="74" s="1"/>
  <c r="CC637" i="74"/>
  <c r="CC493" i="74"/>
  <c r="S492" i="74"/>
  <c r="AV549" i="74"/>
  <c r="AV713" i="74"/>
  <c r="Y768" i="74"/>
  <c r="Y765" i="74"/>
  <c r="Y770" i="74" s="1"/>
  <c r="BA920" i="74"/>
  <c r="BA922" i="74" s="1"/>
  <c r="CN714" i="74"/>
  <c r="CN719" i="74" s="1"/>
  <c r="AX556" i="74"/>
  <c r="AX558" i="74" s="1"/>
  <c r="AX559" i="74" s="1"/>
  <c r="AS528" i="74"/>
  <c r="P528" i="74" s="1"/>
  <c r="P523" i="74"/>
  <c r="AS809" i="74"/>
  <c r="AS810" i="74" s="1"/>
  <c r="AS820" i="74"/>
  <c r="P820" i="74" s="1"/>
  <c r="P807" i="74"/>
  <c r="AL859" i="74"/>
  <c r="AL864" i="74" s="1"/>
  <c r="AP914" i="74"/>
  <c r="AP910" i="74"/>
  <c r="AP915" i="74" s="1"/>
  <c r="BL549" i="74"/>
  <c r="AU532" i="74"/>
  <c r="AH747" i="74"/>
  <c r="AH736" i="74"/>
  <c r="AH741" i="74" s="1"/>
  <c r="BM714" i="74"/>
  <c r="CM714" i="74"/>
  <c r="CM719" i="74" s="1"/>
  <c r="CH637" i="74"/>
  <c r="CH493" i="74"/>
  <c r="CH661" i="74" s="1"/>
  <c r="BP701" i="74"/>
  <c r="AM837" i="74"/>
  <c r="AM842" i="74" s="1"/>
  <c r="CI811" i="74"/>
  <c r="CI816" i="74" s="1"/>
  <c r="BW738" i="74"/>
  <c r="BW743" i="74" s="1"/>
  <c r="AA837" i="74"/>
  <c r="AA842" i="74" s="1"/>
  <c r="BG810" i="74"/>
  <c r="BG811" i="74" s="1"/>
  <c r="BG816" i="74" s="1"/>
  <c r="N912" i="74"/>
  <c r="AR775" i="74"/>
  <c r="AR777" i="74"/>
  <c r="CB810" i="74"/>
  <c r="CB811" i="74" s="1"/>
  <c r="CB816" i="74" s="1"/>
  <c r="Z820" i="74"/>
  <c r="Z809" i="74"/>
  <c r="Z814" i="74" s="1"/>
  <c r="U796" i="74"/>
  <c r="U785" i="74"/>
  <c r="N783" i="74"/>
  <c r="CI895" i="74"/>
  <c r="S895" i="74" s="1"/>
  <c r="AS842" i="74"/>
  <c r="AS847" i="74" s="1"/>
  <c r="AG840" i="74"/>
  <c r="O835" i="74"/>
  <c r="BB787" i="74"/>
  <c r="BB792" i="74" s="1"/>
  <c r="CK527" i="74"/>
  <c r="CK523" i="74"/>
  <c r="CK528" i="74" s="1"/>
  <c r="X910" i="74"/>
  <c r="X915" i="74" s="1"/>
  <c r="X919" i="74" s="1"/>
  <c r="BM556" i="74"/>
  <c r="BM558" i="74" s="1"/>
  <c r="AU737" i="74"/>
  <c r="AU742" i="74" s="1"/>
  <c r="U841" i="74"/>
  <c r="U840" i="74"/>
  <c r="N835" i="74"/>
  <c r="BH527" i="74"/>
  <c r="BH523" i="74"/>
  <c r="BH528" i="74" s="1"/>
  <c r="AR723" i="74"/>
  <c r="AR712" i="74"/>
  <c r="AR717" i="74" s="1"/>
  <c r="AH723" i="74"/>
  <c r="AH712" i="74"/>
  <c r="AH717" i="74" s="1"/>
  <c r="CC774" i="74"/>
  <c r="S767" i="74"/>
  <c r="CD864" i="74"/>
  <c r="CD861" i="74"/>
  <c r="CD866" i="74" s="1"/>
  <c r="CM637" i="74"/>
  <c r="CM493" i="74"/>
  <c r="CM661" i="74" s="1"/>
  <c r="CH567" i="74"/>
  <c r="CH572" i="74" s="1"/>
  <c r="CH578" i="74"/>
  <c r="U691" i="74"/>
  <c r="BB549" i="74"/>
  <c r="BB546" i="74"/>
  <c r="BB551" i="74" s="1"/>
  <c r="AQ764" i="74"/>
  <c r="AQ769" i="74" s="1"/>
  <c r="CM533" i="74"/>
  <c r="CM535" i="74" s="1"/>
  <c r="BQ809" i="74"/>
  <c r="BQ810" i="74" s="1"/>
  <c r="R807" i="74"/>
  <c r="BQ820" i="74"/>
  <c r="R820" i="74" s="1"/>
  <c r="AF526" i="74"/>
  <c r="AI910" i="74"/>
  <c r="AI915" i="74" s="1"/>
  <c r="AI919" i="74" s="1"/>
  <c r="BU692" i="74"/>
  <c r="BU697" i="74" s="1"/>
  <c r="BU701" i="74" s="1"/>
  <c r="BI864" i="74"/>
  <c r="BO871" i="74"/>
  <c r="BO873" i="74" s="1"/>
  <c r="AH837" i="74"/>
  <c r="AH842" i="74" s="1"/>
  <c r="AP836" i="74"/>
  <c r="AP841" i="74" s="1"/>
  <c r="BW589" i="74"/>
  <c r="BW491" i="74"/>
  <c r="BW613" i="74" s="1"/>
  <c r="BR637" i="74"/>
  <c r="BR493" i="74"/>
  <c r="BR661" i="74" s="1"/>
  <c r="BO589" i="74"/>
  <c r="BO491" i="74"/>
  <c r="BO613" i="74" s="1"/>
  <c r="BJ589" i="74"/>
  <c r="BJ491" i="74"/>
  <c r="BJ613" i="74" s="1"/>
  <c r="BA787" i="74"/>
  <c r="BA792" i="74" s="1"/>
  <c r="CG787" i="74"/>
  <c r="CG792" i="74" s="1"/>
  <c r="BZ738" i="74"/>
  <c r="BZ743" i="74" s="1"/>
  <c r="BU738" i="74"/>
  <c r="BU743" i="74" s="1"/>
  <c r="BK556" i="74"/>
  <c r="BK558" i="74" s="1"/>
  <c r="CK774" i="74"/>
  <c r="AR809" i="74"/>
  <c r="AR814" i="74" s="1"/>
  <c r="AR820" i="74"/>
  <c r="BJ810" i="74"/>
  <c r="AE895" i="74"/>
  <c r="BE695" i="74"/>
  <c r="Q695" i="74" s="1"/>
  <c r="Q690" i="74"/>
  <c r="BD920" i="74"/>
  <c r="BD922" i="74" s="1"/>
  <c r="AD691" i="74"/>
  <c r="AD696" i="74" s="1"/>
  <c r="AU549" i="74"/>
  <c r="AU546" i="74"/>
  <c r="AU551" i="74" s="1"/>
  <c r="AP768" i="74"/>
  <c r="AP765" i="74"/>
  <c r="AP770" i="74" s="1"/>
  <c r="AF723" i="74"/>
  <c r="AF712" i="74"/>
  <c r="AF717" i="74" s="1"/>
  <c r="V723" i="74"/>
  <c r="V712" i="74"/>
  <c r="V717" i="74" s="1"/>
  <c r="BD578" i="74"/>
  <c r="BD567" i="74"/>
  <c r="BD572" i="74" s="1"/>
  <c r="AT589" i="74"/>
  <c r="AT491" i="74"/>
  <c r="AT613" i="74" s="1"/>
  <c r="AP526" i="74"/>
  <c r="AP523" i="74"/>
  <c r="AP528" i="74" s="1"/>
  <c r="W544" i="74"/>
  <c r="AC546" i="74"/>
  <c r="AC551" i="74" s="1"/>
  <c r="BD787" i="74"/>
  <c r="BD792" i="74" s="1"/>
  <c r="BS737" i="74"/>
  <c r="BS738" i="74" s="1"/>
  <c r="BS743" i="74" s="1"/>
  <c r="BI920" i="74"/>
  <c r="BI922" i="74" s="1"/>
  <c r="BJ545" i="74"/>
  <c r="BJ550" i="74" s="1"/>
  <c r="BO714" i="74"/>
  <c r="BO719" i="74" s="1"/>
  <c r="BQ768" i="74"/>
  <c r="R768" i="74" s="1"/>
  <c r="R763" i="74"/>
  <c r="BQ764" i="74"/>
  <c r="BQ765" i="74" s="1"/>
  <c r="AP544" i="74"/>
  <c r="AJ544" i="74"/>
  <c r="AO765" i="74"/>
  <c r="AO770" i="74" s="1"/>
  <c r="BZ545" i="74"/>
  <c r="BZ550" i="74" s="1"/>
  <c r="BS786" i="74"/>
  <c r="BS787" i="74" s="1"/>
  <c r="BJ860" i="74"/>
  <c r="BJ865" i="74" s="1"/>
  <c r="CE737" i="74"/>
  <c r="Q915" i="74"/>
  <c r="O886" i="74"/>
  <c r="AM860" i="74"/>
  <c r="AM865" i="74" s="1"/>
  <c r="BC786" i="74"/>
  <c r="CN787" i="74"/>
  <c r="CN792" i="74" s="1"/>
  <c r="BV896" i="74"/>
  <c r="BV898" i="74" s="1"/>
  <c r="CH545" i="74"/>
  <c r="BR713" i="74"/>
  <c r="BR718" i="74" s="1"/>
  <c r="CB713" i="74"/>
  <c r="AA859" i="74"/>
  <c r="V859" i="74"/>
  <c r="V860" i="74" s="1"/>
  <c r="V865" i="74" s="1"/>
  <c r="CD737" i="74"/>
  <c r="CD738" i="74" s="1"/>
  <c r="CD743" i="74" s="1"/>
  <c r="CN739" i="74"/>
  <c r="CN744" i="74" s="1"/>
  <c r="CN748" i="74" s="1"/>
  <c r="V796" i="74"/>
  <c r="V785" i="74"/>
  <c r="V790" i="74" s="1"/>
  <c r="AA785" i="74"/>
  <c r="AA790" i="74" s="1"/>
  <c r="AA796" i="74"/>
  <c r="BJ838" i="74"/>
  <c r="BJ843" i="74" s="1"/>
  <c r="BJ847" i="74" s="1"/>
  <c r="P841" i="74"/>
  <c r="Q858" i="74"/>
  <c r="BE863" i="74"/>
  <c r="BA774" i="74"/>
  <c r="CD769" i="74"/>
  <c r="S769" i="74" s="1"/>
  <c r="CD765" i="74"/>
  <c r="CD770" i="74" s="1"/>
  <c r="BL545" i="74"/>
  <c r="BL550" i="74" s="1"/>
  <c r="AB764" i="74"/>
  <c r="AB769" i="74" s="1"/>
  <c r="AZ714" i="74"/>
  <c r="AZ719" i="74" s="1"/>
  <c r="U869" i="74"/>
  <c r="N869" i="74" s="1"/>
  <c r="U858" i="74"/>
  <c r="N856" i="74"/>
  <c r="AO747" i="74"/>
  <c r="AO736" i="74"/>
  <c r="AO741" i="74" s="1"/>
  <c r="AI747" i="74"/>
  <c r="AI736" i="74"/>
  <c r="AI741" i="74" s="1"/>
  <c r="BM737" i="74"/>
  <c r="BV769" i="74"/>
  <c r="BV765" i="74"/>
  <c r="BV770" i="74" s="1"/>
  <c r="CF692" i="74"/>
  <c r="CF697" i="74" s="1"/>
  <c r="CF701" i="74" s="1"/>
  <c r="AZ860" i="74"/>
  <c r="AZ865" i="74" s="1"/>
  <c r="CN637" i="74"/>
  <c r="CN493" i="74"/>
  <c r="CN661" i="74" s="1"/>
  <c r="CI567" i="74"/>
  <c r="CI572" i="74" s="1"/>
  <c r="CI578" i="74"/>
  <c r="AV545" i="74"/>
  <c r="AV550" i="74" s="1"/>
  <c r="O762" i="74"/>
  <c r="AG767" i="74"/>
  <c r="AG765" i="74"/>
  <c r="AW861" i="74"/>
  <c r="AW866" i="74" s="1"/>
  <c r="AW870" i="74" s="1"/>
  <c r="AF522" i="74"/>
  <c r="AF527" i="74" s="1"/>
  <c r="BI860" i="74"/>
  <c r="BI865" i="74" s="1"/>
  <c r="R694" i="74"/>
  <c r="AJ859" i="74"/>
  <c r="CG861" i="74"/>
  <c r="CG866" i="74" s="1"/>
  <c r="CG870" i="74" s="1"/>
  <c r="BX589" i="74"/>
  <c r="BX491" i="74"/>
  <c r="BX613" i="74" s="1"/>
  <c r="BS637" i="74"/>
  <c r="BS493" i="74"/>
  <c r="BS661" i="74" s="1"/>
  <c r="CA861" i="74"/>
  <c r="CA866" i="74" s="1"/>
  <c r="AS859" i="74"/>
  <c r="CB532" i="74"/>
  <c r="BK589" i="74"/>
  <c r="BK491" i="74"/>
  <c r="BK613" i="74" s="1"/>
  <c r="BF589" i="74"/>
  <c r="BF491" i="74"/>
  <c r="BF613" i="74" s="1"/>
  <c r="AU810" i="74"/>
  <c r="BA812" i="74"/>
  <c r="BA817" i="74" s="1"/>
  <c r="BE842" i="74"/>
  <c r="BE847" i="74" s="1"/>
  <c r="CK692" i="74"/>
  <c r="CK697" i="74" s="1"/>
  <c r="CK701" i="74" s="1"/>
  <c r="AX920" i="74"/>
  <c r="AX922" i="74" s="1"/>
  <c r="AY738" i="74"/>
  <c r="AD836" i="74"/>
  <c r="AD841" i="74" s="1"/>
  <c r="BP837" i="74"/>
  <c r="BP842" i="74" s="1"/>
  <c r="AN796" i="74"/>
  <c r="AN785" i="74"/>
  <c r="AN790" i="74" s="1"/>
  <c r="CL737" i="74"/>
  <c r="CG737" i="74"/>
  <c r="BA545" i="74"/>
  <c r="AD895" i="74"/>
  <c r="BZ837" i="74"/>
  <c r="BZ842" i="74" s="1"/>
  <c r="AC747" i="74"/>
  <c r="AC736" i="74"/>
  <c r="AC741" i="74" s="1"/>
  <c r="W747" i="74"/>
  <c r="W736" i="74"/>
  <c r="W741" i="74" s="1"/>
  <c r="BA637" i="74"/>
  <c r="BA493" i="74"/>
  <c r="BA661" i="74" s="1"/>
  <c r="AZ578" i="74"/>
  <c r="AZ567" i="74"/>
  <c r="AZ572" i="74" s="1"/>
  <c r="X545" i="74"/>
  <c r="X550" i="74" s="1"/>
  <c r="BD810" i="74"/>
  <c r="BD811" i="74" s="1"/>
  <c r="BD816" i="74" s="1"/>
  <c r="CK787" i="74"/>
  <c r="CK792" i="74" s="1"/>
  <c r="CH860" i="74"/>
  <c r="CH865" i="74" s="1"/>
  <c r="BR837" i="74"/>
  <c r="BR838" i="74" s="1"/>
  <c r="CK737" i="74"/>
  <c r="CH532" i="74"/>
  <c r="BN861" i="74"/>
  <c r="BN866" i="74" s="1"/>
  <c r="BX860" i="74"/>
  <c r="BX865" i="74" s="1"/>
  <c r="AI523" i="74"/>
  <c r="AI528" i="74" s="1"/>
  <c r="AI532" i="74" s="1"/>
  <c r="BS713" i="74"/>
  <c r="N886" i="74"/>
  <c r="BC810" i="74"/>
  <c r="AJ692" i="74"/>
  <c r="AJ697" i="74" s="1"/>
  <c r="AJ701" i="74" s="1"/>
  <c r="BH546" i="74"/>
  <c r="BH551" i="74" s="1"/>
  <c r="BH555" i="74" s="1"/>
  <c r="BB713" i="74"/>
  <c r="BB718" i="74" s="1"/>
  <c r="AW713" i="74"/>
  <c r="AW718" i="74" s="1"/>
  <c r="BN713" i="74"/>
  <c r="BN718" i="74" s="1"/>
  <c r="BI713" i="74"/>
  <c r="BI718" i="74" s="1"/>
  <c r="CI713" i="74"/>
  <c r="U910" i="74"/>
  <c r="AS765" i="74"/>
  <c r="AV837" i="74"/>
  <c r="BR810" i="74"/>
  <c r="AB796" i="74"/>
  <c r="AB785" i="74"/>
  <c r="AB790" i="74" s="1"/>
  <c r="P525" i="74"/>
  <c r="BQ859" i="74"/>
  <c r="AQ837" i="74"/>
  <c r="AQ842" i="74" s="1"/>
  <c r="BV860" i="74"/>
  <c r="AJ914" i="74"/>
  <c r="AJ910" i="74"/>
  <c r="AJ915" i="74" s="1"/>
  <c r="CE527" i="74"/>
  <c r="CE523" i="74"/>
  <c r="CE528" i="74" s="1"/>
  <c r="CH787" i="74"/>
  <c r="CH792" i="74" s="1"/>
  <c r="CC859" i="74"/>
  <c r="AO896" i="74"/>
  <c r="AO898" i="74" s="1"/>
  <c r="CF545" i="74"/>
  <c r="BQ713" i="74"/>
  <c r="BQ714" i="74" s="1"/>
  <c r="W764" i="74"/>
  <c r="W769" i="74" s="1"/>
  <c r="AK723" i="74"/>
  <c r="AK712" i="74"/>
  <c r="AK717" i="74" s="1"/>
  <c r="AP723" i="74"/>
  <c r="AP712" i="74"/>
  <c r="AP717" i="74" s="1"/>
  <c r="BF810" i="74"/>
  <c r="BE523" i="74"/>
  <c r="BD701" i="74"/>
  <c r="BL714" i="74"/>
  <c r="BL719" i="74" s="1"/>
  <c r="BQ919" i="74"/>
  <c r="CJ589" i="74"/>
  <c r="CJ491" i="74"/>
  <c r="CJ613" i="74" s="1"/>
  <c r="CE637" i="74"/>
  <c r="CE493" i="74"/>
  <c r="CE661" i="74" s="1"/>
  <c r="CC528" i="74"/>
  <c r="CB546" i="74"/>
  <c r="CB551" i="74" s="1"/>
  <c r="CB555" i="74" s="1"/>
  <c r="BT861" i="74"/>
  <c r="BT866" i="74" s="1"/>
  <c r="BT870" i="74" s="1"/>
  <c r="CA810" i="74"/>
  <c r="AA523" i="74"/>
  <c r="AA528" i="74" s="1"/>
  <c r="AA532" i="74" s="1"/>
  <c r="BT589" i="74"/>
  <c r="BT491" i="74"/>
  <c r="BT613" i="74" s="1"/>
  <c r="BZ589" i="74"/>
  <c r="BZ491" i="74"/>
  <c r="BZ613" i="74" s="1"/>
  <c r="V565" i="74"/>
  <c r="V490" i="74"/>
  <c r="V492" i="74"/>
  <c r="AA565" i="74"/>
  <c r="AA492" i="74"/>
  <c r="AA490" i="74"/>
  <c r="AF565" i="74"/>
  <c r="AF492" i="74"/>
  <c r="AF490" i="74"/>
  <c r="BM589" i="74"/>
  <c r="BM491" i="74"/>
  <c r="BM613" i="74" s="1"/>
  <c r="BL637" i="74"/>
  <c r="BL493" i="74"/>
  <c r="BL661" i="74" s="1"/>
  <c r="BG567" i="74"/>
  <c r="BG572" i="74" s="1"/>
  <c r="BG578" i="74"/>
  <c r="Q840" i="74"/>
  <c r="CF786" i="74"/>
  <c r="CF791" i="74" s="1"/>
  <c r="V765" i="74"/>
  <c r="V770" i="74" s="1"/>
  <c r="V774" i="74" s="1"/>
  <c r="AT713" i="74"/>
  <c r="AT718" i="74" s="1"/>
  <c r="X860" i="74"/>
  <c r="X865" i="74" s="1"/>
  <c r="AD859" i="74"/>
  <c r="AD860" i="74" s="1"/>
  <c r="AD865" i="74" s="1"/>
  <c r="AK809" i="74"/>
  <c r="AK814" i="74" s="1"/>
  <c r="AK820" i="74"/>
  <c r="BO787" i="74"/>
  <c r="BO792" i="74" s="1"/>
  <c r="BF737" i="74"/>
  <c r="BF742" i="74" s="1"/>
  <c r="BP737" i="74"/>
  <c r="AZ837" i="74"/>
  <c r="AP565" i="74"/>
  <c r="AP490" i="74"/>
  <c r="AP492" i="74"/>
  <c r="AJ565" i="74"/>
  <c r="AJ492" i="74"/>
  <c r="AJ490" i="74"/>
  <c r="AK565" i="74"/>
  <c r="AK490" i="74"/>
  <c r="AK492" i="74"/>
  <c r="BT895" i="74"/>
  <c r="Y747" i="74"/>
  <c r="Y736" i="74"/>
  <c r="Y741" i="74" s="1"/>
  <c r="AD747" i="74"/>
  <c r="AD736" i="74"/>
  <c r="AD741" i="74" s="1"/>
  <c r="AW637" i="74"/>
  <c r="AW493" i="74"/>
  <c r="AW661" i="74" s="1"/>
  <c r="AV578" i="74"/>
  <c r="AV567" i="74"/>
  <c r="AV572" i="74" s="1"/>
  <c r="BI837" i="74"/>
  <c r="BO837" i="74"/>
  <c r="BO842" i="74" s="1"/>
  <c r="AO838" i="74"/>
  <c r="AO843" i="74" s="1"/>
  <c r="AE544" i="74"/>
  <c r="AT788" i="74"/>
  <c r="AT793" i="74" s="1"/>
  <c r="CK821" i="74"/>
  <c r="BX738" i="74"/>
  <c r="BX743" i="74" s="1"/>
  <c r="BY532" i="74"/>
  <c r="U765" i="74"/>
  <c r="W837" i="74"/>
  <c r="W842" i="74" s="1"/>
  <c r="AC836" i="74"/>
  <c r="AC837" i="74" s="1"/>
  <c r="AC842" i="74" s="1"/>
  <c r="BM837" i="74"/>
  <c r="BM842" i="74" s="1"/>
  <c r="Q712" i="74"/>
  <c r="BE717" i="74"/>
  <c r="CN861" i="74"/>
  <c r="CN866" i="74" s="1"/>
  <c r="CN870" i="74" s="1"/>
  <c r="AH544" i="74"/>
  <c r="CJ787" i="74"/>
  <c r="CJ792" i="74" s="1"/>
  <c r="BJ738" i="74"/>
  <c r="BJ743" i="74" s="1"/>
  <c r="CJ737" i="74"/>
  <c r="CJ738" i="74" s="1"/>
  <c r="CJ743" i="74" s="1"/>
  <c r="AO544" i="74"/>
  <c r="R886" i="74"/>
  <c r="CI786" i="74"/>
  <c r="CD787" i="74"/>
  <c r="CD792" i="74" s="1"/>
  <c r="BW713" i="74"/>
  <c r="BW714" i="74" s="1"/>
  <c r="BW719" i="74" s="1"/>
  <c r="BB739" i="74"/>
  <c r="BB744" i="74" s="1"/>
  <c r="BB748" i="74" s="1"/>
  <c r="AF860" i="74"/>
  <c r="AF865" i="74" s="1"/>
  <c r="BI738" i="74"/>
  <c r="BI743" i="74" s="1"/>
  <c r="CI737" i="74"/>
  <c r="N913" i="74"/>
  <c r="CB786" i="74"/>
  <c r="CB787" i="74" s="1"/>
  <c r="CB792" i="74" s="1"/>
  <c r="R522" i="74"/>
  <c r="AD820" i="74"/>
  <c r="AD809" i="74"/>
  <c r="AD814" i="74" s="1"/>
  <c r="X809" i="74"/>
  <c r="X814" i="74" s="1"/>
  <c r="X820" i="74"/>
  <c r="CN527" i="74"/>
  <c r="CN523" i="74"/>
  <c r="CN528" i="74" s="1"/>
  <c r="AC920" i="74"/>
  <c r="AC922" i="74" s="1"/>
  <c r="AW810" i="74"/>
  <c r="AW811" i="74" s="1"/>
  <c r="AW816" i="74" s="1"/>
  <c r="CC790" i="74"/>
  <c r="S785" i="74"/>
  <c r="CH810" i="74"/>
  <c r="Y919" i="74"/>
  <c r="BA713" i="74"/>
  <c r="BA718" i="74" s="1"/>
  <c r="AE860" i="74"/>
  <c r="Z836" i="74"/>
  <c r="Z841" i="74" s="1"/>
  <c r="AQ712" i="74"/>
  <c r="AQ717" i="74" s="1"/>
  <c r="AQ723" i="74"/>
  <c r="BP787" i="74"/>
  <c r="BP792" i="74" s="1"/>
  <c r="BC696" i="74"/>
  <c r="BC692" i="74"/>
  <c r="BC697" i="74" s="1"/>
  <c r="CH738" i="74"/>
  <c r="CH743" i="74" s="1"/>
  <c r="BC765" i="74"/>
  <c r="BC770" i="74" s="1"/>
  <c r="BC774" i="74" s="1"/>
  <c r="CF589" i="74"/>
  <c r="CF491" i="74"/>
  <c r="CF613" i="74" s="1"/>
  <c r="CL589" i="74"/>
  <c r="CL491" i="74"/>
  <c r="CL613" i="74" s="1"/>
  <c r="R785" i="74"/>
  <c r="BQ790" i="74"/>
  <c r="R796" i="74"/>
  <c r="AG525" i="74"/>
  <c r="O520" i="74"/>
  <c r="BQ589" i="74"/>
  <c r="BQ491" i="74"/>
  <c r="R490" i="74"/>
  <c r="CA637" i="74"/>
  <c r="CA493" i="74"/>
  <c r="CA661" i="74" s="1"/>
  <c r="BV567" i="74"/>
  <c r="BV572" i="74" s="1"/>
  <c r="BV578" i="74"/>
  <c r="BC838" i="74"/>
  <c r="BC843" i="74" s="1"/>
  <c r="BI589" i="74"/>
  <c r="BI491" i="74"/>
  <c r="BI613" i="74" s="1"/>
  <c r="BH637" i="74"/>
  <c r="BH493" i="74"/>
  <c r="BH661" i="74" s="1"/>
  <c r="BN567" i="74"/>
  <c r="BN572" i="74" s="1"/>
  <c r="BN578" i="74"/>
  <c r="BT765" i="74"/>
  <c r="BT770" i="74" s="1"/>
  <c r="BT774" i="74" s="1"/>
  <c r="CL811" i="74"/>
  <c r="CL816" i="74" s="1"/>
  <c r="CE692" i="74"/>
  <c r="CE697" i="74" s="1"/>
  <c r="CE701" i="74" s="1"/>
  <c r="BZ713" i="74"/>
  <c r="BZ718" i="74" s="1"/>
  <c r="BU713" i="74"/>
  <c r="BU718" i="74" s="1"/>
  <c r="AT738" i="74"/>
  <c r="AT743" i="74" s="1"/>
  <c r="BD738" i="74"/>
  <c r="BD743" i="74" s="1"/>
  <c r="Y836" i="74"/>
  <c r="AL820" i="74"/>
  <c r="AL809" i="74"/>
  <c r="AL814" i="74" s="1"/>
  <c r="AG796" i="74"/>
  <c r="O783" i="74"/>
  <c r="AG785" i="74"/>
  <c r="AG786" i="74" s="1"/>
  <c r="BO811" i="74"/>
  <c r="BO816" i="74" s="1"/>
  <c r="BJ786" i="74"/>
  <c r="CF737" i="74"/>
  <c r="AE712" i="74"/>
  <c r="AE717" i="74" s="1"/>
  <c r="AE723" i="74"/>
  <c r="AS578" i="74"/>
  <c r="P565" i="74"/>
  <c r="AS567" i="74"/>
  <c r="AX589" i="74"/>
  <c r="AX491" i="74"/>
  <c r="AX613" i="74" s="1"/>
  <c r="AI870" i="74"/>
  <c r="AO859" i="74"/>
  <c r="AO864" i="74" s="1"/>
  <c r="AA544" i="74"/>
  <c r="AA545" i="74" s="1"/>
  <c r="AA550" i="74" s="1"/>
  <c r="BY714" i="74"/>
  <c r="BY719" i="74" s="1"/>
  <c r="AW555" i="74" l="1"/>
  <c r="AW556" i="74" s="1"/>
  <c r="AW558" i="74" s="1"/>
  <c r="AW559" i="74" s="1"/>
  <c r="BK559" i="74"/>
  <c r="BD774" i="74"/>
  <c r="CF532" i="74"/>
  <c r="CF533" i="74" s="1"/>
  <c r="CF535" i="74" s="1"/>
  <c r="BU546" i="74"/>
  <c r="BU551" i="74" s="1"/>
  <c r="BU555" i="74" s="1"/>
  <c r="BU556" i="74" s="1"/>
  <c r="BU558" i="74" s="1"/>
  <c r="BD714" i="74"/>
  <c r="AL546" i="74"/>
  <c r="AL551" i="74" s="1"/>
  <c r="BJ714" i="74"/>
  <c r="BJ719" i="74" s="1"/>
  <c r="AQ701" i="74"/>
  <c r="AQ702" i="74" s="1"/>
  <c r="AW546" i="74"/>
  <c r="AW551" i="74" s="1"/>
  <c r="BK861" i="74"/>
  <c r="BK866" i="74" s="1"/>
  <c r="Z692" i="74"/>
  <c r="Z697" i="74" s="1"/>
  <c r="Z701" i="74" s="1"/>
  <c r="AS546" i="74"/>
  <c r="CK715" i="74"/>
  <c r="CK720" i="74" s="1"/>
  <c r="CK724" i="74" s="1"/>
  <c r="CK725" i="74" s="1"/>
  <c r="CK727" i="74" s="1"/>
  <c r="BN738" i="74"/>
  <c r="BN743" i="74" s="1"/>
  <c r="AK546" i="74"/>
  <c r="AK551" i="74" s="1"/>
  <c r="AK555" i="74" s="1"/>
  <c r="AK556" i="74" s="1"/>
  <c r="AK558" i="74" s="1"/>
  <c r="BS550" i="74"/>
  <c r="BS555" i="74" s="1"/>
  <c r="BS546" i="74"/>
  <c r="BS551" i="74" s="1"/>
  <c r="CF714" i="74"/>
  <c r="CF719" i="74" s="1"/>
  <c r="AZ739" i="74"/>
  <c r="AZ744" i="74" s="1"/>
  <c r="AZ748" i="74" s="1"/>
  <c r="BF788" i="74"/>
  <c r="BF793" i="74" s="1"/>
  <c r="BH738" i="74"/>
  <c r="BH743" i="74" s="1"/>
  <c r="Z545" i="74"/>
  <c r="Z550" i="74" s="1"/>
  <c r="AM765" i="74"/>
  <c r="AM770" i="74" s="1"/>
  <c r="AM774" i="74" s="1"/>
  <c r="AM775" i="74" s="1"/>
  <c r="AM777" i="74" s="1"/>
  <c r="BT714" i="74"/>
  <c r="BT719" i="74" s="1"/>
  <c r="AF546" i="74"/>
  <c r="AF551" i="74" s="1"/>
  <c r="AF555" i="74" s="1"/>
  <c r="AF556" i="74" s="1"/>
  <c r="AF558" i="74" s="1"/>
  <c r="BV787" i="74"/>
  <c r="BV792" i="74" s="1"/>
  <c r="BG532" i="74"/>
  <c r="AZ811" i="74"/>
  <c r="AZ816" i="74" s="1"/>
  <c r="AM545" i="74"/>
  <c r="CK714" i="74"/>
  <c r="CK719" i="74" s="1"/>
  <c r="BJ715" i="74"/>
  <c r="BJ720" i="74" s="1"/>
  <c r="BJ724" i="74" s="1"/>
  <c r="AI837" i="74"/>
  <c r="AI842" i="74" s="1"/>
  <c r="BN774" i="74"/>
  <c r="CF838" i="74"/>
  <c r="CF843" i="74" s="1"/>
  <c r="CF847" i="74" s="1"/>
  <c r="Y545" i="74"/>
  <c r="BI702" i="74"/>
  <c r="BI704" i="74" s="1"/>
  <c r="X535" i="74"/>
  <c r="AS701" i="74"/>
  <c r="P701" i="74" s="1"/>
  <c r="AZ738" i="74"/>
  <c r="AZ743" i="74" s="1"/>
  <c r="W860" i="74"/>
  <c r="U842" i="74"/>
  <c r="CN811" i="74"/>
  <c r="CN816" i="74" s="1"/>
  <c r="BT701" i="74"/>
  <c r="BT702" i="74" s="1"/>
  <c r="BT704" i="74" s="1"/>
  <c r="BN555" i="74"/>
  <c r="BN556" i="74" s="1"/>
  <c r="BN558" i="74" s="1"/>
  <c r="BN559" i="74" s="1"/>
  <c r="AZ550" i="74"/>
  <c r="AZ546" i="74"/>
  <c r="AZ551" i="74" s="1"/>
  <c r="AH737" i="74"/>
  <c r="AH742" i="74" s="1"/>
  <c r="BY811" i="74"/>
  <c r="BY816" i="74" s="1"/>
  <c r="AC860" i="74"/>
  <c r="AC865" i="74" s="1"/>
  <c r="AH786" i="74"/>
  <c r="AH791" i="74" s="1"/>
  <c r="AH860" i="74"/>
  <c r="AH865" i="74" s="1"/>
  <c r="CD842" i="74"/>
  <c r="CD838" i="74"/>
  <c r="CD843" i="74" s="1"/>
  <c r="CD847" i="74" s="1"/>
  <c r="CD848" i="74" s="1"/>
  <c r="CD850" i="74" s="1"/>
  <c r="AW842" i="74"/>
  <c r="AW838" i="74"/>
  <c r="AW843" i="74" s="1"/>
  <c r="AR737" i="74"/>
  <c r="AR742" i="74" s="1"/>
  <c r="BK714" i="74"/>
  <c r="CB775" i="74"/>
  <c r="CB777" i="74" s="1"/>
  <c r="BC550" i="74"/>
  <c r="BC546" i="74"/>
  <c r="BC551" i="74" s="1"/>
  <c r="AK527" i="74"/>
  <c r="AK523" i="74"/>
  <c r="AK528" i="74" s="1"/>
  <c r="BG550" i="74"/>
  <c r="BG546" i="74"/>
  <c r="BG551" i="74" s="1"/>
  <c r="AE769" i="74"/>
  <c r="AE765" i="74"/>
  <c r="AE770" i="74" s="1"/>
  <c r="CN532" i="74"/>
  <c r="CN535" i="74" s="1"/>
  <c r="CE861" i="74"/>
  <c r="CE866" i="74" s="1"/>
  <c r="AP774" i="74"/>
  <c r="BH532" i="74"/>
  <c r="Q841" i="74"/>
  <c r="AO774" i="74"/>
  <c r="AO775" i="74" s="1"/>
  <c r="AO777" i="74" s="1"/>
  <c r="X774" i="74"/>
  <c r="X775" i="74" s="1"/>
  <c r="X777" i="74" s="1"/>
  <c r="AA769" i="74"/>
  <c r="AA765" i="74"/>
  <c r="AA770" i="74" s="1"/>
  <c r="CA532" i="74"/>
  <c r="CJ550" i="74"/>
  <c r="CJ546" i="74"/>
  <c r="CJ551" i="74" s="1"/>
  <c r="CG842" i="74"/>
  <c r="CG838" i="74"/>
  <c r="CG843" i="74" s="1"/>
  <c r="BV550" i="74"/>
  <c r="BV555" i="74" s="1"/>
  <c r="BV546" i="74"/>
  <c r="BV551" i="74" s="1"/>
  <c r="Z527" i="74"/>
  <c r="Z523" i="74"/>
  <c r="Z528" i="74" s="1"/>
  <c r="AE837" i="74"/>
  <c r="AE842" i="74" s="1"/>
  <c r="Z546" i="74"/>
  <c r="Z551" i="74" s="1"/>
  <c r="Z555" i="74" s="1"/>
  <c r="Z556" i="74" s="1"/>
  <c r="Z558" i="74" s="1"/>
  <c r="CM788" i="74"/>
  <c r="CM793" i="74" s="1"/>
  <c r="BB555" i="74"/>
  <c r="CC546" i="74"/>
  <c r="CC551" i="74" s="1"/>
  <c r="BK739" i="74"/>
  <c r="BK744" i="74" s="1"/>
  <c r="BK748" i="74" s="1"/>
  <c r="BZ788" i="74"/>
  <c r="BZ793" i="74" s="1"/>
  <c r="BZ797" i="74" s="1"/>
  <c r="R528" i="74"/>
  <c r="AK838" i="74"/>
  <c r="AK843" i="74" s="1"/>
  <c r="AK847" i="74" s="1"/>
  <c r="BL812" i="74"/>
  <c r="BL817" i="74" s="1"/>
  <c r="BL821" i="74" s="1"/>
  <c r="BL822" i="74" s="1"/>
  <c r="BL824" i="74" s="1"/>
  <c r="BX532" i="74"/>
  <c r="BX533" i="74" s="1"/>
  <c r="BX535" i="74" s="1"/>
  <c r="AL555" i="74"/>
  <c r="AL556" i="74" s="1"/>
  <c r="AL558" i="74" s="1"/>
  <c r="AI774" i="74"/>
  <c r="AY704" i="74"/>
  <c r="BN787" i="74"/>
  <c r="BN792" i="74" s="1"/>
  <c r="AF696" i="74"/>
  <c r="AF692" i="74"/>
  <c r="AF697" i="74" s="1"/>
  <c r="AH527" i="74"/>
  <c r="AH523" i="74"/>
  <c r="AH528" i="74" s="1"/>
  <c r="AB545" i="74"/>
  <c r="S920" i="74"/>
  <c r="S528" i="74"/>
  <c r="CE532" i="74"/>
  <c r="CE533" i="74" s="1"/>
  <c r="BC701" i="74"/>
  <c r="BC702" i="74" s="1"/>
  <c r="BC704" i="74" s="1"/>
  <c r="S523" i="74"/>
  <c r="V545" i="74"/>
  <c r="BF774" i="74"/>
  <c r="R523" i="74"/>
  <c r="AC555" i="74"/>
  <c r="AC556" i="74" s="1"/>
  <c r="AC558" i="74" s="1"/>
  <c r="AC559" i="74" s="1"/>
  <c r="BG714" i="74"/>
  <c r="BG719" i="74" s="1"/>
  <c r="BU812" i="74"/>
  <c r="BU817" i="74" s="1"/>
  <c r="BU821" i="74" s="1"/>
  <c r="BF838" i="74"/>
  <c r="BF843" i="74" s="1"/>
  <c r="BF847" i="74" s="1"/>
  <c r="BI811" i="74"/>
  <c r="BI816" i="74" s="1"/>
  <c r="BU787" i="74"/>
  <c r="AX838" i="74"/>
  <c r="AX843" i="74" s="1"/>
  <c r="AX847" i="74" s="1"/>
  <c r="AX848" i="74" s="1"/>
  <c r="AX850" i="74" s="1"/>
  <c r="BC714" i="74"/>
  <c r="BP532" i="74"/>
  <c r="BP533" i="74" s="1"/>
  <c r="BP535" i="74" s="1"/>
  <c r="AC527" i="74"/>
  <c r="AC532" i="74" s="1"/>
  <c r="AC533" i="74" s="1"/>
  <c r="AC535" i="74" s="1"/>
  <c r="AC523" i="74"/>
  <c r="AC528" i="74" s="1"/>
  <c r="BC533" i="74"/>
  <c r="BC535" i="74" s="1"/>
  <c r="BI550" i="74"/>
  <c r="BI555" i="74" s="1"/>
  <c r="BI556" i="74" s="1"/>
  <c r="BI558" i="74" s="1"/>
  <c r="BI559" i="74" s="1"/>
  <c r="BI546" i="74"/>
  <c r="BI551" i="74" s="1"/>
  <c r="AJ769" i="74"/>
  <c r="AJ765" i="74"/>
  <c r="AJ770" i="74" s="1"/>
  <c r="AJ774" i="74" s="1"/>
  <c r="CH842" i="74"/>
  <c r="CH838" i="74"/>
  <c r="CH843" i="74" s="1"/>
  <c r="AL527" i="74"/>
  <c r="AL523" i="74"/>
  <c r="AL528" i="74" s="1"/>
  <c r="AI545" i="74"/>
  <c r="AX865" i="74"/>
  <c r="AX861" i="74"/>
  <c r="AX866" i="74" s="1"/>
  <c r="CE842" i="74"/>
  <c r="CE838" i="74"/>
  <c r="CE843" i="74" s="1"/>
  <c r="CE847" i="74" s="1"/>
  <c r="AU718" i="74"/>
  <c r="AU714" i="74"/>
  <c r="BZ838" i="74"/>
  <c r="BZ843" i="74" s="1"/>
  <c r="AJ786" i="74"/>
  <c r="AJ791" i="74" s="1"/>
  <c r="AZ812" i="74"/>
  <c r="AZ817" i="74" s="1"/>
  <c r="AZ821" i="74" s="1"/>
  <c r="AZ822" i="74" s="1"/>
  <c r="AZ824" i="74" s="1"/>
  <c r="X737" i="74"/>
  <c r="X742" i="74" s="1"/>
  <c r="BX812" i="74"/>
  <c r="BX817" i="74" s="1"/>
  <c r="BX821" i="74" s="1"/>
  <c r="BY812" i="74"/>
  <c r="BY817" i="74" s="1"/>
  <c r="BY821" i="74" s="1"/>
  <c r="BZ568" i="74"/>
  <c r="BZ573" i="74" s="1"/>
  <c r="BW865" i="74"/>
  <c r="BW861" i="74"/>
  <c r="BW866" i="74" s="1"/>
  <c r="BM811" i="74"/>
  <c r="BM816" i="74" s="1"/>
  <c r="AA919" i="74"/>
  <c r="AL737" i="74"/>
  <c r="AL742" i="74" s="1"/>
  <c r="CA787" i="74"/>
  <c r="BL742" i="74"/>
  <c r="BL738" i="74"/>
  <c r="AY861" i="74"/>
  <c r="AY866" i="74" s="1"/>
  <c r="AY870" i="74" s="1"/>
  <c r="AY871" i="74" s="1"/>
  <c r="AL713" i="74"/>
  <c r="AL718" i="74" s="1"/>
  <c r="W786" i="74"/>
  <c r="W791" i="74" s="1"/>
  <c r="AI786" i="74"/>
  <c r="AI791" i="74" s="1"/>
  <c r="CA714" i="74"/>
  <c r="CK842" i="74"/>
  <c r="CK838" i="74"/>
  <c r="CK843" i="74" s="1"/>
  <c r="Y786" i="74"/>
  <c r="Y791" i="74" s="1"/>
  <c r="BY847" i="74"/>
  <c r="AE810" i="74"/>
  <c r="AE815" i="74" s="1"/>
  <c r="Y713" i="74"/>
  <c r="Y718" i="74" s="1"/>
  <c r="AJ737" i="74"/>
  <c r="AJ742" i="74" s="1"/>
  <c r="BY865" i="74"/>
  <c r="BY861" i="74"/>
  <c r="BY866" i="74" s="1"/>
  <c r="CK568" i="74"/>
  <c r="CK573" i="74" s="1"/>
  <c r="AP737" i="74"/>
  <c r="AP742" i="74" s="1"/>
  <c r="AY838" i="74"/>
  <c r="AY843" i="74" s="1"/>
  <c r="AY847" i="74" s="1"/>
  <c r="AY848" i="74" s="1"/>
  <c r="AV811" i="74"/>
  <c r="AL786" i="74"/>
  <c r="AL791" i="74" s="1"/>
  <c r="AK919" i="74"/>
  <c r="AK920" i="74" s="1"/>
  <c r="AK922" i="74" s="1"/>
  <c r="BS811" i="74"/>
  <c r="BS816" i="74" s="1"/>
  <c r="S891" i="74"/>
  <c r="AD920" i="74"/>
  <c r="AD922" i="74" s="1"/>
  <c r="BM787" i="74"/>
  <c r="BM792" i="74" s="1"/>
  <c r="P837" i="74"/>
  <c r="CD714" i="74"/>
  <c r="CD719" i="74" s="1"/>
  <c r="BU568" i="74"/>
  <c r="BU573" i="74" s="1"/>
  <c r="AQ919" i="74"/>
  <c r="CF568" i="74"/>
  <c r="CF573" i="74" s="1"/>
  <c r="CA838" i="74"/>
  <c r="CA843" i="74" s="1"/>
  <c r="AN860" i="74"/>
  <c r="AN865" i="74" s="1"/>
  <c r="P578" i="74"/>
  <c r="AR860" i="74"/>
  <c r="AR865" i="74" s="1"/>
  <c r="N836" i="74"/>
  <c r="CC788" i="74"/>
  <c r="BF738" i="74"/>
  <c r="BF743" i="74" s="1"/>
  <c r="AR837" i="74"/>
  <c r="AR842" i="74" s="1"/>
  <c r="BL787" i="74"/>
  <c r="BL792" i="74" s="1"/>
  <c r="CH568" i="74"/>
  <c r="CH573" i="74" s="1"/>
  <c r="BH714" i="74"/>
  <c r="BH719" i="74" s="1"/>
  <c r="BY568" i="74"/>
  <c r="BY573" i="74" s="1"/>
  <c r="AF737" i="74"/>
  <c r="AF742" i="74" s="1"/>
  <c r="BT811" i="74"/>
  <c r="CN812" i="74"/>
  <c r="CN817" i="74" s="1"/>
  <c r="CN821" i="74" s="1"/>
  <c r="AB737" i="74"/>
  <c r="AB742" i="74" s="1"/>
  <c r="BX568" i="74"/>
  <c r="BX573" i="74" s="1"/>
  <c r="Z860" i="74"/>
  <c r="BQ792" i="74"/>
  <c r="AC810" i="74"/>
  <c r="AC815" i="74" s="1"/>
  <c r="CD811" i="74"/>
  <c r="BV842" i="74"/>
  <c r="BV838" i="74"/>
  <c r="BV843" i="74" s="1"/>
  <c r="AV791" i="74"/>
  <c r="AV787" i="74"/>
  <c r="AV792" i="74" s="1"/>
  <c r="AY811" i="74"/>
  <c r="AY816" i="74" s="1"/>
  <c r="AE713" i="74"/>
  <c r="AE718" i="74" s="1"/>
  <c r="AP861" i="74"/>
  <c r="AP866" i="74" s="1"/>
  <c r="AP870" i="74" s="1"/>
  <c r="AP871" i="74" s="1"/>
  <c r="AP873" i="74" s="1"/>
  <c r="BB811" i="74"/>
  <c r="BB816" i="74" s="1"/>
  <c r="V786" i="74"/>
  <c r="V791" i="74" s="1"/>
  <c r="AH713" i="74"/>
  <c r="AH718" i="74" s="1"/>
  <c r="AX738" i="74"/>
  <c r="AX743" i="74" s="1"/>
  <c r="AU568" i="74"/>
  <c r="AU573" i="74" s="1"/>
  <c r="BG787" i="74"/>
  <c r="AH861" i="74"/>
  <c r="AH866" i="74" s="1"/>
  <c r="AH870" i="74" s="1"/>
  <c r="AH871" i="74" s="1"/>
  <c r="AH873" i="74" s="1"/>
  <c r="BW788" i="74"/>
  <c r="BW793" i="74" s="1"/>
  <c r="BW797" i="74" s="1"/>
  <c r="BW798" i="74" s="1"/>
  <c r="BW800" i="74" s="1"/>
  <c r="AT874" i="74"/>
  <c r="X786" i="74"/>
  <c r="X791" i="74" s="1"/>
  <c r="AG860" i="74"/>
  <c r="AG861" i="74" s="1"/>
  <c r="AG866" i="74" s="1"/>
  <c r="W713" i="74"/>
  <c r="W718" i="74" s="1"/>
  <c r="AT811" i="74"/>
  <c r="BZ811" i="74"/>
  <c r="BZ816" i="74" s="1"/>
  <c r="AB860" i="74"/>
  <c r="AB865" i="74" s="1"/>
  <c r="AQ864" i="74"/>
  <c r="AQ860" i="74"/>
  <c r="CL842" i="74"/>
  <c r="CL838" i="74"/>
  <c r="CL843" i="74" s="1"/>
  <c r="BK874" i="74"/>
  <c r="CI568" i="74"/>
  <c r="CI573" i="74" s="1"/>
  <c r="BC568" i="74"/>
  <c r="BC573" i="74" s="1"/>
  <c r="AT797" i="74"/>
  <c r="AT798" i="74" s="1"/>
  <c r="AT800" i="74" s="1"/>
  <c r="AT801" i="74" s="1"/>
  <c r="CE870" i="74"/>
  <c r="BF797" i="74"/>
  <c r="BF798" i="74" s="1"/>
  <c r="BF800" i="74" s="1"/>
  <c r="CM797" i="74"/>
  <c r="CM798" i="74" s="1"/>
  <c r="CM800" i="74" s="1"/>
  <c r="AX568" i="74"/>
  <c r="AX573" i="74" s="1"/>
  <c r="BI568" i="74"/>
  <c r="BI573" i="74" s="1"/>
  <c r="CA870" i="74"/>
  <c r="CA871" i="74" s="1"/>
  <c r="CA873" i="74" s="1"/>
  <c r="BP865" i="74"/>
  <c r="BP861" i="74"/>
  <c r="BP866" i="74" s="1"/>
  <c r="BM865" i="74"/>
  <c r="BM861" i="74"/>
  <c r="BM866" i="74" s="1"/>
  <c r="BD865" i="74"/>
  <c r="BD861" i="74"/>
  <c r="BD866" i="74" s="1"/>
  <c r="Y864" i="74"/>
  <c r="Y860" i="74"/>
  <c r="CM842" i="74"/>
  <c r="CM838" i="74"/>
  <c r="CM843" i="74" s="1"/>
  <c r="BR791" i="74"/>
  <c r="BR787" i="74"/>
  <c r="AQ713" i="74"/>
  <c r="AQ718" i="74" s="1"/>
  <c r="BA714" i="74"/>
  <c r="BA719" i="74" s="1"/>
  <c r="Q837" i="74"/>
  <c r="AE838" i="74"/>
  <c r="AE843" i="74" s="1"/>
  <c r="AE847" i="74" s="1"/>
  <c r="AE848" i="74" s="1"/>
  <c r="AE850" i="74" s="1"/>
  <c r="BZ847" i="74"/>
  <c r="BZ848" i="74" s="1"/>
  <c r="BZ850" i="74" s="1"/>
  <c r="AN786" i="74"/>
  <c r="AN791" i="74" s="1"/>
  <c r="V713" i="74"/>
  <c r="V718" i="74" s="1"/>
  <c r="BC847" i="74"/>
  <c r="BC848" i="74" s="1"/>
  <c r="BC850" i="74" s="1"/>
  <c r="BV797" i="74"/>
  <c r="BV798" i="74" s="1"/>
  <c r="BV800" i="74" s="1"/>
  <c r="AM786" i="74"/>
  <c r="AM791" i="74" s="1"/>
  <c r="CF811" i="74"/>
  <c r="CF816" i="74" s="1"/>
  <c r="BM568" i="74"/>
  <c r="BM573" i="74" s="1"/>
  <c r="AB738" i="74"/>
  <c r="AB743" i="74" s="1"/>
  <c r="AN737" i="74"/>
  <c r="AN742" i="74" s="1"/>
  <c r="BA568" i="74"/>
  <c r="BA573" i="74" s="1"/>
  <c r="BR865" i="74"/>
  <c r="BR861" i="74"/>
  <c r="BR866" i="74" s="1"/>
  <c r="BU842" i="74"/>
  <c r="BU838" i="74"/>
  <c r="BU843" i="74" s="1"/>
  <c r="BW842" i="74"/>
  <c r="BW838" i="74"/>
  <c r="BW843" i="74" s="1"/>
  <c r="CM865" i="74"/>
  <c r="CM861" i="74"/>
  <c r="CM866" i="74" s="1"/>
  <c r="AN841" i="74"/>
  <c r="AN837" i="74"/>
  <c r="AX811" i="74"/>
  <c r="CM815" i="74"/>
  <c r="CM811" i="74"/>
  <c r="AY714" i="74"/>
  <c r="CC715" i="74"/>
  <c r="CC720" i="74" s="1"/>
  <c r="BA821" i="74"/>
  <c r="BA822" i="74" s="1"/>
  <c r="BA824" i="74" s="1"/>
  <c r="AA713" i="74"/>
  <c r="AM737" i="74"/>
  <c r="AM742" i="74" s="1"/>
  <c r="Z737" i="74"/>
  <c r="Z742" i="74" s="1"/>
  <c r="AQ810" i="74"/>
  <c r="AQ815" i="74" s="1"/>
  <c r="BH568" i="74"/>
  <c r="BH573" i="74" s="1"/>
  <c r="AD713" i="74"/>
  <c r="AK786" i="74"/>
  <c r="AK791" i="74" s="1"/>
  <c r="BL568" i="74"/>
  <c r="BL573" i="74" s="1"/>
  <c r="AR786" i="74"/>
  <c r="AR791" i="74" s="1"/>
  <c r="BX842" i="74"/>
  <c r="BX838" i="74"/>
  <c r="BX843" i="74" s="1"/>
  <c r="CL714" i="74"/>
  <c r="V837" i="74"/>
  <c r="V842" i="74" s="1"/>
  <c r="CD896" i="74"/>
  <c r="CD898" i="74" s="1"/>
  <c r="CE811" i="74"/>
  <c r="BA842" i="74"/>
  <c r="BA838" i="74"/>
  <c r="BA843" i="74" s="1"/>
  <c r="BG738" i="74"/>
  <c r="Y837" i="74"/>
  <c r="Y842" i="74" s="1"/>
  <c r="BU714" i="74"/>
  <c r="BU719" i="74" s="1"/>
  <c r="AQ714" i="74"/>
  <c r="AQ719" i="74" s="1"/>
  <c r="AD810" i="74"/>
  <c r="AD815" i="74" s="1"/>
  <c r="AV568" i="74"/>
  <c r="AV573" i="74" s="1"/>
  <c r="W737" i="74"/>
  <c r="W742" i="74" s="1"/>
  <c r="AN787" i="74"/>
  <c r="AN792" i="74" s="1"/>
  <c r="CF812" i="74"/>
  <c r="CF817" i="74" s="1"/>
  <c r="CF821" i="74" s="1"/>
  <c r="CF822" i="74" s="1"/>
  <c r="CF824" i="74" s="1"/>
  <c r="AR919" i="74"/>
  <c r="AQ737" i="74"/>
  <c r="AQ742" i="74" s="1"/>
  <c r="AO847" i="74"/>
  <c r="AP786" i="74"/>
  <c r="AP791" i="74" s="1"/>
  <c r="BP568" i="74"/>
  <c r="CD568" i="74"/>
  <c r="CD573" i="74" s="1"/>
  <c r="AN713" i="74"/>
  <c r="AN718" i="74" s="1"/>
  <c r="AA810" i="74"/>
  <c r="AA815" i="74" s="1"/>
  <c r="V810" i="74"/>
  <c r="AY568" i="74"/>
  <c r="AY573" i="74" s="1"/>
  <c r="AN919" i="74"/>
  <c r="AN920" i="74" s="1"/>
  <c r="BN870" i="74"/>
  <c r="BN871" i="74" s="1"/>
  <c r="BN873" i="74" s="1"/>
  <c r="CL787" i="74"/>
  <c r="AC786" i="74"/>
  <c r="AC791" i="74" s="1"/>
  <c r="AB739" i="74"/>
  <c r="AB744" i="74" s="1"/>
  <c r="CG811" i="74"/>
  <c r="BK787" i="74"/>
  <c r="BZ870" i="74"/>
  <c r="BZ871" i="74" s="1"/>
  <c r="BZ873" i="74" s="1"/>
  <c r="AW568" i="74"/>
  <c r="AW573" i="74" s="1"/>
  <c r="W810" i="74"/>
  <c r="W815" i="74" s="1"/>
  <c r="W714" i="74"/>
  <c r="W719" i="74" s="1"/>
  <c r="AC713" i="74"/>
  <c r="AC718" i="74" s="1"/>
  <c r="AI810" i="74"/>
  <c r="AI815" i="74" s="1"/>
  <c r="CN568" i="74"/>
  <c r="CN573" i="74" s="1"/>
  <c r="AA737" i="74"/>
  <c r="AA742" i="74" s="1"/>
  <c r="BU865" i="74"/>
  <c r="BU861" i="74"/>
  <c r="BU866" i="74" s="1"/>
  <c r="AU865" i="74"/>
  <c r="AU861" i="74"/>
  <c r="AU866" i="74" s="1"/>
  <c r="AL837" i="74"/>
  <c r="CE714" i="74"/>
  <c r="BT787" i="74"/>
  <c r="BC742" i="74"/>
  <c r="BC738" i="74"/>
  <c r="CA742" i="74"/>
  <c r="CA738" i="74"/>
  <c r="AX714" i="74"/>
  <c r="CE702" i="74"/>
  <c r="CE704" i="74" s="1"/>
  <c r="BH556" i="74"/>
  <c r="BH558" i="74" s="1"/>
  <c r="AI533" i="74"/>
  <c r="AI535" i="74" s="1"/>
  <c r="CG871" i="74"/>
  <c r="CG873" i="74" s="1"/>
  <c r="AW871" i="74"/>
  <c r="AW873" i="74" s="1"/>
  <c r="CF702" i="74"/>
  <c r="CF704" i="74" s="1"/>
  <c r="AS848" i="74"/>
  <c r="AS850" i="74" s="1"/>
  <c r="CC848" i="74"/>
  <c r="CC850" i="74" s="1"/>
  <c r="BB848" i="74"/>
  <c r="BB850" i="74" s="1"/>
  <c r="BB871" i="74"/>
  <c r="BB873" i="74" s="1"/>
  <c r="BS848" i="74"/>
  <c r="BS850" i="74" s="1"/>
  <c r="AJ533" i="74"/>
  <c r="AJ535" i="74" s="1"/>
  <c r="AD775" i="74"/>
  <c r="AD777" i="74" s="1"/>
  <c r="AK775" i="74"/>
  <c r="AK777" i="74" s="1"/>
  <c r="BJ848" i="74"/>
  <c r="BJ850" i="74" s="1"/>
  <c r="CN749" i="74"/>
  <c r="CN751" i="74" s="1"/>
  <c r="AO848" i="74"/>
  <c r="AO850" i="74" s="1"/>
  <c r="BB702" i="74"/>
  <c r="BB704" i="74" s="1"/>
  <c r="CF848" i="74"/>
  <c r="CF850" i="74" s="1"/>
  <c r="Z775" i="74"/>
  <c r="Z777" i="74" s="1"/>
  <c r="CN558" i="74"/>
  <c r="CN556" i="74"/>
  <c r="BH871" i="74"/>
  <c r="BH873" i="74" s="1"/>
  <c r="CJ871" i="74"/>
  <c r="CJ873" i="74" s="1"/>
  <c r="Y702" i="74"/>
  <c r="Y704" i="74" s="1"/>
  <c r="BD556" i="74"/>
  <c r="BD558" i="74" s="1"/>
  <c r="BD559" i="74" s="1"/>
  <c r="CI871" i="74"/>
  <c r="CI873" i="74" s="1"/>
  <c r="BC775" i="74"/>
  <c r="BC777" i="74" s="1"/>
  <c r="AZ749" i="74"/>
  <c r="AZ751" i="74" s="1"/>
  <c r="BT775" i="74"/>
  <c r="BT777" i="74" s="1"/>
  <c r="AA533" i="74"/>
  <c r="AA535" i="74" s="1"/>
  <c r="AB702" i="74"/>
  <c r="AB704" i="74" s="1"/>
  <c r="BX775" i="74"/>
  <c r="BX777" i="74" s="1"/>
  <c r="AI702" i="74"/>
  <c r="AI704" i="74"/>
  <c r="AZ775" i="74"/>
  <c r="AZ777" i="74" s="1"/>
  <c r="BG848" i="74"/>
  <c r="BG850" i="74" s="1"/>
  <c r="BG874" i="74" s="1"/>
  <c r="CB848" i="74"/>
  <c r="CB850" i="74" s="1"/>
  <c r="BL848" i="74"/>
  <c r="BL850" i="74" s="1"/>
  <c r="BJ725" i="74"/>
  <c r="BJ727" i="74" s="1"/>
  <c r="BJ728" i="74" s="1"/>
  <c r="V775" i="74"/>
  <c r="V777" i="74" s="1"/>
  <c r="BT871" i="74"/>
  <c r="BT873" i="74" s="1"/>
  <c r="CK702" i="74"/>
  <c r="CK704" i="74" s="1"/>
  <c r="CN871" i="74"/>
  <c r="CN873" i="74" s="1"/>
  <c r="CB556" i="74"/>
  <c r="CB558" i="74" s="1"/>
  <c r="AJ702" i="74"/>
  <c r="AJ704" i="74" s="1"/>
  <c r="BS792" i="74"/>
  <c r="BU702" i="74"/>
  <c r="BU704" i="74" s="1"/>
  <c r="BH533" i="74"/>
  <c r="BH535" i="74"/>
  <c r="X920" i="74"/>
  <c r="X922" i="74" s="1"/>
  <c r="AS702" i="74"/>
  <c r="AS704" i="74" s="1"/>
  <c r="CE871" i="74"/>
  <c r="CE873" i="74" s="1"/>
  <c r="BS871" i="74"/>
  <c r="BS873" i="74" s="1"/>
  <c r="AC775" i="74"/>
  <c r="AC777" i="74" s="1"/>
  <c r="BB749" i="74"/>
  <c r="BB751" i="74" s="1"/>
  <c r="AI920" i="74"/>
  <c r="AI922" i="74" s="1"/>
  <c r="BO556" i="74"/>
  <c r="BO558" i="74" s="1"/>
  <c r="BO559" i="74" s="1"/>
  <c r="AM702" i="74"/>
  <c r="AM704" i="74" s="1"/>
  <c r="BN848" i="74"/>
  <c r="BN850" i="74" s="1"/>
  <c r="AV749" i="74"/>
  <c r="AV751" i="74" s="1"/>
  <c r="CL871" i="74"/>
  <c r="CL873" i="74" s="1"/>
  <c r="AH775" i="74"/>
  <c r="AH777" i="74" s="1"/>
  <c r="BF848" i="74"/>
  <c r="BF850" i="74" s="1"/>
  <c r="BS775" i="74"/>
  <c r="BS777" i="74" s="1"/>
  <c r="AO702" i="74"/>
  <c r="AO704" i="74" s="1"/>
  <c r="BJ791" i="74"/>
  <c r="AH549" i="74"/>
  <c r="BT896" i="74"/>
  <c r="BT898" i="74" s="1"/>
  <c r="AK578" i="74"/>
  <c r="AK567" i="74"/>
  <c r="AK572" i="74" s="1"/>
  <c r="AP637" i="74"/>
  <c r="AP493" i="74"/>
  <c r="AP661" i="74" s="1"/>
  <c r="BL674" i="74"/>
  <c r="BL663" i="74"/>
  <c r="BL668" i="74" s="1"/>
  <c r="AF589" i="74"/>
  <c r="AF491" i="74"/>
  <c r="AF613" i="74" s="1"/>
  <c r="AA637" i="74"/>
  <c r="AA493" i="74"/>
  <c r="AA661" i="74" s="1"/>
  <c r="V567" i="74"/>
  <c r="V572" i="74" s="1"/>
  <c r="V578" i="74"/>
  <c r="BT591" i="74"/>
  <c r="BT596" i="74" s="1"/>
  <c r="BT602" i="74"/>
  <c r="CJ626" i="74"/>
  <c r="CJ615" i="74"/>
  <c r="CJ620" i="74" s="1"/>
  <c r="BQ920" i="74"/>
  <c r="R920" i="74" s="1"/>
  <c r="R919" i="74"/>
  <c r="BF815" i="74"/>
  <c r="BF811" i="74"/>
  <c r="BF816" i="74" s="1"/>
  <c r="BQ719" i="74"/>
  <c r="AS770" i="74"/>
  <c r="P765" i="74"/>
  <c r="CK742" i="74"/>
  <c r="CK738" i="74"/>
  <c r="CK743" i="74" s="1"/>
  <c r="BR842" i="74"/>
  <c r="R837" i="74"/>
  <c r="AD896" i="74"/>
  <c r="AD898" i="74" s="1"/>
  <c r="CL742" i="74"/>
  <c r="BF626" i="74"/>
  <c r="BF615" i="74"/>
  <c r="BF620" i="74" s="1"/>
  <c r="CB533" i="74"/>
  <c r="CB535" i="74" s="1"/>
  <c r="BS650" i="74"/>
  <c r="BS639" i="74"/>
  <c r="BS644" i="74" s="1"/>
  <c r="CN650" i="74"/>
  <c r="CN639" i="74"/>
  <c r="CN644" i="74" s="1"/>
  <c r="U863" i="74"/>
  <c r="N858" i="74"/>
  <c r="BY822" i="74"/>
  <c r="BY824" i="74" s="1"/>
  <c r="AP549" i="74"/>
  <c r="BQ770" i="74"/>
  <c r="R770" i="74" s="1"/>
  <c r="R765" i="74"/>
  <c r="BI798" i="74"/>
  <c r="BI800" i="74" s="1"/>
  <c r="W549" i="74"/>
  <c r="AP775" i="74"/>
  <c r="AP777" i="74" s="1"/>
  <c r="BJ815" i="74"/>
  <c r="BJ602" i="74"/>
  <c r="BJ591" i="74"/>
  <c r="BJ596" i="74" s="1"/>
  <c r="BR639" i="74"/>
  <c r="BR644" i="74" s="1"/>
  <c r="BR650" i="74"/>
  <c r="BI861" i="74"/>
  <c r="BI866" i="74" s="1"/>
  <c r="AF523" i="74"/>
  <c r="AF528" i="74" s="1"/>
  <c r="BB556" i="74"/>
  <c r="BB558" i="74" s="1"/>
  <c r="BB559" i="74" s="1"/>
  <c r="CM650" i="74"/>
  <c r="CM639" i="74"/>
  <c r="CM644" i="74" s="1"/>
  <c r="AR713" i="74"/>
  <c r="AR718" i="74" s="1"/>
  <c r="U847" i="74"/>
  <c r="N840" i="74"/>
  <c r="BG702" i="74"/>
  <c r="BG704" i="74"/>
  <c r="N785" i="74"/>
  <c r="U790" i="74"/>
  <c r="N796" i="74"/>
  <c r="CH674" i="74"/>
  <c r="CH663" i="74"/>
  <c r="CH668" i="74" s="1"/>
  <c r="AV718" i="74"/>
  <c r="AV714" i="74"/>
  <c r="AV719" i="74" s="1"/>
  <c r="BW775" i="74"/>
  <c r="BW777" i="74" s="1"/>
  <c r="U527" i="74"/>
  <c r="N522" i="74"/>
  <c r="BH626" i="74"/>
  <c r="BH615" i="74"/>
  <c r="BH620" i="74" s="1"/>
  <c r="CA626" i="74"/>
  <c r="CA615" i="74"/>
  <c r="CA620" i="74" s="1"/>
  <c r="CL775" i="74"/>
  <c r="CL777" i="74" s="1"/>
  <c r="CL639" i="74"/>
  <c r="CL644" i="74" s="1"/>
  <c r="CL650" i="74"/>
  <c r="CN702" i="74"/>
  <c r="CN704" i="74" s="1"/>
  <c r="BM535" i="74"/>
  <c r="BM559" i="74" s="1"/>
  <c r="BM533" i="74"/>
  <c r="AW626" i="74"/>
  <c r="AW615" i="74"/>
  <c r="AW620" i="74" s="1"/>
  <c r="AG589" i="74"/>
  <c r="AG491" i="74"/>
  <c r="O490" i="74"/>
  <c r="AQ589" i="74"/>
  <c r="AQ491" i="74"/>
  <c r="AQ613" i="74" s="1"/>
  <c r="AL589" i="74"/>
  <c r="AL491" i="74"/>
  <c r="AL613" i="74" s="1"/>
  <c r="CG533" i="74"/>
  <c r="CG535" i="74" s="1"/>
  <c r="BG650" i="74"/>
  <c r="BG639" i="74"/>
  <c r="BG644" i="74" s="1"/>
  <c r="AC637" i="74"/>
  <c r="AC493" i="74"/>
  <c r="AC661" i="74" s="1"/>
  <c r="AB578" i="74"/>
  <c r="AB567" i="74"/>
  <c r="AB572" i="74" s="1"/>
  <c r="AL769" i="74"/>
  <c r="O769" i="74" s="1"/>
  <c r="AL765" i="74"/>
  <c r="AL770" i="74" s="1"/>
  <c r="AR527" i="74"/>
  <c r="AR523" i="74"/>
  <c r="AR528" i="74" s="1"/>
  <c r="CJ842" i="74"/>
  <c r="CJ838" i="74"/>
  <c r="CJ843" i="74" s="1"/>
  <c r="BB714" i="74"/>
  <c r="BB719" i="74" s="1"/>
  <c r="AY550" i="74"/>
  <c r="AY546" i="74"/>
  <c r="AY551" i="74" s="1"/>
  <c r="AU569" i="74"/>
  <c r="AU574" i="74" s="1"/>
  <c r="BA591" i="74"/>
  <c r="BA596" i="74" s="1"/>
  <c r="BA602" i="74"/>
  <c r="CL738" i="74"/>
  <c r="CL743" i="74" s="1"/>
  <c r="BS626" i="74"/>
  <c r="BS615" i="74"/>
  <c r="BS620" i="74" s="1"/>
  <c r="CN591" i="74"/>
  <c r="CN596" i="74" s="1"/>
  <c r="CN602" i="74"/>
  <c r="AQ920" i="74"/>
  <c r="AQ922" i="74" s="1"/>
  <c r="BX861" i="74"/>
  <c r="BX866" i="74" s="1"/>
  <c r="BX870" i="74" s="1"/>
  <c r="BY742" i="74"/>
  <c r="BY738" i="74"/>
  <c r="W545" i="74"/>
  <c r="W550" i="74" s="1"/>
  <c r="BD650" i="74"/>
  <c r="BD639" i="74"/>
  <c r="BD644" i="74" s="1"/>
  <c r="BJ639" i="74"/>
  <c r="BJ644" i="74" s="1"/>
  <c r="BJ650" i="74"/>
  <c r="BE573" i="74"/>
  <c r="BR602" i="74"/>
  <c r="BR591" i="74"/>
  <c r="BR596" i="74" s="1"/>
  <c r="AH838" i="74"/>
  <c r="AX702" i="74"/>
  <c r="AX704" i="74" s="1"/>
  <c r="CD715" i="74"/>
  <c r="CD720" i="74" s="1"/>
  <c r="CD724" i="74" s="1"/>
  <c r="BQ848" i="74"/>
  <c r="BQ850" i="74" s="1"/>
  <c r="BQ533" i="74"/>
  <c r="AX569" i="74"/>
  <c r="AX574" i="74" s="1"/>
  <c r="AS661" i="74"/>
  <c r="P493" i="74"/>
  <c r="U718" i="74"/>
  <c r="U714" i="74"/>
  <c r="BO812" i="74"/>
  <c r="BO817" i="74" s="1"/>
  <c r="BO821" i="74" s="1"/>
  <c r="BV674" i="74"/>
  <c r="BV663" i="74"/>
  <c r="BV668" i="74" s="1"/>
  <c r="BQ574" i="74"/>
  <c r="AK860" i="74"/>
  <c r="BQ896" i="74"/>
  <c r="R895" i="74"/>
  <c r="CG639" i="74"/>
  <c r="CG644" i="74" s="1"/>
  <c r="CG650" i="74"/>
  <c r="BN811" i="74"/>
  <c r="BX739" i="74"/>
  <c r="BX744" i="74" s="1"/>
  <c r="BX748" i="74" s="1"/>
  <c r="AY787" i="74"/>
  <c r="AV626" i="74"/>
  <c r="AV615" i="74"/>
  <c r="AV620" i="74" s="1"/>
  <c r="AM589" i="74"/>
  <c r="AM491" i="74"/>
  <c r="AM613" i="74" s="1"/>
  <c r="AH637" i="74"/>
  <c r="AH493" i="74"/>
  <c r="AH661" i="74" s="1"/>
  <c r="BE814" i="74"/>
  <c r="Q809" i="74"/>
  <c r="CF787" i="74"/>
  <c r="CF792" i="74" s="1"/>
  <c r="BG626" i="74"/>
  <c r="BG615" i="74"/>
  <c r="BG620" i="74" s="1"/>
  <c r="Y637" i="74"/>
  <c r="Y493" i="74"/>
  <c r="Y661" i="74" s="1"/>
  <c r="X578" i="74"/>
  <c r="X567" i="74"/>
  <c r="X572" i="74" s="1"/>
  <c r="BV719" i="74"/>
  <c r="BV715" i="74"/>
  <c r="BV720" i="74" s="1"/>
  <c r="CH788" i="74"/>
  <c r="CH793" i="74" s="1"/>
  <c r="CH797" i="74" s="1"/>
  <c r="BM702" i="74"/>
  <c r="BM704" i="74" s="1"/>
  <c r="BW811" i="74"/>
  <c r="W865" i="74"/>
  <c r="W861" i="74"/>
  <c r="W866" i="74" s="1"/>
  <c r="U896" i="74"/>
  <c r="U898" i="74" s="1"/>
  <c r="N895" i="74"/>
  <c r="CE787" i="74"/>
  <c r="AZ591" i="74"/>
  <c r="AZ596" i="74" s="1"/>
  <c r="AZ602" i="74"/>
  <c r="CH896" i="74"/>
  <c r="CH898" i="74" s="1"/>
  <c r="BP718" i="74"/>
  <c r="BP714" i="74"/>
  <c r="BS533" i="74"/>
  <c r="BS535" i="74" s="1"/>
  <c r="BP650" i="74"/>
  <c r="BP639" i="74"/>
  <c r="BP644" i="74" s="1"/>
  <c r="BY674" i="74"/>
  <c r="BY663" i="74"/>
  <c r="BY668" i="74" s="1"/>
  <c r="CI602" i="74"/>
  <c r="CI591" i="74"/>
  <c r="CI596" i="74" s="1"/>
  <c r="BB812" i="74"/>
  <c r="BB817" i="74" s="1"/>
  <c r="BB821" i="74" s="1"/>
  <c r="AM861" i="74"/>
  <c r="AM866" i="74" s="1"/>
  <c r="AM870" i="74" s="1"/>
  <c r="AJ896" i="74"/>
  <c r="AJ898" i="74" s="1"/>
  <c r="AI775" i="74"/>
  <c r="AI777" i="74" s="1"/>
  <c r="P713" i="74"/>
  <c r="AY650" i="74"/>
  <c r="AY639" i="74"/>
  <c r="AY644" i="74" s="1"/>
  <c r="AE523" i="74"/>
  <c r="AE528" i="74" s="1"/>
  <c r="AE532" i="74" s="1"/>
  <c r="BQ550" i="74"/>
  <c r="R545" i="74"/>
  <c r="BY848" i="74"/>
  <c r="BY850" i="74" s="1"/>
  <c r="BU739" i="74"/>
  <c r="BU744" i="74" s="1"/>
  <c r="BU748" i="74" s="1"/>
  <c r="CG788" i="74"/>
  <c r="CG793" i="74" s="1"/>
  <c r="CG797" i="74" s="1"/>
  <c r="BE639" i="74"/>
  <c r="BE640" i="74" s="1"/>
  <c r="Q637" i="74"/>
  <c r="BE650" i="74"/>
  <c r="U695" i="74"/>
  <c r="N695" i="74" s="1"/>
  <c r="N690" i="74"/>
  <c r="CC572" i="74"/>
  <c r="S567" i="74"/>
  <c r="BP812" i="74"/>
  <c r="BP817" i="74" s="1"/>
  <c r="BP821" i="74" s="1"/>
  <c r="CN715" i="74"/>
  <c r="CN720" i="74" s="1"/>
  <c r="CN724" i="74" s="1"/>
  <c r="BC626" i="74"/>
  <c r="BC615" i="74"/>
  <c r="BC620" i="74" s="1"/>
  <c r="AS591" i="74"/>
  <c r="AS602" i="74"/>
  <c r="P589" i="74"/>
  <c r="BI674" i="74"/>
  <c r="BI663" i="74"/>
  <c r="BI668" i="74" s="1"/>
  <c r="BQ661" i="74"/>
  <c r="R493" i="74"/>
  <c r="S527" i="74"/>
  <c r="CG626" i="74"/>
  <c r="CG615" i="74"/>
  <c r="CG620" i="74" s="1"/>
  <c r="AS919" i="74"/>
  <c r="Y527" i="74"/>
  <c r="Y523" i="74"/>
  <c r="Y528" i="74" s="1"/>
  <c r="Q548" i="74"/>
  <c r="CI550" i="74"/>
  <c r="CI546" i="74"/>
  <c r="CI551" i="74" s="1"/>
  <c r="N544" i="74"/>
  <c r="U549" i="74"/>
  <c r="U548" i="74"/>
  <c r="N543" i="74"/>
  <c r="AO589" i="74"/>
  <c r="AO491" i="74"/>
  <c r="AO613" i="74" s="1"/>
  <c r="AN637" i="74"/>
  <c r="AN493" i="74"/>
  <c r="AN661" i="74" s="1"/>
  <c r="AI567" i="74"/>
  <c r="AI572" i="74" s="1"/>
  <c r="AI578" i="74"/>
  <c r="BM674" i="74"/>
  <c r="BM663" i="74"/>
  <c r="BM668" i="74" s="1"/>
  <c r="U589" i="74"/>
  <c r="U491" i="74"/>
  <c r="N490" i="74"/>
  <c r="AE567" i="74"/>
  <c r="AE572" i="74" s="1"/>
  <c r="AE578" i="74"/>
  <c r="BZ569" i="74"/>
  <c r="BZ574" i="74" s="1"/>
  <c r="BU591" i="74"/>
  <c r="BU596" i="74" s="1"/>
  <c r="BU602" i="74"/>
  <c r="CK626" i="74"/>
  <c r="CK615" i="74"/>
  <c r="CK620" i="74" s="1"/>
  <c r="W765" i="74"/>
  <c r="W770" i="74" s="1"/>
  <c r="W774" i="74" s="1"/>
  <c r="O544" i="74"/>
  <c r="AG549" i="74"/>
  <c r="AG545" i="74"/>
  <c r="AG546" i="74" s="1"/>
  <c r="AU626" i="74"/>
  <c r="AU615" i="74"/>
  <c r="AU620" i="74" s="1"/>
  <c r="BK650" i="74"/>
  <c r="BK639" i="74"/>
  <c r="BK644" i="74" s="1"/>
  <c r="BX663" i="74"/>
  <c r="BX668" i="74" s="1"/>
  <c r="BX674" i="74"/>
  <c r="CD626" i="74"/>
  <c r="CD615" i="74"/>
  <c r="CD620" i="74" s="1"/>
  <c r="CC814" i="74"/>
  <c r="S809" i="74"/>
  <c r="P527" i="74"/>
  <c r="P548" i="74"/>
  <c r="BJ861" i="74"/>
  <c r="BJ866" i="74" s="1"/>
  <c r="P697" i="74"/>
  <c r="BJ546" i="74"/>
  <c r="BJ551" i="74" s="1"/>
  <c r="O914" i="74"/>
  <c r="AT674" i="74"/>
  <c r="AT663" i="74"/>
  <c r="AT668" i="74" s="1"/>
  <c r="BP838" i="74"/>
  <c r="BP843" i="74" s="1"/>
  <c r="BW674" i="74"/>
  <c r="BW663" i="74"/>
  <c r="BW668" i="74" s="1"/>
  <c r="O764" i="74"/>
  <c r="BI626" i="74"/>
  <c r="BI615" i="74"/>
  <c r="BI620" i="74" s="1"/>
  <c r="BQ591" i="74"/>
  <c r="BQ592" i="74" s="1"/>
  <c r="R589" i="74"/>
  <c r="BQ602" i="74"/>
  <c r="AG791" i="74"/>
  <c r="BN568" i="74"/>
  <c r="BN573" i="74" s="1"/>
  <c r="BI591" i="74"/>
  <c r="BI596" i="74" s="1"/>
  <c r="BI602" i="74"/>
  <c r="CA650" i="74"/>
  <c r="CA639" i="74"/>
  <c r="CA644" i="74" s="1"/>
  <c r="CF591" i="74"/>
  <c r="CF596" i="74" s="1"/>
  <c r="CF602" i="74"/>
  <c r="AE865" i="74"/>
  <c r="AE861" i="74"/>
  <c r="AE866" i="74" s="1"/>
  <c r="CH815" i="74"/>
  <c r="X810" i="74"/>
  <c r="X815" i="74" s="1"/>
  <c r="CJ742" i="74"/>
  <c r="CJ739" i="74"/>
  <c r="CJ744" i="74" s="1"/>
  <c r="AC841" i="74"/>
  <c r="AC838" i="74"/>
  <c r="AC843" i="74" s="1"/>
  <c r="U770" i="74"/>
  <c r="CK822" i="74"/>
  <c r="CK824" i="74" s="1"/>
  <c r="BI842" i="74"/>
  <c r="Q842" i="74" s="1"/>
  <c r="BI838" i="74"/>
  <c r="BI843" i="74" s="1"/>
  <c r="AJ589" i="74"/>
  <c r="AJ491" i="74"/>
  <c r="AJ613" i="74" s="1"/>
  <c r="AP589" i="74"/>
  <c r="AP491" i="74"/>
  <c r="AP613" i="74" s="1"/>
  <c r="BP742" i="74"/>
  <c r="AK810" i="74"/>
  <c r="AK815" i="74" s="1"/>
  <c r="BL650" i="74"/>
  <c r="BL639" i="74"/>
  <c r="BL644" i="74" s="1"/>
  <c r="AF637" i="74"/>
  <c r="AF493" i="74"/>
  <c r="AF661" i="74" s="1"/>
  <c r="AA567" i="74"/>
  <c r="AA572" i="74" s="1"/>
  <c r="AA578" i="74"/>
  <c r="BZ626" i="74"/>
  <c r="BZ615" i="74"/>
  <c r="BZ620" i="74" s="1"/>
  <c r="AK848" i="74"/>
  <c r="AK850" i="74" s="1"/>
  <c r="CA815" i="74"/>
  <c r="CA811" i="74"/>
  <c r="CA816" i="74" s="1"/>
  <c r="CJ591" i="74"/>
  <c r="CJ596" i="74" s="1"/>
  <c r="CJ602" i="74"/>
  <c r="BQ718" i="74"/>
  <c r="R713" i="74"/>
  <c r="BQ864" i="74"/>
  <c r="R864" i="74" s="1"/>
  <c r="R859" i="74"/>
  <c r="BQ860" i="74"/>
  <c r="BR815" i="74"/>
  <c r="BR811" i="74"/>
  <c r="BR816" i="74" s="1"/>
  <c r="U915" i="74"/>
  <c r="N910" i="74"/>
  <c r="BD815" i="74"/>
  <c r="BD812" i="74"/>
  <c r="BD817" i="74" s="1"/>
  <c r="AC737" i="74"/>
  <c r="BA550" i="74"/>
  <c r="BA546" i="74"/>
  <c r="BA551" i="74" s="1"/>
  <c r="BF602" i="74"/>
  <c r="BF591" i="74"/>
  <c r="BF596" i="74" s="1"/>
  <c r="AS864" i="74"/>
  <c r="P864" i="74" s="1"/>
  <c r="P859" i="74"/>
  <c r="AS860" i="74"/>
  <c r="AS861" i="74" s="1"/>
  <c r="BX626" i="74"/>
  <c r="BX615" i="74"/>
  <c r="BX620" i="74" s="1"/>
  <c r="AJ864" i="74"/>
  <c r="AJ860" i="74"/>
  <c r="AJ865" i="74" s="1"/>
  <c r="BV774" i="74"/>
  <c r="CD742" i="74"/>
  <c r="CD739" i="74"/>
  <c r="CD744" i="74" s="1"/>
  <c r="V864" i="74"/>
  <c r="V861" i="74"/>
  <c r="V866" i="74" s="1"/>
  <c r="AJ549" i="74"/>
  <c r="AP532" i="74"/>
  <c r="BO626" i="74"/>
  <c r="BO615" i="74"/>
  <c r="BO620" i="74" s="1"/>
  <c r="BW626" i="74"/>
  <c r="BW615" i="74"/>
  <c r="BW620" i="74" s="1"/>
  <c r="BI870" i="74"/>
  <c r="AF532" i="74"/>
  <c r="U696" i="74"/>
  <c r="N691" i="74"/>
  <c r="CC775" i="74"/>
  <c r="CH639" i="74"/>
  <c r="CH644" i="74" s="1"/>
  <c r="CH650" i="74"/>
  <c r="BM719" i="74"/>
  <c r="BM715" i="74"/>
  <c r="BM720" i="74" s="1"/>
  <c r="BL546" i="74"/>
  <c r="BL551" i="74" s="1"/>
  <c r="AS814" i="74"/>
  <c r="P809" i="74"/>
  <c r="Y774" i="74"/>
  <c r="BB788" i="74"/>
  <c r="BB793" i="74" s="1"/>
  <c r="BB797" i="74" s="1"/>
  <c r="BC870" i="74"/>
  <c r="BE920" i="74"/>
  <c r="Q920" i="74" s="1"/>
  <c r="Q919" i="74"/>
  <c r="U523" i="74"/>
  <c r="BR702" i="74"/>
  <c r="BR704" i="74"/>
  <c r="BH591" i="74"/>
  <c r="BH596" i="74" s="1"/>
  <c r="BH602" i="74"/>
  <c r="CA602" i="74"/>
  <c r="CA591" i="74"/>
  <c r="CA596" i="74" s="1"/>
  <c r="BQ793" i="74"/>
  <c r="Z837" i="74"/>
  <c r="Z842" i="74" s="1"/>
  <c r="CH811" i="74"/>
  <c r="CH816" i="74" s="1"/>
  <c r="AF861" i="74"/>
  <c r="AF866" i="74" s="1"/>
  <c r="AF870" i="74" s="1"/>
  <c r="BB568" i="74"/>
  <c r="BB573" i="74" s="1"/>
  <c r="AW591" i="74"/>
  <c r="AW596" i="74" s="1"/>
  <c r="AW602" i="74"/>
  <c r="X713" i="74"/>
  <c r="AG637" i="74"/>
  <c r="AG493" i="74"/>
  <c r="O492" i="74"/>
  <c r="AQ637" i="74"/>
  <c r="AQ493" i="74"/>
  <c r="AQ661" i="74" s="1"/>
  <c r="AL567" i="74"/>
  <c r="AL572" i="74" s="1"/>
  <c r="AL578" i="74"/>
  <c r="BP738" i="74"/>
  <c r="BP743" i="74" s="1"/>
  <c r="BL626" i="74"/>
  <c r="BL615" i="74"/>
  <c r="BL620" i="74" s="1"/>
  <c r="AC578" i="74"/>
  <c r="AC567" i="74"/>
  <c r="AC572" i="74" s="1"/>
  <c r="W589" i="74"/>
  <c r="W491" i="74"/>
  <c r="W613" i="74" s="1"/>
  <c r="BZ674" i="74"/>
  <c r="BZ663" i="74"/>
  <c r="BZ668" i="74" s="1"/>
  <c r="CE626" i="74"/>
  <c r="CE615" i="74"/>
  <c r="CE620" i="74" s="1"/>
  <c r="AB810" i="74"/>
  <c r="AB815" i="74" s="1"/>
  <c r="BI714" i="74"/>
  <c r="BI719" i="74" s="1"/>
  <c r="BE741" i="74"/>
  <c r="Q736" i="74"/>
  <c r="BE737" i="74"/>
  <c r="BX718" i="74"/>
  <c r="BX714" i="74"/>
  <c r="AZ663" i="74"/>
  <c r="AZ668" i="74" s="1"/>
  <c r="AZ674" i="74"/>
  <c r="AB713" i="74"/>
  <c r="AB714" i="74" s="1"/>
  <c r="AB719" i="74" s="1"/>
  <c r="BF674" i="74"/>
  <c r="BF663" i="74"/>
  <c r="BF668" i="74" s="1"/>
  <c r="BS602" i="74"/>
  <c r="BS591" i="74"/>
  <c r="BS596" i="74" s="1"/>
  <c r="CI663" i="74"/>
  <c r="CI668" i="74" s="1"/>
  <c r="CI674" i="74"/>
  <c r="Q890" i="74"/>
  <c r="BR714" i="74"/>
  <c r="BR719" i="74" s="1"/>
  <c r="CJ811" i="74"/>
  <c r="V737" i="74"/>
  <c r="V742" i="74" s="1"/>
  <c r="AF738" i="74"/>
  <c r="AF743" i="74" s="1"/>
  <c r="R692" i="74"/>
  <c r="BQ697" i="74"/>
  <c r="R697" i="74" s="1"/>
  <c r="CC532" i="74"/>
  <c r="CC613" i="74"/>
  <c r="S491" i="74"/>
  <c r="AL860" i="74"/>
  <c r="AL865" i="74" s="1"/>
  <c r="U809" i="74"/>
  <c r="U810" i="74" s="1"/>
  <c r="N807" i="74"/>
  <c r="U820" i="74"/>
  <c r="N820" i="74" s="1"/>
  <c r="BH715" i="74"/>
  <c r="BH720" i="74" s="1"/>
  <c r="BH724" i="74" s="1"/>
  <c r="CM568" i="74"/>
  <c r="CM573" i="74" s="1"/>
  <c r="O694" i="74"/>
  <c r="AX570" i="74"/>
  <c r="AX575" i="74" s="1"/>
  <c r="BC663" i="74"/>
  <c r="BC668" i="74" s="1"/>
  <c r="BC674" i="74"/>
  <c r="AS639" i="74"/>
  <c r="AS640" i="74" s="1"/>
  <c r="AS650" i="74"/>
  <c r="P637" i="74"/>
  <c r="N712" i="74"/>
  <c r="U717" i="74"/>
  <c r="AQ786" i="74"/>
  <c r="AQ791" i="74" s="1"/>
  <c r="BD739" i="74"/>
  <c r="BD744" i="74" s="1"/>
  <c r="BD748" i="74" s="1"/>
  <c r="CL812" i="74"/>
  <c r="CL817" i="74" s="1"/>
  <c r="CL821" i="74" s="1"/>
  <c r="BN626" i="74"/>
  <c r="BN615" i="74"/>
  <c r="BN620" i="74" s="1"/>
  <c r="BV639" i="74"/>
  <c r="BV644" i="74" s="1"/>
  <c r="BV650" i="74"/>
  <c r="BQ573" i="74"/>
  <c r="AR861" i="74"/>
  <c r="AR866" i="74" s="1"/>
  <c r="AR870" i="74" s="1"/>
  <c r="BV811" i="74"/>
  <c r="AA920" i="74"/>
  <c r="AA922" i="74" s="1"/>
  <c r="BT532" i="74"/>
  <c r="AG718" i="74"/>
  <c r="O723" i="74"/>
  <c r="Y810" i="74"/>
  <c r="Y815" i="74" s="1"/>
  <c r="BI739" i="74"/>
  <c r="BI744" i="74" s="1"/>
  <c r="BI748" i="74" s="1"/>
  <c r="CC550" i="74"/>
  <c r="CC555" i="74" s="1"/>
  <c r="S545" i="74"/>
  <c r="AX787" i="74"/>
  <c r="BH787" i="74"/>
  <c r="AS741" i="74"/>
  <c r="P736" i="74"/>
  <c r="AS737" i="74"/>
  <c r="Q545" i="74"/>
  <c r="BE550" i="74"/>
  <c r="AV591" i="74"/>
  <c r="AV596" i="74" s="1"/>
  <c r="AV602" i="74"/>
  <c r="AR589" i="74"/>
  <c r="AR491" i="74"/>
  <c r="AR613" i="74" s="1"/>
  <c r="AM637" i="74"/>
  <c r="AM493" i="74"/>
  <c r="AM661" i="74" s="1"/>
  <c r="AH567" i="74"/>
  <c r="AH572" i="74" s="1"/>
  <c r="AH578" i="74"/>
  <c r="BE810" i="74"/>
  <c r="X861" i="74"/>
  <c r="X866" i="74" s="1"/>
  <c r="X870" i="74" s="1"/>
  <c r="BT742" i="74"/>
  <c r="BT738" i="74"/>
  <c r="BT743" i="74" s="1"/>
  <c r="BG602" i="74"/>
  <c r="BG591" i="74"/>
  <c r="BG596" i="74" s="1"/>
  <c r="Y578" i="74"/>
  <c r="Y567" i="74"/>
  <c r="Y572" i="74" s="1"/>
  <c r="AD589" i="74"/>
  <c r="AD491" i="74"/>
  <c r="AD613" i="74" s="1"/>
  <c r="CH719" i="74"/>
  <c r="CH715" i="74"/>
  <c r="CH720" i="74" s="1"/>
  <c r="BK811" i="74"/>
  <c r="AQ838" i="74"/>
  <c r="AQ843" i="74" s="1"/>
  <c r="AQ847" i="74" s="1"/>
  <c r="P790" i="74"/>
  <c r="BX787" i="74"/>
  <c r="BO738" i="74"/>
  <c r="X546" i="74"/>
  <c r="X551" i="74" s="1"/>
  <c r="X555" i="74" s="1"/>
  <c r="AU674" i="74"/>
  <c r="AU663" i="74"/>
  <c r="AU668" i="74" s="1"/>
  <c r="BY639" i="74"/>
  <c r="BY644" i="74" s="1"/>
  <c r="BY650" i="74"/>
  <c r="CD674" i="74"/>
  <c r="CD663" i="74"/>
  <c r="CD668" i="74" s="1"/>
  <c r="AX775" i="74"/>
  <c r="AX777" i="74" s="1"/>
  <c r="CL550" i="74"/>
  <c r="CL546" i="74"/>
  <c r="CL551" i="74" s="1"/>
  <c r="Q864" i="74"/>
  <c r="AN545" i="74"/>
  <c r="BY787" i="74"/>
  <c r="BT546" i="74"/>
  <c r="BT551" i="74" s="1"/>
  <c r="BT555" i="74" s="1"/>
  <c r="P718" i="74"/>
  <c r="BD626" i="74"/>
  <c r="BD615" i="74"/>
  <c r="BD620" i="74" s="1"/>
  <c r="BQ546" i="74"/>
  <c r="CN775" i="74"/>
  <c r="CN777" i="74" s="1"/>
  <c r="BZ739" i="74"/>
  <c r="BZ744" i="74" s="1"/>
  <c r="BZ748" i="74" s="1"/>
  <c r="BZ775" i="74"/>
  <c r="BZ777" i="74" s="1"/>
  <c r="BO568" i="74"/>
  <c r="BO573" i="74" s="1"/>
  <c r="BW568" i="74"/>
  <c r="BW573" i="74" s="1"/>
  <c r="AJ837" i="74"/>
  <c r="BQ696" i="74"/>
  <c r="R691" i="74"/>
  <c r="V532" i="74"/>
  <c r="U692" i="74"/>
  <c r="S578" i="74"/>
  <c r="CM715" i="74"/>
  <c r="CM720" i="74" s="1"/>
  <c r="CM724" i="74" s="1"/>
  <c r="N694" i="74"/>
  <c r="BO838" i="74"/>
  <c r="BO843" i="74" s="1"/>
  <c r="BO847" i="74" s="1"/>
  <c r="BC602" i="74"/>
  <c r="BC591" i="74"/>
  <c r="BC596" i="74" s="1"/>
  <c r="Z738" i="74"/>
  <c r="Z743" i="74" s="1"/>
  <c r="AS895" i="74"/>
  <c r="BI639" i="74"/>
  <c r="BI644" i="74" s="1"/>
  <c r="BI650" i="74"/>
  <c r="BQ639" i="74"/>
  <c r="BQ640" i="74" s="1"/>
  <c r="R637" i="74"/>
  <c r="BQ650" i="74"/>
  <c r="AG527" i="74"/>
  <c r="O522" i="74"/>
  <c r="CL568" i="74"/>
  <c r="CL573" i="74" s="1"/>
  <c r="CG591" i="74"/>
  <c r="CG596" i="74" s="1"/>
  <c r="CG602" i="74"/>
  <c r="AL738" i="74"/>
  <c r="AL743" i="74" s="1"/>
  <c r="BD842" i="74"/>
  <c r="BD838" i="74"/>
  <c r="BD843" i="74" s="1"/>
  <c r="U545" i="74"/>
  <c r="BB626" i="74"/>
  <c r="BB615" i="74"/>
  <c r="BB620" i="74" s="1"/>
  <c r="Y714" i="74"/>
  <c r="AO637" i="74"/>
  <c r="AO493" i="74"/>
  <c r="AO661" i="74" s="1"/>
  <c r="AN578" i="74"/>
  <c r="AN567" i="74"/>
  <c r="AN572" i="74" s="1"/>
  <c r="BM639" i="74"/>
  <c r="BM644" i="74" s="1"/>
  <c r="BM650" i="74"/>
  <c r="U578" i="74"/>
  <c r="U567" i="74"/>
  <c r="U568" i="74" s="1"/>
  <c r="N565" i="74"/>
  <c r="Z637" i="74"/>
  <c r="Z493" i="74"/>
  <c r="Z661" i="74" s="1"/>
  <c r="BZ570" i="74"/>
  <c r="BZ575" i="74" s="1"/>
  <c r="BT663" i="74"/>
  <c r="BT668" i="74" s="1"/>
  <c r="BT674" i="74"/>
  <c r="CE568" i="74"/>
  <c r="CE573" i="74" s="1"/>
  <c r="CK591" i="74"/>
  <c r="CK596" i="74" s="1"/>
  <c r="CK602" i="74"/>
  <c r="R717" i="74"/>
  <c r="AG865" i="74"/>
  <c r="P786" i="74"/>
  <c r="CH861" i="74"/>
  <c r="CH866" i="74" s="1"/>
  <c r="AL701" i="74"/>
  <c r="AU602" i="74"/>
  <c r="AU591" i="74"/>
  <c r="AU596" i="74" s="1"/>
  <c r="BP626" i="74"/>
  <c r="BP615" i="74"/>
  <c r="BP620" i="74" s="1"/>
  <c r="BX650" i="74"/>
  <c r="BX639" i="74"/>
  <c r="BX644" i="74" s="1"/>
  <c r="CD602" i="74"/>
  <c r="CD591" i="74"/>
  <c r="CD596" i="74" s="1"/>
  <c r="BL532" i="74"/>
  <c r="CC810" i="74"/>
  <c r="CC811" i="74" s="1"/>
  <c r="CC812" i="74" s="1"/>
  <c r="AF810" i="74"/>
  <c r="AF815" i="74" s="1"/>
  <c r="P769" i="74"/>
  <c r="BJ870" i="74"/>
  <c r="BJ555" i="74"/>
  <c r="CA847" i="74"/>
  <c r="AT639" i="74"/>
  <c r="AT644" i="74" s="1"/>
  <c r="AT650" i="74"/>
  <c r="Q790" i="74"/>
  <c r="BP847" i="74"/>
  <c r="BJ568" i="74"/>
  <c r="BJ573" i="74" s="1"/>
  <c r="BE613" i="74"/>
  <c r="Q491" i="74"/>
  <c r="BW650" i="74"/>
  <c r="BW639" i="74"/>
  <c r="BW644" i="74" s="1"/>
  <c r="CM546" i="74"/>
  <c r="CM551" i="74" s="1"/>
  <c r="CM555" i="74" s="1"/>
  <c r="Q692" i="74"/>
  <c r="BE697" i="74"/>
  <c r="Q697" i="74" s="1"/>
  <c r="CA674" i="74"/>
  <c r="CA663" i="74"/>
  <c r="CA668" i="74" s="1"/>
  <c r="Y920" i="74"/>
  <c r="Y922" i="74" s="1"/>
  <c r="CN533" i="74"/>
  <c r="CB791" i="74"/>
  <c r="CB788" i="74"/>
  <c r="CB793" i="74" s="1"/>
  <c r="CI791" i="74"/>
  <c r="AW639" i="74"/>
  <c r="AW644" i="74" s="1"/>
  <c r="AW650" i="74"/>
  <c r="AI871" i="74"/>
  <c r="AI873" i="74" s="1"/>
  <c r="CF742" i="74"/>
  <c r="AL810" i="74"/>
  <c r="AL815" i="74" s="1"/>
  <c r="BH663" i="74"/>
  <c r="BH668" i="74" s="1"/>
  <c r="BH674" i="74"/>
  <c r="CL626" i="74"/>
  <c r="CL615" i="74"/>
  <c r="CL620" i="74" s="1"/>
  <c r="CC793" i="74"/>
  <c r="CI742" i="74"/>
  <c r="BW718" i="74"/>
  <c r="BW715" i="74"/>
  <c r="BW720" i="74" s="1"/>
  <c r="BY533" i="74"/>
  <c r="BY535" i="74" s="1"/>
  <c r="BY559" i="74" s="1"/>
  <c r="AD737" i="74"/>
  <c r="AD742" i="74" s="1"/>
  <c r="Y737" i="74"/>
  <c r="AP567" i="74"/>
  <c r="AP572" i="74" s="1"/>
  <c r="AP578" i="74"/>
  <c r="AF578" i="74"/>
  <c r="AF567" i="74"/>
  <c r="AF572" i="74" s="1"/>
  <c r="BZ602" i="74"/>
  <c r="BZ591" i="74"/>
  <c r="BZ596" i="74" s="1"/>
  <c r="BD702" i="74"/>
  <c r="BD704" i="74" s="1"/>
  <c r="S859" i="74"/>
  <c r="CC864" i="74"/>
  <c r="S864" i="74" s="1"/>
  <c r="CC860" i="74"/>
  <c r="CC861" i="74" s="1"/>
  <c r="AB786" i="74"/>
  <c r="AB791" i="74" s="1"/>
  <c r="CI718" i="74"/>
  <c r="CI714" i="74"/>
  <c r="CI719" i="74" s="1"/>
  <c r="BC815" i="74"/>
  <c r="BC811" i="74"/>
  <c r="BC816" i="74" s="1"/>
  <c r="AR556" i="74"/>
  <c r="AR558" i="74" s="1"/>
  <c r="BA674" i="74"/>
  <c r="BA663" i="74"/>
  <c r="BA668" i="74" s="1"/>
  <c r="W738" i="74"/>
  <c r="W743" i="74" s="1"/>
  <c r="CG742" i="74"/>
  <c r="CG738" i="74"/>
  <c r="CG743" i="74" s="1"/>
  <c r="BK626" i="74"/>
  <c r="BK615" i="74"/>
  <c r="BK620" i="74" s="1"/>
  <c r="BX591" i="74"/>
  <c r="BX596" i="74" s="1"/>
  <c r="BX602" i="74"/>
  <c r="AG770" i="74"/>
  <c r="BM742" i="74"/>
  <c r="BM738" i="74"/>
  <c r="BM743" i="74" s="1"/>
  <c r="U859" i="74"/>
  <c r="U860" i="74" s="1"/>
  <c r="BA775" i="74"/>
  <c r="BA777" i="74" s="1"/>
  <c r="AA864" i="74"/>
  <c r="AA860" i="74"/>
  <c r="AA865" i="74" s="1"/>
  <c r="CH550" i="74"/>
  <c r="CH546" i="74"/>
  <c r="CH551" i="74" s="1"/>
  <c r="BC791" i="74"/>
  <c r="P791" i="74" s="1"/>
  <c r="BC787" i="74"/>
  <c r="BC792" i="74" s="1"/>
  <c r="BS791" i="74"/>
  <c r="BS788" i="74"/>
  <c r="BS793" i="74" s="1"/>
  <c r="AT626" i="74"/>
  <c r="AT615" i="74"/>
  <c r="AT620" i="74" s="1"/>
  <c r="BD568" i="74"/>
  <c r="BD573" i="74" s="1"/>
  <c r="AF713" i="74"/>
  <c r="AU555" i="74"/>
  <c r="AE896" i="74"/>
  <c r="AE898" i="74" s="1"/>
  <c r="AR810" i="74"/>
  <c r="AR815" i="74" s="1"/>
  <c r="BO602" i="74"/>
  <c r="BO591" i="74"/>
  <c r="BO596" i="74" s="1"/>
  <c r="BW602" i="74"/>
  <c r="BW591" i="74"/>
  <c r="BW596" i="74" s="1"/>
  <c r="R810" i="74"/>
  <c r="BQ815" i="74"/>
  <c r="BQ814" i="74"/>
  <c r="R809" i="74"/>
  <c r="CH569" i="74"/>
  <c r="CH574" i="74" s="1"/>
  <c r="CD870" i="74"/>
  <c r="AR714" i="74"/>
  <c r="AR719" i="74" s="1"/>
  <c r="CI896" i="74"/>
  <c r="CI898" i="74" s="1"/>
  <c r="U786" i="74"/>
  <c r="U787" i="74" s="1"/>
  <c r="AH738" i="74"/>
  <c r="BL555" i="74"/>
  <c r="AS815" i="74"/>
  <c r="P810" i="74"/>
  <c r="AS811" i="74"/>
  <c r="CC661" i="74"/>
  <c r="S493" i="74"/>
  <c r="BY715" i="74"/>
  <c r="BY720" i="74" s="1"/>
  <c r="BY724" i="74" s="1"/>
  <c r="AW920" i="74"/>
  <c r="AW922" i="74" s="1"/>
  <c r="BN674" i="74"/>
  <c r="BN663" i="74"/>
  <c r="BN668" i="74" s="1"/>
  <c r="BV626" i="74"/>
  <c r="BV615" i="74"/>
  <c r="BV620" i="74" s="1"/>
  <c r="AR920" i="74"/>
  <c r="AR922" i="74" s="1"/>
  <c r="BS896" i="74"/>
  <c r="BS898" i="74" s="1"/>
  <c r="BP788" i="74"/>
  <c r="BP793" i="74" s="1"/>
  <c r="BP797" i="74" s="1"/>
  <c r="AQ738" i="74"/>
  <c r="AQ743" i="74" s="1"/>
  <c r="BQ741" i="74"/>
  <c r="R736" i="74"/>
  <c r="S786" i="74"/>
  <c r="BF775" i="74"/>
  <c r="BF777" i="74" s="1"/>
  <c r="CI738" i="74"/>
  <c r="CI743" i="74" s="1"/>
  <c r="AW742" i="74"/>
  <c r="AW738" i="74"/>
  <c r="AT550" i="74"/>
  <c r="AT546" i="74"/>
  <c r="AT551" i="74" s="1"/>
  <c r="N768" i="74"/>
  <c r="AV674" i="74"/>
  <c r="AV663" i="74"/>
  <c r="AV668" i="74" s="1"/>
  <c r="AQ567" i="74"/>
  <c r="AQ572" i="74" s="1"/>
  <c r="AQ578" i="74"/>
  <c r="BL591" i="74"/>
  <c r="BL596" i="74" s="1"/>
  <c r="BL602" i="74"/>
  <c r="AB589" i="74"/>
  <c r="AB491" i="74"/>
  <c r="AB613" i="74" s="1"/>
  <c r="W637" i="74"/>
  <c r="W493" i="74"/>
  <c r="W661" i="74" s="1"/>
  <c r="BZ639" i="74"/>
  <c r="BZ644" i="74" s="1"/>
  <c r="BZ650" i="74"/>
  <c r="BW550" i="74"/>
  <c r="BW546" i="74"/>
  <c r="BW551" i="74" s="1"/>
  <c r="CE602" i="74"/>
  <c r="CE591" i="74"/>
  <c r="CE596" i="74" s="1"/>
  <c r="S713" i="74"/>
  <c r="CC718" i="74"/>
  <c r="AP738" i="74"/>
  <c r="W527" i="74"/>
  <c r="W532" i="74" s="1"/>
  <c r="W523" i="74"/>
  <c r="W528" i="74" s="1"/>
  <c r="BN714" i="74"/>
  <c r="BN719" i="74" s="1"/>
  <c r="BX702" i="74"/>
  <c r="BX704" i="74" s="1"/>
  <c r="AZ650" i="74"/>
  <c r="AZ639" i="74"/>
  <c r="AZ644" i="74" s="1"/>
  <c r="AD837" i="74"/>
  <c r="AD842" i="74" s="1"/>
  <c r="BF639" i="74"/>
  <c r="BF644" i="74" s="1"/>
  <c r="BF650" i="74"/>
  <c r="O768" i="74"/>
  <c r="CI650" i="74"/>
  <c r="CI639" i="74"/>
  <c r="CI644" i="74" s="1"/>
  <c r="AZ715" i="74"/>
  <c r="AZ720" i="74" s="1"/>
  <c r="AZ724" i="74" s="1"/>
  <c r="BB775" i="74"/>
  <c r="BB777" i="74" s="1"/>
  <c r="AD532" i="74"/>
  <c r="AJ545" i="74"/>
  <c r="AJ550" i="74" s="1"/>
  <c r="AY569" i="74"/>
  <c r="AY574" i="74" s="1"/>
  <c r="CG719" i="74"/>
  <c r="CG715" i="74"/>
  <c r="CG720" i="74" s="1"/>
  <c r="BJ811" i="74"/>
  <c r="BJ816" i="74" s="1"/>
  <c r="Q567" i="74"/>
  <c r="BE572" i="74"/>
  <c r="Q578" i="74"/>
  <c r="AP837" i="74"/>
  <c r="AP842" i="74" s="1"/>
  <c r="AQ523" i="74"/>
  <c r="AQ528" i="74" s="1"/>
  <c r="AQ532" i="74" s="1"/>
  <c r="CM626" i="74"/>
  <c r="CM615" i="74"/>
  <c r="CM620" i="74" s="1"/>
  <c r="CC591" i="74"/>
  <c r="CC602" i="74"/>
  <c r="S589" i="74"/>
  <c r="O841" i="74"/>
  <c r="AZ861" i="74"/>
  <c r="AZ866" i="74" s="1"/>
  <c r="BC650" i="74"/>
  <c r="BC639" i="74"/>
  <c r="BC644" i="74" s="1"/>
  <c r="N723" i="74"/>
  <c r="N525" i="74"/>
  <c r="CI838" i="74"/>
  <c r="AT739" i="74"/>
  <c r="AT744" i="74" s="1"/>
  <c r="AT748" i="74" s="1"/>
  <c r="BN602" i="74"/>
  <c r="BN591" i="74"/>
  <c r="BN596" i="74" s="1"/>
  <c r="BQ570" i="74"/>
  <c r="AG528" i="74"/>
  <c r="R786" i="74"/>
  <c r="CC741" i="74"/>
  <c r="S736" i="74"/>
  <c r="CC737" i="74"/>
  <c r="AG714" i="74"/>
  <c r="BN739" i="74"/>
  <c r="BN744" i="74" s="1"/>
  <c r="BN748" i="74" s="1"/>
  <c r="S544" i="74"/>
  <c r="CC549" i="74"/>
  <c r="S549" i="74" s="1"/>
  <c r="BF865" i="74"/>
  <c r="BF861" i="74"/>
  <c r="BF866" i="74" s="1"/>
  <c r="BE546" i="74"/>
  <c r="BB674" i="74"/>
  <c r="BB663" i="74"/>
  <c r="BB668" i="74" s="1"/>
  <c r="Q764" i="74"/>
  <c r="BE769" i="74"/>
  <c r="BE765" i="74"/>
  <c r="AR637" i="74"/>
  <c r="AR493" i="74"/>
  <c r="AR661" i="74" s="1"/>
  <c r="AM567" i="74"/>
  <c r="AM572" i="74" s="1"/>
  <c r="AM578" i="74"/>
  <c r="AD692" i="74"/>
  <c r="AD697" i="74" s="1"/>
  <c r="AD701" i="74" s="1"/>
  <c r="BO788" i="74"/>
  <c r="BO793" i="74" s="1"/>
  <c r="BO797" i="74" s="1"/>
  <c r="AP810" i="74"/>
  <c r="AP815" i="74" s="1"/>
  <c r="BW702" i="74"/>
  <c r="BW704" i="74" s="1"/>
  <c r="AZ788" i="74"/>
  <c r="AZ793" i="74" s="1"/>
  <c r="AZ797" i="74" s="1"/>
  <c r="X589" i="74"/>
  <c r="X491" i="74"/>
  <c r="X613" i="74" s="1"/>
  <c r="AD637" i="74"/>
  <c r="AD493" i="74"/>
  <c r="AD661" i="74" s="1"/>
  <c r="BU674" i="74"/>
  <c r="BU663" i="74"/>
  <c r="BU668" i="74" s="1"/>
  <c r="CH775" i="74"/>
  <c r="CH777" i="74" s="1"/>
  <c r="CK674" i="74"/>
  <c r="CK663" i="74"/>
  <c r="CK668" i="74" s="1"/>
  <c r="BL715" i="74"/>
  <c r="BL720" i="74" s="1"/>
  <c r="BL724" i="74" s="1"/>
  <c r="AJ713" i="74"/>
  <c r="AB765" i="74"/>
  <c r="AB770" i="74" s="1"/>
  <c r="AB774" i="74" s="1"/>
  <c r="AF837" i="74"/>
  <c r="CB742" i="74"/>
  <c r="CB738" i="74"/>
  <c r="CB743" i="74" s="1"/>
  <c r="W696" i="74"/>
  <c r="W692" i="74"/>
  <c r="W697" i="74" s="1"/>
  <c r="AU650" i="74"/>
  <c r="AU639" i="74"/>
  <c r="AU644" i="74" s="1"/>
  <c r="BF718" i="74"/>
  <c r="BF714" i="74"/>
  <c r="AO786" i="74"/>
  <c r="AO791" i="74" s="1"/>
  <c r="X837" i="74"/>
  <c r="BK568" i="74"/>
  <c r="BK573" i="74" s="1"/>
  <c r="P863" i="74"/>
  <c r="CD639" i="74"/>
  <c r="CD644" i="74" s="1"/>
  <c r="CD650" i="74"/>
  <c r="CM738" i="74"/>
  <c r="BU774" i="74"/>
  <c r="AF786" i="74"/>
  <c r="AF791" i="74" s="1"/>
  <c r="AS550" i="74"/>
  <c r="P545" i="74"/>
  <c r="BH739" i="74"/>
  <c r="BH744" i="74" s="1"/>
  <c r="BH748" i="74" s="1"/>
  <c r="CN788" i="74"/>
  <c r="CN793" i="74" s="1"/>
  <c r="CN797" i="74" s="1"/>
  <c r="BU533" i="74"/>
  <c r="BU535" i="74" s="1"/>
  <c r="BU559" i="74" s="1"/>
  <c r="AB837" i="74"/>
  <c r="AT568" i="74"/>
  <c r="AT573" i="74" s="1"/>
  <c r="BD591" i="74"/>
  <c r="BD596" i="74" s="1"/>
  <c r="BD602" i="74"/>
  <c r="AH920" i="74"/>
  <c r="AH922" i="74" s="1"/>
  <c r="AM810" i="74"/>
  <c r="AM815" i="74" s="1"/>
  <c r="BP546" i="74"/>
  <c r="BP551" i="74" s="1"/>
  <c r="BA788" i="74"/>
  <c r="BA793" i="74" s="1"/>
  <c r="BA797" i="74" s="1"/>
  <c r="CB674" i="74"/>
  <c r="CB663" i="74"/>
  <c r="CB668" i="74" s="1"/>
  <c r="CF861" i="74"/>
  <c r="CF866" i="74" s="1"/>
  <c r="AX896" i="74"/>
  <c r="AX898" i="74" s="1"/>
  <c r="CH626" i="74"/>
  <c r="CH615" i="74"/>
  <c r="CH620" i="74" s="1"/>
  <c r="AU738" i="74"/>
  <c r="AU743" i="74" s="1"/>
  <c r="CG555" i="74"/>
  <c r="AU838" i="74"/>
  <c r="CI812" i="74"/>
  <c r="CI817" i="74" s="1"/>
  <c r="CI821" i="74" s="1"/>
  <c r="BH838" i="74"/>
  <c r="BH843" i="74" s="1"/>
  <c r="AX674" i="74"/>
  <c r="AX663" i="74"/>
  <c r="AX668" i="74" s="1"/>
  <c r="CA568" i="74"/>
  <c r="CA573" i="74" s="1"/>
  <c r="O526" i="74"/>
  <c r="CF663" i="74"/>
  <c r="CF668" i="74" s="1"/>
  <c r="CF674" i="74"/>
  <c r="BV738" i="74"/>
  <c r="X787" i="74"/>
  <c r="X792" i="74" s="1"/>
  <c r="AD786" i="74"/>
  <c r="AD791" i="74" s="1"/>
  <c r="N769" i="74"/>
  <c r="Q549" i="74"/>
  <c r="BB602" i="74"/>
  <c r="BB591" i="74"/>
  <c r="BB596" i="74" s="1"/>
  <c r="AO578" i="74"/>
  <c r="AO567" i="74"/>
  <c r="AO572" i="74" s="1"/>
  <c r="AI589" i="74"/>
  <c r="AI491" i="74"/>
  <c r="AI613" i="74" s="1"/>
  <c r="U637" i="74"/>
  <c r="U493" i="74"/>
  <c r="N492" i="74"/>
  <c r="AE589" i="74"/>
  <c r="AE491" i="74"/>
  <c r="AE613" i="74" s="1"/>
  <c r="Z589" i="74"/>
  <c r="Z491" i="74"/>
  <c r="Z613" i="74" s="1"/>
  <c r="BT650" i="74"/>
  <c r="BT639" i="74"/>
  <c r="BT644" i="74" s="1"/>
  <c r="CC696" i="74"/>
  <c r="S691" i="74"/>
  <c r="CC692" i="74"/>
  <c r="CJ663" i="74"/>
  <c r="CJ668" i="74" s="1"/>
  <c r="CJ674" i="74"/>
  <c r="O859" i="74"/>
  <c r="AG864" i="74"/>
  <c r="O864" i="74" s="1"/>
  <c r="CH870" i="74"/>
  <c r="BF568" i="74"/>
  <c r="BF573" i="74" s="1"/>
  <c r="BP591" i="74"/>
  <c r="BP596" i="74" s="1"/>
  <c r="BP602" i="74"/>
  <c r="BY626" i="74"/>
  <c r="BY615" i="74"/>
  <c r="BY620" i="74" s="1"/>
  <c r="S765" i="74"/>
  <c r="AO713" i="74"/>
  <c r="AO718" i="74" s="1"/>
  <c r="CD774" i="74"/>
  <c r="AK696" i="74"/>
  <c r="AK692" i="74"/>
  <c r="AK697" i="74" s="1"/>
  <c r="AK701" i="74" s="1"/>
  <c r="AG915" i="74"/>
  <c r="O910" i="74"/>
  <c r="AY626" i="74"/>
  <c r="AY615" i="74"/>
  <c r="AY620" i="74" s="1"/>
  <c r="AA738" i="74"/>
  <c r="AA743" i="74" s="1"/>
  <c r="R548" i="74"/>
  <c r="BO663" i="74"/>
  <c r="BO668" i="74" s="1"/>
  <c r="BO674" i="74"/>
  <c r="BE591" i="74"/>
  <c r="BE592" i="74" s="1"/>
  <c r="Q589" i="74"/>
  <c r="BE602" i="74"/>
  <c r="CB626" i="74"/>
  <c r="CB615" i="74"/>
  <c r="CB620" i="74" s="1"/>
  <c r="AS572" i="74"/>
  <c r="P567" i="74"/>
  <c r="O525" i="74"/>
  <c r="CF626" i="74"/>
  <c r="CF615" i="74"/>
  <c r="CF620" i="74" s="1"/>
  <c r="S790" i="74"/>
  <c r="AO549" i="74"/>
  <c r="BR843" i="74"/>
  <c r="AL811" i="74"/>
  <c r="AL816" i="74" s="1"/>
  <c r="BD775" i="74"/>
  <c r="BD777" i="74" s="1"/>
  <c r="AX626" i="74"/>
  <c r="AX615" i="74"/>
  <c r="AX620" i="74" s="1"/>
  <c r="AG790" i="74"/>
  <c r="O785" i="74"/>
  <c r="Y841" i="74"/>
  <c r="Y838" i="74"/>
  <c r="Y843" i="74" s="1"/>
  <c r="AW815" i="74"/>
  <c r="AW812" i="74"/>
  <c r="AW817" i="74" s="1"/>
  <c r="Q717" i="74"/>
  <c r="AE549" i="74"/>
  <c r="AE545" i="74"/>
  <c r="AE550" i="74" s="1"/>
  <c r="AE546" i="74"/>
  <c r="AE551" i="74" s="1"/>
  <c r="AK637" i="74"/>
  <c r="AK493" i="74"/>
  <c r="AK661" i="74" s="1"/>
  <c r="AJ637" i="74"/>
  <c r="AJ493" i="74"/>
  <c r="AJ661" i="74" s="1"/>
  <c r="BE848" i="74"/>
  <c r="BE850" i="74" s="1"/>
  <c r="BM626" i="74"/>
  <c r="BM615" i="74"/>
  <c r="BM620" i="74" s="1"/>
  <c r="V637" i="74"/>
  <c r="V493" i="74"/>
  <c r="V661" i="74" s="1"/>
  <c r="CE663" i="74"/>
  <c r="CE668" i="74" s="1"/>
  <c r="CE674" i="74"/>
  <c r="CC719" i="74"/>
  <c r="AJ919" i="74"/>
  <c r="AA549" i="74"/>
  <c r="AA555" i="74" s="1"/>
  <c r="AA546" i="74"/>
  <c r="AA551" i="74" s="1"/>
  <c r="AX602" i="74"/>
  <c r="AX591" i="74"/>
  <c r="AX596" i="74" s="1"/>
  <c r="AS568" i="74"/>
  <c r="BZ798" i="74"/>
  <c r="BZ800" i="74" s="1"/>
  <c r="BJ787" i="74"/>
  <c r="BJ792" i="74" s="1"/>
  <c r="AG787" i="74"/>
  <c r="O796" i="74"/>
  <c r="BH650" i="74"/>
  <c r="BH639" i="74"/>
  <c r="BH644" i="74" s="1"/>
  <c r="BV568" i="74"/>
  <c r="BV569" i="74" s="1"/>
  <c r="BV574" i="74" s="1"/>
  <c r="BQ613" i="74"/>
  <c r="R491" i="74"/>
  <c r="R790" i="74"/>
  <c r="BQ797" i="74"/>
  <c r="CL602" i="74"/>
  <c r="CL591" i="74"/>
  <c r="CL596" i="74" s="1"/>
  <c r="BY702" i="74"/>
  <c r="BY704" i="74" s="1"/>
  <c r="AQ715" i="74"/>
  <c r="AQ720" i="74" s="1"/>
  <c r="AQ724" i="74" s="1"/>
  <c r="AD811" i="74"/>
  <c r="AD816" i="74" s="1"/>
  <c r="AO545" i="74"/>
  <c r="AO550" i="74" s="1"/>
  <c r="AH545" i="74"/>
  <c r="AH550" i="74" s="1"/>
  <c r="AV569" i="74"/>
  <c r="AV574" i="74" s="1"/>
  <c r="AW674" i="74"/>
  <c r="AW663" i="74"/>
  <c r="AW668" i="74" s="1"/>
  <c r="BU822" i="74"/>
  <c r="BU824" i="74" s="1"/>
  <c r="AK589" i="74"/>
  <c r="AK491" i="74"/>
  <c r="AK613" i="74" s="1"/>
  <c r="AJ578" i="74"/>
  <c r="AJ567" i="74"/>
  <c r="AJ572" i="74" s="1"/>
  <c r="AZ842" i="74"/>
  <c r="AZ838" i="74"/>
  <c r="AZ843" i="74" s="1"/>
  <c r="AD864" i="74"/>
  <c r="AD861" i="74"/>
  <c r="AD866" i="74" s="1"/>
  <c r="BG568" i="74"/>
  <c r="BG569" i="74" s="1"/>
  <c r="BG574" i="74" s="1"/>
  <c r="BM591" i="74"/>
  <c r="BM596" i="74" s="1"/>
  <c r="BM602" i="74"/>
  <c r="AA589" i="74"/>
  <c r="AA491" i="74"/>
  <c r="AA613" i="74" s="1"/>
  <c r="V589" i="74"/>
  <c r="V491" i="74"/>
  <c r="V613" i="74" s="1"/>
  <c r="BT626" i="74"/>
  <c r="BT615" i="74"/>
  <c r="BT620" i="74" s="1"/>
  <c r="CE650" i="74"/>
  <c r="CE639" i="74"/>
  <c r="CE644" i="74" s="1"/>
  <c r="Q523" i="74"/>
  <c r="BE528" i="74"/>
  <c r="Q528" i="74" s="1"/>
  <c r="AP713" i="74"/>
  <c r="AP718" i="74" s="1"/>
  <c r="AK713" i="74"/>
  <c r="AK718" i="74" s="1"/>
  <c r="CF550" i="74"/>
  <c r="CF546" i="74"/>
  <c r="CF551" i="74" s="1"/>
  <c r="BG533" i="74"/>
  <c r="BG535" i="74" s="1"/>
  <c r="BV865" i="74"/>
  <c r="BV861" i="74"/>
  <c r="BV866" i="74" s="1"/>
  <c r="AS532" i="74"/>
  <c r="AV842" i="74"/>
  <c r="AV838" i="74"/>
  <c r="AV843" i="74" s="1"/>
  <c r="AW714" i="74"/>
  <c r="AW719" i="74" s="1"/>
  <c r="BX822" i="74"/>
  <c r="BX824" i="74" s="1"/>
  <c r="BS718" i="74"/>
  <c r="BS714" i="74"/>
  <c r="BS719" i="74" s="1"/>
  <c r="CH533" i="74"/>
  <c r="CH535" i="74" s="1"/>
  <c r="BM838" i="74"/>
  <c r="BM843" i="74" s="1"/>
  <c r="BM847" i="74" s="1"/>
  <c r="AD556" i="74"/>
  <c r="AD558" i="74" s="1"/>
  <c r="AZ568" i="74"/>
  <c r="BA639" i="74"/>
  <c r="BA644" i="74" s="1"/>
  <c r="BA650" i="74"/>
  <c r="W739" i="74"/>
  <c r="W744" i="74" s="1"/>
  <c r="AY743" i="74"/>
  <c r="AY739" i="74"/>
  <c r="AY744" i="74" s="1"/>
  <c r="AU815" i="74"/>
  <c r="AU811" i="74"/>
  <c r="AU816" i="74" s="1"/>
  <c r="BK602" i="74"/>
  <c r="BK591" i="74"/>
  <c r="BK596" i="74" s="1"/>
  <c r="BS663" i="74"/>
  <c r="BS668" i="74" s="1"/>
  <c r="BS674" i="74"/>
  <c r="AG774" i="74"/>
  <c r="O767" i="74"/>
  <c r="CN663" i="74"/>
  <c r="CN668" i="74" s="1"/>
  <c r="CN674" i="74"/>
  <c r="AI737" i="74"/>
  <c r="AO737" i="74"/>
  <c r="Q863" i="74"/>
  <c r="AA786" i="74"/>
  <c r="AA787" i="74" s="1"/>
  <c r="AA792" i="74" s="1"/>
  <c r="V787" i="74"/>
  <c r="V792" i="74" s="1"/>
  <c r="CB718" i="74"/>
  <c r="CB714" i="74"/>
  <c r="CB719" i="74" s="1"/>
  <c r="CE742" i="74"/>
  <c r="CE738" i="74"/>
  <c r="CE743" i="74" s="1"/>
  <c r="AP545" i="74"/>
  <c r="AP550" i="74" s="1"/>
  <c r="R764" i="74"/>
  <c r="BQ769" i="74"/>
  <c r="R769" i="74" s="1"/>
  <c r="BS742" i="74"/>
  <c r="BS739" i="74"/>
  <c r="BS744" i="74" s="1"/>
  <c r="AT602" i="74"/>
  <c r="AT591" i="74"/>
  <c r="AT596" i="74" s="1"/>
  <c r="BK749" i="74"/>
  <c r="BK751" i="74" s="1"/>
  <c r="CK775" i="74"/>
  <c r="CK777" i="74" s="1"/>
  <c r="BJ626" i="74"/>
  <c r="BJ615" i="74"/>
  <c r="BJ620" i="74" s="1"/>
  <c r="BR674" i="74"/>
  <c r="BR663" i="74"/>
  <c r="BR668" i="74" s="1"/>
  <c r="BQ811" i="74"/>
  <c r="BQ812" i="74" s="1"/>
  <c r="CH570" i="74"/>
  <c r="CH575" i="74" s="1"/>
  <c r="CM674" i="74"/>
  <c r="CM663" i="74"/>
  <c r="CM668" i="74" s="1"/>
  <c r="BA738" i="74"/>
  <c r="BA743" i="74" s="1"/>
  <c r="CK532" i="74"/>
  <c r="AG847" i="74"/>
  <c r="O840" i="74"/>
  <c r="Z810" i="74"/>
  <c r="CB815" i="74"/>
  <c r="CB812" i="74"/>
  <c r="CB817" i="74" s="1"/>
  <c r="BG815" i="74"/>
  <c r="BG812" i="74"/>
  <c r="BG817" i="74" s="1"/>
  <c r="BP702" i="74"/>
  <c r="BP704" i="74" s="1"/>
  <c r="AU533" i="74"/>
  <c r="AU535" i="74" s="1"/>
  <c r="AP919" i="74"/>
  <c r="AS812" i="74"/>
  <c r="AV715" i="74"/>
  <c r="AV720" i="74" s="1"/>
  <c r="AA838" i="74"/>
  <c r="AA843" i="74" s="1"/>
  <c r="AA847" i="74" s="1"/>
  <c r="AV546" i="74"/>
  <c r="AV551" i="74" s="1"/>
  <c r="AV555" i="74" s="1"/>
  <c r="S637" i="74"/>
  <c r="CC639" i="74"/>
  <c r="CC640" i="74" s="1"/>
  <c r="CC650" i="74"/>
  <c r="CC922" i="74"/>
  <c r="S922" i="74" s="1"/>
  <c r="S950" i="74" s="1"/>
  <c r="I43" i="74" s="1"/>
  <c r="H29" i="75" s="1"/>
  <c r="Z786" i="74"/>
  <c r="Z787" i="74" s="1"/>
  <c r="Z792" i="74" s="1"/>
  <c r="S837" i="74"/>
  <c r="AO860" i="74"/>
  <c r="AO865" i="74" s="1"/>
  <c r="AE737" i="74"/>
  <c r="AE742" i="74" s="1"/>
  <c r="CF738" i="74"/>
  <c r="CF743" i="74" s="1"/>
  <c r="BZ714" i="74"/>
  <c r="BZ719" i="74" s="1"/>
  <c r="BN639" i="74"/>
  <c r="BN644" i="74" s="1"/>
  <c r="BN650" i="74"/>
  <c r="BV602" i="74"/>
  <c r="BV591" i="74"/>
  <c r="BV596" i="74" s="1"/>
  <c r="CL674" i="74"/>
  <c r="CL663" i="74"/>
  <c r="CL668" i="74" s="1"/>
  <c r="CG568" i="74"/>
  <c r="AQ739" i="74"/>
  <c r="AQ744" i="74" s="1"/>
  <c r="BQ737" i="74"/>
  <c r="BQ738" i="74" s="1"/>
  <c r="S791" i="74"/>
  <c r="Y787" i="74"/>
  <c r="Y792" i="74" s="1"/>
  <c r="CI787" i="74"/>
  <c r="CI792" i="74" s="1"/>
  <c r="CF896" i="74"/>
  <c r="CF898" i="74" s="1"/>
  <c r="CJ788" i="74"/>
  <c r="CJ793" i="74" s="1"/>
  <c r="CJ797" i="74" s="1"/>
  <c r="BE719" i="74"/>
  <c r="Q714" i="74"/>
  <c r="BE715" i="74"/>
  <c r="P696" i="74"/>
  <c r="W838" i="74"/>
  <c r="AV650" i="74"/>
  <c r="AV639" i="74"/>
  <c r="AV644" i="74" s="1"/>
  <c r="CA550" i="74"/>
  <c r="CA546" i="74"/>
  <c r="CA551" i="74" s="1"/>
  <c r="AG578" i="74"/>
  <c r="O565" i="74"/>
  <c r="AG567" i="74"/>
  <c r="AG568" i="74" s="1"/>
  <c r="AL637" i="74"/>
  <c r="AL493" i="74"/>
  <c r="AL661" i="74" s="1"/>
  <c r="CF715" i="74"/>
  <c r="CF720" i="74" s="1"/>
  <c r="CF724" i="74" s="1"/>
  <c r="AT714" i="74"/>
  <c r="AT719" i="74" s="1"/>
  <c r="BG674" i="74"/>
  <c r="BG663" i="74"/>
  <c r="BG668" i="74" s="1"/>
  <c r="AC589" i="74"/>
  <c r="AC491" i="74"/>
  <c r="AC613" i="74" s="1"/>
  <c r="AB637" i="74"/>
  <c r="AB493" i="74"/>
  <c r="AB661" i="74" s="1"/>
  <c r="W567" i="74"/>
  <c r="W572" i="74" s="1"/>
  <c r="W578" i="74"/>
  <c r="Q527" i="74"/>
  <c r="AK737" i="74"/>
  <c r="BQ715" i="74"/>
  <c r="AS792" i="74"/>
  <c r="AV865" i="74"/>
  <c r="AV861" i="74"/>
  <c r="AV866" i="74" s="1"/>
  <c r="AU579" i="74"/>
  <c r="BA626" i="74"/>
  <c r="BA615" i="74"/>
  <c r="BA620" i="74" s="1"/>
  <c r="BE701" i="74"/>
  <c r="AN810" i="74"/>
  <c r="AN811" i="74" s="1"/>
  <c r="AN816" i="74" s="1"/>
  <c r="BT715" i="74"/>
  <c r="BT720" i="74" s="1"/>
  <c r="BT724" i="74" s="1"/>
  <c r="BY569" i="74"/>
  <c r="BY574" i="74" s="1"/>
  <c r="BN775" i="74"/>
  <c r="BN777" i="74" s="1"/>
  <c r="CN626" i="74"/>
  <c r="CN615" i="74"/>
  <c r="CN620" i="74" s="1"/>
  <c r="AN714" i="74"/>
  <c r="AN719" i="74" s="1"/>
  <c r="Q886" i="74"/>
  <c r="BE891" i="74"/>
  <c r="Q891" i="74" s="1"/>
  <c r="AA811" i="74"/>
  <c r="AA816" i="74" s="1"/>
  <c r="AS551" i="74"/>
  <c r="CC898" i="74"/>
  <c r="BL861" i="74"/>
  <c r="BL866" i="74" s="1"/>
  <c r="BL870" i="74" s="1"/>
  <c r="BO715" i="74"/>
  <c r="BO720" i="74" s="1"/>
  <c r="BO724" i="74" s="1"/>
  <c r="P717" i="74"/>
  <c r="BD788" i="74"/>
  <c r="BD793" i="74" s="1"/>
  <c r="BD797" i="74" s="1"/>
  <c r="AY570" i="74"/>
  <c r="AY575" i="74" s="1"/>
  <c r="BD663" i="74"/>
  <c r="BD668" i="74" s="1"/>
  <c r="BD674" i="74"/>
  <c r="BE791" i="74"/>
  <c r="Q791" i="74" s="1"/>
  <c r="Q786" i="74"/>
  <c r="AM787" i="74"/>
  <c r="AM792" i="74" s="1"/>
  <c r="AH797" i="74"/>
  <c r="CE555" i="74"/>
  <c r="BJ674" i="74"/>
  <c r="BJ663" i="74"/>
  <c r="BE569" i="74"/>
  <c r="BR626" i="74"/>
  <c r="BR615" i="74"/>
  <c r="BR620" i="74" s="1"/>
  <c r="CB568" i="74"/>
  <c r="CB569" i="74" s="1"/>
  <c r="CB574" i="74" s="1"/>
  <c r="CM602" i="74"/>
  <c r="CM591" i="74"/>
  <c r="CM596" i="74" s="1"/>
  <c r="O836" i="74"/>
  <c r="AM838" i="74"/>
  <c r="AM843" i="74" s="1"/>
  <c r="AM847" i="74" s="1"/>
  <c r="AE786" i="74"/>
  <c r="AE787" i="74" s="1"/>
  <c r="AE792" i="74" s="1"/>
  <c r="CN847" i="74"/>
  <c r="AQ765" i="74"/>
  <c r="AQ770" i="74" s="1"/>
  <c r="AQ774" i="74" s="1"/>
  <c r="AZ870" i="74"/>
  <c r="CB861" i="74"/>
  <c r="CB866" i="74" s="1"/>
  <c r="CB870" i="74" s="1"/>
  <c r="O690" i="74"/>
  <c r="AG695" i="74"/>
  <c r="O695" i="74" s="1"/>
  <c r="AG691" i="74"/>
  <c r="BR533" i="74"/>
  <c r="BR535" i="74" s="1"/>
  <c r="BR559" i="74" s="1"/>
  <c r="AX579" i="74"/>
  <c r="Z713" i="74"/>
  <c r="Z718" i="74" s="1"/>
  <c r="U715" i="74"/>
  <c r="N526" i="74"/>
  <c r="BI775" i="74"/>
  <c r="BI777" i="74"/>
  <c r="AG809" i="74"/>
  <c r="AG820" i="74"/>
  <c r="O820" i="74" s="1"/>
  <c r="O807" i="74"/>
  <c r="R567" i="74"/>
  <c r="BQ572" i="74"/>
  <c r="R578" i="74"/>
  <c r="R791" i="74"/>
  <c r="CF569" i="74"/>
  <c r="CF574" i="74" s="1"/>
  <c r="CG674" i="74"/>
  <c r="CG663" i="74"/>
  <c r="CG668" i="74" s="1"/>
  <c r="CH739" i="74"/>
  <c r="CH744" i="74" s="1"/>
  <c r="CH748" i="74" s="1"/>
  <c r="AG717" i="74"/>
  <c r="O712" i="74"/>
  <c r="CD788" i="74"/>
  <c r="CD793" i="74" s="1"/>
  <c r="CD797" i="74" s="1"/>
  <c r="BJ739" i="74"/>
  <c r="BJ744" i="74" s="1"/>
  <c r="BJ748" i="74" s="1"/>
  <c r="Q713" i="74"/>
  <c r="N767" i="74"/>
  <c r="U774" i="74"/>
  <c r="BB639" i="74"/>
  <c r="BB650" i="74"/>
  <c r="AR578" i="74"/>
  <c r="AR567" i="74"/>
  <c r="AR572" i="74" s="1"/>
  <c r="AH589" i="74"/>
  <c r="AH491" i="74"/>
  <c r="AH613" i="74" s="1"/>
  <c r="AJ810" i="74"/>
  <c r="AJ811" i="74" s="1"/>
  <c r="AJ816" i="74" s="1"/>
  <c r="BD719" i="74"/>
  <c r="BD715" i="74"/>
  <c r="BD720" i="74" s="1"/>
  <c r="BM569" i="74"/>
  <c r="BM574" i="74" s="1"/>
  <c r="Y589" i="74"/>
  <c r="Y491" i="74"/>
  <c r="Y613" i="74" s="1"/>
  <c r="X637" i="74"/>
  <c r="X493" i="74"/>
  <c r="X661" i="74" s="1"/>
  <c r="AD567" i="74"/>
  <c r="AD578" i="74"/>
  <c r="BT568" i="74"/>
  <c r="BT569" i="74" s="1"/>
  <c r="BT574" i="74" s="1"/>
  <c r="BU639" i="74"/>
  <c r="BU644" i="74" s="1"/>
  <c r="BU650" i="74"/>
  <c r="CJ568" i="74"/>
  <c r="CJ569" i="74" s="1"/>
  <c r="CJ574" i="74" s="1"/>
  <c r="CK639" i="74"/>
  <c r="CK644" i="74" s="1"/>
  <c r="CK650" i="74"/>
  <c r="S863" i="74"/>
  <c r="AW787" i="74"/>
  <c r="AS788" i="74"/>
  <c r="R863" i="74"/>
  <c r="AC787" i="74"/>
  <c r="AC792" i="74" s="1"/>
  <c r="BR738" i="74"/>
  <c r="CJ718" i="74"/>
  <c r="CJ714" i="74"/>
  <c r="BQ774" i="74"/>
  <c r="CK788" i="74"/>
  <c r="CK793" i="74" s="1"/>
  <c r="CK797" i="74" s="1"/>
  <c r="AZ626" i="74"/>
  <c r="AZ615" i="74"/>
  <c r="AZ620" i="74" s="1"/>
  <c r="AB748" i="74"/>
  <c r="AI787" i="74"/>
  <c r="AI792" i="74" s="1"/>
  <c r="BP663" i="74"/>
  <c r="BP668" i="74" s="1"/>
  <c r="BP674" i="74"/>
  <c r="CI626" i="74"/>
  <c r="CI615" i="74"/>
  <c r="CI620" i="74" s="1"/>
  <c r="Q860" i="74"/>
  <c r="BE865" i="74"/>
  <c r="Q865" i="74" s="1"/>
  <c r="BE861" i="74"/>
  <c r="AS549" i="74"/>
  <c r="P549" i="74" s="1"/>
  <c r="P544" i="74"/>
  <c r="N914" i="74"/>
  <c r="BL788" i="74"/>
  <c r="BL793" i="74" s="1"/>
  <c r="BL797" i="74" s="1"/>
  <c r="BH811" i="74"/>
  <c r="AQ545" i="74"/>
  <c r="AN523" i="74"/>
  <c r="AN528" i="74" s="1"/>
  <c r="AN532" i="74" s="1"/>
  <c r="AC692" i="74"/>
  <c r="AC697" i="74" s="1"/>
  <c r="AC701" i="74" s="1"/>
  <c r="CM775" i="74"/>
  <c r="CM777" i="74" s="1"/>
  <c r="P714" i="74"/>
  <c r="AS719" i="74"/>
  <c r="AS715" i="74"/>
  <c r="AY663" i="74"/>
  <c r="AY668" i="74" s="1"/>
  <c r="AY674" i="74"/>
  <c r="AY775" i="74"/>
  <c r="AY777" i="74" s="1"/>
  <c r="BE787" i="74"/>
  <c r="AH810" i="74"/>
  <c r="BP555" i="74"/>
  <c r="AU787" i="74"/>
  <c r="BE661" i="74"/>
  <c r="Q493" i="74"/>
  <c r="CB650" i="74"/>
  <c r="CB639" i="74"/>
  <c r="CB644" i="74" s="1"/>
  <c r="CF870" i="74"/>
  <c r="CH602" i="74"/>
  <c r="CH591" i="74"/>
  <c r="CH596" i="74" s="1"/>
  <c r="CC568" i="74"/>
  <c r="AM713" i="74"/>
  <c r="BX546" i="74"/>
  <c r="BX551" i="74" s="1"/>
  <c r="BX555" i="74" s="1"/>
  <c r="BW739" i="74"/>
  <c r="BW744" i="74" s="1"/>
  <c r="BW748" i="74" s="1"/>
  <c r="BH847" i="74"/>
  <c r="AE811" i="74"/>
  <c r="AE816" i="74" s="1"/>
  <c r="AX639" i="74"/>
  <c r="AX644" i="74" s="1"/>
  <c r="AX650" i="74"/>
  <c r="AS613" i="74"/>
  <c r="P491" i="74"/>
  <c r="Z739" i="74"/>
  <c r="Z744" i="74" s="1"/>
  <c r="Z748" i="74" s="1"/>
  <c r="N734" i="74"/>
  <c r="U747" i="74"/>
  <c r="N747" i="74" s="1"/>
  <c r="U736" i="74"/>
  <c r="CF650" i="74"/>
  <c r="CF639" i="74"/>
  <c r="CF644" i="74" s="1"/>
  <c r="AL739" i="74"/>
  <c r="AL744" i="74" s="1"/>
  <c r="AL748" i="74" s="1"/>
  <c r="AG747" i="74"/>
  <c r="O747" i="74" s="1"/>
  <c r="AG736" i="74"/>
  <c r="O734" i="74"/>
  <c r="R527" i="74"/>
  <c r="S548" i="74"/>
  <c r="N764" i="74"/>
  <c r="BT842" i="74"/>
  <c r="BT838" i="74"/>
  <c r="BT843" i="74" s="1"/>
  <c r="AN589" i="74"/>
  <c r="AN491" i="74"/>
  <c r="AN613" i="74" s="1"/>
  <c r="AI637" i="74"/>
  <c r="AI493" i="74"/>
  <c r="AI661" i="74" s="1"/>
  <c r="AK787" i="74"/>
  <c r="AK792" i="74" s="1"/>
  <c r="AE637" i="74"/>
  <c r="AE493" i="74"/>
  <c r="AE661" i="74" s="1"/>
  <c r="Z567" i="74"/>
  <c r="Z572" i="74" s="1"/>
  <c r="Z578" i="74"/>
  <c r="BZ579" i="74"/>
  <c r="BU626" i="74"/>
  <c r="BU615" i="74"/>
  <c r="BU620" i="74" s="1"/>
  <c r="CJ650" i="74"/>
  <c r="CJ639" i="74"/>
  <c r="CJ644" i="74" s="1"/>
  <c r="S717" i="74"/>
  <c r="AJ738" i="74"/>
  <c r="AJ743" i="74" s="1"/>
  <c r="AG863" i="74"/>
  <c r="O858" i="74"/>
  <c r="AC821" i="74"/>
  <c r="AG548" i="74"/>
  <c r="O543" i="74"/>
  <c r="W715" i="74"/>
  <c r="W720" i="74" s="1"/>
  <c r="W724" i="74" s="1"/>
  <c r="AC714" i="74"/>
  <c r="AC719" i="74" s="1"/>
  <c r="AO810" i="74"/>
  <c r="BK674" i="74"/>
  <c r="BK663" i="74"/>
  <c r="BK668" i="74" s="1"/>
  <c r="BS568" i="74"/>
  <c r="BY591" i="74"/>
  <c r="BY596" i="74" s="1"/>
  <c r="BY602" i="74"/>
  <c r="S770" i="74"/>
  <c r="AI713" i="74"/>
  <c r="AI718" i="74" s="1"/>
  <c r="O895" i="74"/>
  <c r="AG896" i="74"/>
  <c r="O896" i="74" s="1"/>
  <c r="BZ546" i="74"/>
  <c r="BZ551" i="74" s="1"/>
  <c r="BZ555" i="74" s="1"/>
  <c r="P692" i="74"/>
  <c r="AY602" i="74"/>
  <c r="AY591" i="74"/>
  <c r="AY596" i="74" s="1"/>
  <c r="AA739" i="74"/>
  <c r="AA744" i="74" s="1"/>
  <c r="R549" i="74"/>
  <c r="BO650" i="74"/>
  <c r="BO639" i="74"/>
  <c r="BO644" i="74" s="1"/>
  <c r="BR568" i="74"/>
  <c r="BR569" i="74" s="1"/>
  <c r="BR574" i="74" s="1"/>
  <c r="CB591" i="74"/>
  <c r="CB596" i="74" s="1"/>
  <c r="CB602" i="74"/>
  <c r="AM523" i="74"/>
  <c r="AM528" i="74" s="1"/>
  <c r="AM532" i="74" s="1"/>
  <c r="CJ555" i="74" l="1"/>
  <c r="CJ556" i="74" s="1"/>
  <c r="CJ558" i="74" s="1"/>
  <c r="CJ559" i="74" s="1"/>
  <c r="BG715" i="74"/>
  <c r="BG720" i="74" s="1"/>
  <c r="BG724" i="74" s="1"/>
  <c r="AN788" i="74"/>
  <c r="AN793" i="74" s="1"/>
  <c r="AN797" i="74" s="1"/>
  <c r="BN569" i="74"/>
  <c r="BN574" i="74" s="1"/>
  <c r="AX739" i="74"/>
  <c r="AX744" i="74" s="1"/>
  <c r="CE535" i="74"/>
  <c r="AF701" i="74"/>
  <c r="AF702" i="74" s="1"/>
  <c r="AF704" i="74" s="1"/>
  <c r="BA569" i="74"/>
  <c r="BA574" i="74" s="1"/>
  <c r="CN569" i="74"/>
  <c r="CN574" i="74" s="1"/>
  <c r="CI570" i="74"/>
  <c r="CI575" i="74" s="1"/>
  <c r="AU570" i="74"/>
  <c r="AU575" i="74" s="1"/>
  <c r="AM550" i="74"/>
  <c r="AM555" i="74" s="1"/>
  <c r="AM546" i="74"/>
  <c r="AM551" i="74" s="1"/>
  <c r="CI569" i="74"/>
  <c r="CI574" i="74" s="1"/>
  <c r="P546" i="74"/>
  <c r="AY812" i="74"/>
  <c r="AY817" i="74" s="1"/>
  <c r="AY821" i="74" s="1"/>
  <c r="Q550" i="74"/>
  <c r="AH787" i="74"/>
  <c r="BS556" i="74"/>
  <c r="BS558" i="74" s="1"/>
  <c r="BS559" i="74" s="1"/>
  <c r="BV788" i="74"/>
  <c r="BV793" i="74" s="1"/>
  <c r="BU715" i="74"/>
  <c r="BU720" i="74" s="1"/>
  <c r="BU724" i="74" s="1"/>
  <c r="R532" i="74"/>
  <c r="AQ704" i="74"/>
  <c r="AR738" i="74"/>
  <c r="AR743" i="74" s="1"/>
  <c r="AH714" i="74"/>
  <c r="AH719" i="74" s="1"/>
  <c r="O527" i="74"/>
  <c r="BF739" i="74"/>
  <c r="BF744" i="74" s="1"/>
  <c r="BF748" i="74" s="1"/>
  <c r="BM788" i="74"/>
  <c r="BM793" i="74" s="1"/>
  <c r="BM797" i="74" s="1"/>
  <c r="BA715" i="74"/>
  <c r="BA720" i="74" s="1"/>
  <c r="BA724" i="74" s="1"/>
  <c r="CF555" i="74"/>
  <c r="AM738" i="74"/>
  <c r="AM743" i="74" s="1"/>
  <c r="AR838" i="74"/>
  <c r="AR843" i="74" s="1"/>
  <c r="AR847" i="74" s="1"/>
  <c r="Y550" i="74"/>
  <c r="Y555" i="74" s="1"/>
  <c r="Y556" i="74" s="1"/>
  <c r="Y558" i="74" s="1"/>
  <c r="Y546" i="74"/>
  <c r="Y551" i="74" s="1"/>
  <c r="Z704" i="74"/>
  <c r="Z702" i="74"/>
  <c r="AI838" i="74"/>
  <c r="AI843" i="74" s="1"/>
  <c r="AI847" i="74" s="1"/>
  <c r="AR739" i="74"/>
  <c r="AR744" i="74" s="1"/>
  <c r="AR748" i="74" s="1"/>
  <c r="AI811" i="74"/>
  <c r="AI816" i="74" s="1"/>
  <c r="Z838" i="74"/>
  <c r="Z843" i="74" s="1"/>
  <c r="P550" i="74"/>
  <c r="BW555" i="74"/>
  <c r="AC811" i="74"/>
  <c r="AC816" i="74" s="1"/>
  <c r="AF739" i="74"/>
  <c r="AF744" i="74" s="1"/>
  <c r="AF748" i="74" s="1"/>
  <c r="AL787" i="74"/>
  <c r="AL792" i="74" s="1"/>
  <c r="BP664" i="74"/>
  <c r="BP669" i="74" s="1"/>
  <c r="AW715" i="74"/>
  <c r="AW720" i="74" s="1"/>
  <c r="AZ555" i="74"/>
  <c r="AZ556" i="74" s="1"/>
  <c r="AZ558" i="74" s="1"/>
  <c r="AZ559" i="74" s="1"/>
  <c r="CL616" i="74"/>
  <c r="CL621" i="74" s="1"/>
  <c r="BW616" i="74"/>
  <c r="BW621" i="74" s="1"/>
  <c r="AN922" i="74"/>
  <c r="CK569" i="74"/>
  <c r="BI569" i="74"/>
  <c r="AC861" i="74"/>
  <c r="AC866" i="74" s="1"/>
  <c r="AC870" i="74" s="1"/>
  <c r="AC871" i="74" s="1"/>
  <c r="AC873" i="74" s="1"/>
  <c r="AP787" i="74"/>
  <c r="BC569" i="74"/>
  <c r="AW847" i="74"/>
  <c r="AW848" i="74" s="1"/>
  <c r="AW850" i="74" s="1"/>
  <c r="AW874" i="74" s="1"/>
  <c r="X738" i="74"/>
  <c r="X743" i="74" s="1"/>
  <c r="BK719" i="74"/>
  <c r="BK715" i="74"/>
  <c r="BK720" i="74" s="1"/>
  <c r="BK724" i="74" s="1"/>
  <c r="BK725" i="74" s="1"/>
  <c r="BK727" i="74" s="1"/>
  <c r="BK728" i="74" s="1"/>
  <c r="BJ569" i="74"/>
  <c r="BW870" i="74"/>
  <c r="BW871" i="74" s="1"/>
  <c r="BW873" i="74" s="1"/>
  <c r="BH559" i="74"/>
  <c r="AI550" i="74"/>
  <c r="AI546" i="74"/>
  <c r="AI551" i="74" s="1"/>
  <c r="BU792" i="74"/>
  <c r="BU788" i="74"/>
  <c r="BU793" i="74" s="1"/>
  <c r="AB550" i="74"/>
  <c r="AB555" i="74" s="1"/>
  <c r="AB546" i="74"/>
  <c r="AB551" i="74" s="1"/>
  <c r="BV556" i="74"/>
  <c r="BV558" i="74"/>
  <c r="BV559" i="74" s="1"/>
  <c r="CI616" i="74"/>
  <c r="CI621" i="74" s="1"/>
  <c r="BN715" i="74"/>
  <c r="BN720" i="74" s="1"/>
  <c r="BN724" i="74" s="1"/>
  <c r="BC812" i="74"/>
  <c r="BC817" i="74" s="1"/>
  <c r="CB559" i="74"/>
  <c r="AJ775" i="74"/>
  <c r="AJ777" i="74" s="1"/>
  <c r="CA533" i="74"/>
  <c r="CA535" i="74" s="1"/>
  <c r="AE774" i="74"/>
  <c r="AK532" i="74"/>
  <c r="P787" i="74"/>
  <c r="AO546" i="74"/>
  <c r="AO551" i="74" s="1"/>
  <c r="AR532" i="74"/>
  <c r="BI801" i="74"/>
  <c r="BN788" i="74"/>
  <c r="BN793" i="74" s="1"/>
  <c r="BN797" i="74" s="1"/>
  <c r="BN798" i="74" s="1"/>
  <c r="BN800" i="74" s="1"/>
  <c r="BN801" i="74" s="1"/>
  <c r="AL532" i="74"/>
  <c r="AL533" i="74" s="1"/>
  <c r="AL535" i="74" s="1"/>
  <c r="AL559" i="74" s="1"/>
  <c r="BC719" i="74"/>
  <c r="BC715" i="74"/>
  <c r="BC720" i="74" s="1"/>
  <c r="V550" i="74"/>
  <c r="V555" i="74" s="1"/>
  <c r="V556" i="74" s="1"/>
  <c r="V558" i="74" s="1"/>
  <c r="V546" i="74"/>
  <c r="V551" i="74" s="1"/>
  <c r="AH532" i="74"/>
  <c r="AH533" i="74" s="1"/>
  <c r="AH535" i="74" s="1"/>
  <c r="Z532" i="74"/>
  <c r="Z533" i="74" s="1"/>
  <c r="Z535" i="74" s="1"/>
  <c r="Z559" i="74" s="1"/>
  <c r="CG847" i="74"/>
  <c r="CG848" i="74" s="1"/>
  <c r="CG850" i="74" s="1"/>
  <c r="CG874" i="74" s="1"/>
  <c r="AQ568" i="74"/>
  <c r="AQ573" i="74" s="1"/>
  <c r="BV616" i="74"/>
  <c r="BV621" i="74" s="1"/>
  <c r="AI568" i="74"/>
  <c r="AI573" i="74" s="1"/>
  <c r="BI664" i="74"/>
  <c r="BI669" i="74" s="1"/>
  <c r="BC616" i="74"/>
  <c r="BC621" i="74" s="1"/>
  <c r="AE714" i="74"/>
  <c r="BI812" i="74"/>
  <c r="BI817" i="74" s="1"/>
  <c r="BI821" i="74" s="1"/>
  <c r="BI822" i="74" s="1"/>
  <c r="BI824" i="74" s="1"/>
  <c r="AX870" i="74"/>
  <c r="AX871" i="74" s="1"/>
  <c r="AX873" i="74" s="1"/>
  <c r="AX874" i="74" s="1"/>
  <c r="CH847" i="74"/>
  <c r="CH848" i="74" s="1"/>
  <c r="CH850" i="74" s="1"/>
  <c r="AA774" i="74"/>
  <c r="AA775" i="74" s="1"/>
  <c r="AA777" i="74" s="1"/>
  <c r="BG555" i="74"/>
  <c r="BC555" i="74"/>
  <c r="CA792" i="74"/>
  <c r="CA788" i="74"/>
  <c r="CA793" i="74" s="1"/>
  <c r="CA797" i="74" s="1"/>
  <c r="CA798" i="74" s="1"/>
  <c r="CA800" i="74" s="1"/>
  <c r="CA801" i="74" s="1"/>
  <c r="CE848" i="74"/>
  <c r="CE850" i="74" s="1"/>
  <c r="CE874" i="74" s="1"/>
  <c r="CK640" i="74"/>
  <c r="CK645" i="74" s="1"/>
  <c r="CE739" i="74"/>
  <c r="CE744" i="74" s="1"/>
  <c r="BB616" i="74"/>
  <c r="BB621" i="74" s="1"/>
  <c r="AC568" i="74"/>
  <c r="AC573" i="74" s="1"/>
  <c r="BU592" i="74"/>
  <c r="BU597" i="74" s="1"/>
  <c r="CD569" i="74"/>
  <c r="AL714" i="74"/>
  <c r="CM870" i="74"/>
  <c r="CM871" i="74" s="1"/>
  <c r="CM873" i="74" s="1"/>
  <c r="BU847" i="74"/>
  <c r="BU848" i="74" s="1"/>
  <c r="BU850" i="74" s="1"/>
  <c r="BL569" i="74"/>
  <c r="BM812" i="74"/>
  <c r="BM817" i="74" s="1"/>
  <c r="BM821" i="74" s="1"/>
  <c r="BM822" i="74" s="1"/>
  <c r="BM824" i="74" s="1"/>
  <c r="AW664" i="74"/>
  <c r="AW669" i="74" s="1"/>
  <c r="BS616" i="74"/>
  <c r="BS621" i="74" s="1"/>
  <c r="BX847" i="74"/>
  <c r="BV847" i="74"/>
  <c r="BV848" i="74" s="1"/>
  <c r="BV850" i="74" s="1"/>
  <c r="BL743" i="74"/>
  <c r="BL739" i="74"/>
  <c r="BL744" i="74" s="1"/>
  <c r="AU719" i="74"/>
  <c r="AU715" i="74"/>
  <c r="AU720" i="74" s="1"/>
  <c r="AU724" i="74" s="1"/>
  <c r="AU725" i="74" s="1"/>
  <c r="AU727" i="74" s="1"/>
  <c r="AU728" i="74" s="1"/>
  <c r="CM664" i="74"/>
  <c r="CM669" i="74" s="1"/>
  <c r="AX616" i="74"/>
  <c r="AX621" i="74" s="1"/>
  <c r="AT569" i="74"/>
  <c r="AJ787" i="74"/>
  <c r="BS812" i="74"/>
  <c r="BS817" i="74" s="1"/>
  <c r="BS821" i="74" s="1"/>
  <c r="BS822" i="74" s="1"/>
  <c r="BS824" i="74" s="1"/>
  <c r="CC724" i="74"/>
  <c r="AD870" i="74"/>
  <c r="AJ568" i="74"/>
  <c r="AJ573" i="74" s="1"/>
  <c r="CM640" i="74"/>
  <c r="CM645" i="74" s="1"/>
  <c r="AY850" i="74"/>
  <c r="AV816" i="74"/>
  <c r="AV812" i="74"/>
  <c r="AV817" i="74" s="1"/>
  <c r="CL592" i="74"/>
  <c r="CL597" i="74" s="1"/>
  <c r="AW821" i="74"/>
  <c r="CA640" i="74"/>
  <c r="CA645" i="74" s="1"/>
  <c r="BB715" i="74"/>
  <c r="BB720" i="74" s="1"/>
  <c r="BB724" i="74" s="1"/>
  <c r="BB725" i="74" s="1"/>
  <c r="BB727" i="74" s="1"/>
  <c r="BB728" i="74" s="1"/>
  <c r="AV616" i="74"/>
  <c r="AV621" i="74" s="1"/>
  <c r="BA847" i="74"/>
  <c r="BA848" i="74" s="1"/>
  <c r="BA850" i="74" s="1"/>
  <c r="BA874" i="74" s="1"/>
  <c r="CM847" i="74"/>
  <c r="BD870" i="74"/>
  <c r="BD871" i="74" s="1"/>
  <c r="BD873" i="74" s="1"/>
  <c r="BP870" i="74"/>
  <c r="BP871" i="74" s="1"/>
  <c r="BP873" i="74" s="1"/>
  <c r="BY870" i="74"/>
  <c r="CK847" i="74"/>
  <c r="CK848" i="74" s="1"/>
  <c r="CK850" i="74" s="1"/>
  <c r="CK874" i="74" s="1"/>
  <c r="AG898" i="74"/>
  <c r="O898" i="74" s="1"/>
  <c r="O949" i="74" s="1"/>
  <c r="AR568" i="74"/>
  <c r="AR573" i="74" s="1"/>
  <c r="AK714" i="74"/>
  <c r="AK719" i="74" s="1"/>
  <c r="BK569" i="74"/>
  <c r="CK664" i="74"/>
  <c r="CK669" i="74" s="1"/>
  <c r="AR811" i="74"/>
  <c r="BS797" i="74"/>
  <c r="BW664" i="74"/>
  <c r="BW669" i="74" s="1"/>
  <c r="BY664" i="74"/>
  <c r="BY669" i="74" s="1"/>
  <c r="BV724" i="74"/>
  <c r="CK739" i="74"/>
  <c r="CK744" i="74" s="1"/>
  <c r="CK748" i="74" s="1"/>
  <c r="CK749" i="74" s="1"/>
  <c r="CK751" i="74" s="1"/>
  <c r="CK752" i="74" s="1"/>
  <c r="AN738" i="74"/>
  <c r="W787" i="74"/>
  <c r="AV788" i="74"/>
  <c r="AV793" i="74" s="1"/>
  <c r="AV797" i="74" s="1"/>
  <c r="CA719" i="74"/>
  <c r="CA715" i="74"/>
  <c r="CA720" i="74" s="1"/>
  <c r="CN822" i="74"/>
  <c r="CN824" i="74" s="1"/>
  <c r="BG792" i="74"/>
  <c r="BG788" i="74"/>
  <c r="BG793" i="74" s="1"/>
  <c r="AY616" i="74"/>
  <c r="AY621" i="74" s="1"/>
  <c r="AD787" i="74"/>
  <c r="BK616" i="74"/>
  <c r="BK621" i="74" s="1"/>
  <c r="BO569" i="74"/>
  <c r="V870" i="74"/>
  <c r="BG616" i="74"/>
  <c r="BG621" i="74" s="1"/>
  <c r="AB568" i="74"/>
  <c r="AB573" i="74" s="1"/>
  <c r="AY873" i="74"/>
  <c r="AQ865" i="74"/>
  <c r="AQ861" i="74"/>
  <c r="AQ866" i="74" s="1"/>
  <c r="AT816" i="74"/>
  <c r="AT812" i="74"/>
  <c r="AT817" i="74" s="1"/>
  <c r="BZ812" i="74"/>
  <c r="BZ817" i="74" s="1"/>
  <c r="BZ821" i="74" s="1"/>
  <c r="BZ822" i="74" s="1"/>
  <c r="BZ824" i="74" s="1"/>
  <c r="BZ825" i="74" s="1"/>
  <c r="BS664" i="74"/>
  <c r="BS669" i="74" s="1"/>
  <c r="CE640" i="74"/>
  <c r="CE645" i="74" s="1"/>
  <c r="BM592" i="74"/>
  <c r="BM597" i="74" s="1"/>
  <c r="BF870" i="74"/>
  <c r="BF871" i="74" s="1"/>
  <c r="BF873" i="74" s="1"/>
  <c r="BF874" i="74" s="1"/>
  <c r="CD592" i="74"/>
  <c r="CD597" i="74" s="1"/>
  <c r="AU592" i="74"/>
  <c r="AU597" i="74" s="1"/>
  <c r="BD616" i="74"/>
  <c r="BD621" i="74" s="1"/>
  <c r="U811" i="74"/>
  <c r="U812" i="74" s="1"/>
  <c r="U817" i="74" s="1"/>
  <c r="CA812" i="74"/>
  <c r="CA817" i="74" s="1"/>
  <c r="BZ616" i="74"/>
  <c r="BZ621" i="74" s="1"/>
  <c r="AU616" i="74"/>
  <c r="AU621" i="74" s="1"/>
  <c r="BG640" i="74"/>
  <c r="BG645" i="74" s="1"/>
  <c r="CA616" i="74"/>
  <c r="CA621" i="74" s="1"/>
  <c r="CM641" i="74"/>
  <c r="CM646" i="74" s="1"/>
  <c r="CN640" i="74"/>
  <c r="CN645" i="74" s="1"/>
  <c r="CL739" i="74"/>
  <c r="CL744" i="74" s="1"/>
  <c r="AN861" i="74"/>
  <c r="AN866" i="74" s="1"/>
  <c r="AN870" i="74" s="1"/>
  <c r="AN871" i="74" s="1"/>
  <c r="AN873" i="74" s="1"/>
  <c r="BK664" i="74"/>
  <c r="BK669" i="74" s="1"/>
  <c r="BR616" i="74"/>
  <c r="BR621" i="74" s="1"/>
  <c r="BV870" i="74"/>
  <c r="BV871" i="74" s="1"/>
  <c r="BV873" i="74" s="1"/>
  <c r="BV874" i="74" s="1"/>
  <c r="BO664" i="74"/>
  <c r="BO669" i="74" s="1"/>
  <c r="BT640" i="74"/>
  <c r="BT645" i="74" s="1"/>
  <c r="AX664" i="74"/>
  <c r="CH616" i="74"/>
  <c r="CH621" i="74" s="1"/>
  <c r="BF640" i="74"/>
  <c r="BF645" i="74" s="1"/>
  <c r="CE592" i="74"/>
  <c r="CE597" i="74" s="1"/>
  <c r="CI715" i="74"/>
  <c r="CI720" i="74" s="1"/>
  <c r="Y811" i="74"/>
  <c r="AB811" i="74"/>
  <c r="AK811" i="74"/>
  <c r="CA641" i="74"/>
  <c r="CA646" i="74" s="1"/>
  <c r="CD616" i="74"/>
  <c r="CD621" i="74" s="1"/>
  <c r="BS617" i="74"/>
  <c r="BS622" i="74" s="1"/>
  <c r="BL664" i="74"/>
  <c r="BL669" i="74" s="1"/>
  <c r="V838" i="74"/>
  <c r="V843" i="74" s="1"/>
  <c r="BU569" i="74"/>
  <c r="CL847" i="74"/>
  <c r="CL848" i="74" s="1"/>
  <c r="CL850" i="74" s="1"/>
  <c r="CL874" i="74" s="1"/>
  <c r="CD816" i="74"/>
  <c r="CD812" i="74"/>
  <c r="CD817" i="74" s="1"/>
  <c r="Z865" i="74"/>
  <c r="Z861" i="74"/>
  <c r="Z866" i="74" s="1"/>
  <c r="BT816" i="74"/>
  <c r="BT812" i="74"/>
  <c r="BT817" i="74" s="1"/>
  <c r="AB861" i="74"/>
  <c r="AB866" i="74" s="1"/>
  <c r="AB870" i="74" s="1"/>
  <c r="BX569" i="74"/>
  <c r="BJ668" i="74"/>
  <c r="BJ664" i="74"/>
  <c r="BJ669" i="74" s="1"/>
  <c r="AD572" i="74"/>
  <c r="AD568" i="74"/>
  <c r="AD573" i="74" s="1"/>
  <c r="R568" i="74"/>
  <c r="CJ640" i="74"/>
  <c r="CJ645" i="74" s="1"/>
  <c r="BT847" i="74"/>
  <c r="BT848" i="74" s="1"/>
  <c r="BT850" i="74" s="1"/>
  <c r="BT874" i="74" s="1"/>
  <c r="CB640" i="74"/>
  <c r="CB645" i="74" s="1"/>
  <c r="BB644" i="74"/>
  <c r="BB640" i="74"/>
  <c r="BB645" i="74" s="1"/>
  <c r="BS874" i="74"/>
  <c r="Q843" i="74"/>
  <c r="AQ748" i="74"/>
  <c r="AQ749" i="74" s="1"/>
  <c r="AQ751" i="74" s="1"/>
  <c r="CH579" i="74"/>
  <c r="W748" i="74"/>
  <c r="W749" i="74" s="1"/>
  <c r="W751" i="74" s="1"/>
  <c r="Z847" i="74"/>
  <c r="AX719" i="74"/>
  <c r="AX715" i="74"/>
  <c r="AX720" i="74" s="1"/>
  <c r="BX848" i="74"/>
  <c r="BX850" i="74" s="1"/>
  <c r="AX816" i="74"/>
  <c r="AX812" i="74"/>
  <c r="AX817" i="74" s="1"/>
  <c r="AR787" i="74"/>
  <c r="AQ811" i="74"/>
  <c r="CM848" i="74"/>
  <c r="CM850" i="74" s="1"/>
  <c r="CM874" i="74" s="1"/>
  <c r="AV847" i="74"/>
  <c r="AP714" i="74"/>
  <c r="AP719" i="74" s="1"/>
  <c r="Y847" i="74"/>
  <c r="Y848" i="74" s="1"/>
  <c r="Y850" i="74" s="1"/>
  <c r="AO568" i="74"/>
  <c r="AO573" i="74" s="1"/>
  <c r="AY579" i="74"/>
  <c r="AY580" i="74" s="1"/>
  <c r="AY582" i="74" s="1"/>
  <c r="AC847" i="74"/>
  <c r="CJ748" i="74"/>
  <c r="CJ749" i="74" s="1"/>
  <c r="CJ751" i="74" s="1"/>
  <c r="BZ874" i="74"/>
  <c r="CA743" i="74"/>
  <c r="CA739" i="74"/>
  <c r="CA744" i="74" s="1"/>
  <c r="CA748" i="74" s="1"/>
  <c r="BT792" i="74"/>
  <c r="BT788" i="74"/>
  <c r="BT793" i="74" s="1"/>
  <c r="AU870" i="74"/>
  <c r="AU871" i="74" s="1"/>
  <c r="AU873" i="74" s="1"/>
  <c r="CE816" i="74"/>
  <c r="CE812" i="74"/>
  <c r="CE817" i="74" s="1"/>
  <c r="V847" i="74"/>
  <c r="AD718" i="74"/>
  <c r="AD714" i="74"/>
  <c r="AY719" i="74"/>
  <c r="AY715" i="74"/>
  <c r="AY720" i="74" s="1"/>
  <c r="AN842" i="74"/>
  <c r="AN838" i="74"/>
  <c r="AN843" i="74" s="1"/>
  <c r="BR792" i="74"/>
  <c r="BR797" i="74" s="1"/>
  <c r="BR798" i="74" s="1"/>
  <c r="BR800" i="74" s="1"/>
  <c r="BR801" i="74" s="1"/>
  <c r="BR788" i="74"/>
  <c r="BR793" i="74" s="1"/>
  <c r="Y865" i="74"/>
  <c r="Y861" i="74"/>
  <c r="Y866" i="74" s="1"/>
  <c r="V714" i="74"/>
  <c r="V719" i="74" s="1"/>
  <c r="AV870" i="74"/>
  <c r="BJ616" i="74"/>
  <c r="CB715" i="74"/>
  <c r="CB720" i="74" s="1"/>
  <c r="CB724" i="74" s="1"/>
  <c r="AU812" i="74"/>
  <c r="AU817" i="74" s="1"/>
  <c r="AU821" i="74" s="1"/>
  <c r="AU822" i="74" s="1"/>
  <c r="AU824" i="74" s="1"/>
  <c r="BS715" i="74"/>
  <c r="BS720" i="74" s="1"/>
  <c r="BH640" i="74"/>
  <c r="BH645" i="74" s="1"/>
  <c r="AX592" i="74"/>
  <c r="AX597" i="74" s="1"/>
  <c r="BM616" i="74"/>
  <c r="BM621" i="74" s="1"/>
  <c r="AY617" i="74"/>
  <c r="AY622" i="74" s="1"/>
  <c r="AO714" i="74"/>
  <c r="AO719" i="74" s="1"/>
  <c r="BU664" i="74"/>
  <c r="BU669" i="74" s="1"/>
  <c r="BN664" i="74"/>
  <c r="BN669" i="74" s="1"/>
  <c r="AA861" i="74"/>
  <c r="AA866" i="74" s="1"/>
  <c r="CL569" i="74"/>
  <c r="CL574" i="74" s="1"/>
  <c r="BI640" i="74"/>
  <c r="BI645" i="74" s="1"/>
  <c r="BW569" i="74"/>
  <c r="Y568" i="74"/>
  <c r="Y573" i="74" s="1"/>
  <c r="BF664" i="74"/>
  <c r="BF669" i="74" s="1"/>
  <c r="BW617" i="74"/>
  <c r="BW622" i="74" s="1"/>
  <c r="AJ861" i="74"/>
  <c r="AJ866" i="74" s="1"/>
  <c r="BR812" i="74"/>
  <c r="BR817" i="74" s="1"/>
  <c r="X811" i="74"/>
  <c r="AT664" i="74"/>
  <c r="AT669" i="74" s="1"/>
  <c r="BR592" i="74"/>
  <c r="BR597" i="74" s="1"/>
  <c r="CN592" i="74"/>
  <c r="CN597" i="74" s="1"/>
  <c r="CE719" i="74"/>
  <c r="CE715" i="74"/>
  <c r="CE720" i="74" s="1"/>
  <c r="S720" i="74" s="1"/>
  <c r="BK792" i="74"/>
  <c r="BK788" i="74"/>
  <c r="BK793" i="74" s="1"/>
  <c r="BG743" i="74"/>
  <c r="BG739" i="74"/>
  <c r="BG744" i="74" s="1"/>
  <c r="CL719" i="74"/>
  <c r="CL715" i="74"/>
  <c r="CL720" i="74" s="1"/>
  <c r="W811" i="74"/>
  <c r="AW569" i="74"/>
  <c r="CM816" i="74"/>
  <c r="CM812" i="74"/>
  <c r="CM817" i="74" s="1"/>
  <c r="BW847" i="74"/>
  <c r="BW848" i="74" s="1"/>
  <c r="BW850" i="74" s="1"/>
  <c r="BW874" i="74" s="1"/>
  <c r="BR870" i="74"/>
  <c r="BM870" i="74"/>
  <c r="AV640" i="74"/>
  <c r="AV645" i="74" s="1"/>
  <c r="CM665" i="74"/>
  <c r="CM670" i="74" s="1"/>
  <c r="AW724" i="74"/>
  <c r="AW725" i="74" s="1"/>
  <c r="AW727" i="74" s="1"/>
  <c r="AW728" i="74" s="1"/>
  <c r="BT616" i="74"/>
  <c r="BT621" i="74" s="1"/>
  <c r="AJ569" i="74"/>
  <c r="AJ574" i="74" s="1"/>
  <c r="CE664" i="74"/>
  <c r="CE669" i="74" s="1"/>
  <c r="AA748" i="74"/>
  <c r="BY616" i="74"/>
  <c r="BY621" i="74" s="1"/>
  <c r="BF569" i="74"/>
  <c r="CA569" i="74"/>
  <c r="AM748" i="74"/>
  <c r="AM749" i="74" s="1"/>
  <c r="AM751" i="74" s="1"/>
  <c r="AZ640" i="74"/>
  <c r="AZ645" i="74" s="1"/>
  <c r="AT616" i="74"/>
  <c r="AT621" i="74" s="1"/>
  <c r="CI579" i="74"/>
  <c r="CG739" i="74"/>
  <c r="CG744" i="74" s="1"/>
  <c r="BA664" i="74"/>
  <c r="BA669" i="74" s="1"/>
  <c r="BC821" i="74"/>
  <c r="BZ592" i="74"/>
  <c r="BZ597" i="74" s="1"/>
  <c r="AQ787" i="74"/>
  <c r="CM569" i="74"/>
  <c r="V738" i="74"/>
  <c r="AC569" i="74"/>
  <c r="AC574" i="74" s="1"/>
  <c r="BE922" i="74"/>
  <c r="Q922" i="74" s="1"/>
  <c r="Q950" i="74" s="1"/>
  <c r="G43" i="74" s="1"/>
  <c r="F29" i="75" s="1"/>
  <c r="BX616" i="74"/>
  <c r="BX621" i="74" s="1"/>
  <c r="BI592" i="74"/>
  <c r="BI597" i="74" s="1"/>
  <c r="BK640" i="74"/>
  <c r="BK645" i="74" s="1"/>
  <c r="BM664" i="74"/>
  <c r="BM669" i="74" s="1"/>
  <c r="BP640" i="74"/>
  <c r="BP645" i="74" s="1"/>
  <c r="BV664" i="74"/>
  <c r="BV669" i="74" s="1"/>
  <c r="BA592" i="74"/>
  <c r="BA597" i="74" s="1"/>
  <c r="CH664" i="74"/>
  <c r="CH669" i="74" s="1"/>
  <c r="BR640" i="74"/>
  <c r="BR645" i="74" s="1"/>
  <c r="V568" i="74"/>
  <c r="V573" i="74" s="1"/>
  <c r="BC743" i="74"/>
  <c r="BC739" i="74"/>
  <c r="BC744" i="74" s="1"/>
  <c r="AL842" i="74"/>
  <c r="AL838" i="74"/>
  <c r="AL843" i="74" s="1"/>
  <c r="BU870" i="74"/>
  <c r="BU871" i="74" s="1"/>
  <c r="BU873" i="74" s="1"/>
  <c r="CG816" i="74"/>
  <c r="CG812" i="74"/>
  <c r="CG817" i="74" s="1"/>
  <c r="CL792" i="74"/>
  <c r="CL788" i="74"/>
  <c r="CL793" i="74" s="1"/>
  <c r="V815" i="74"/>
  <c r="V811" i="74"/>
  <c r="BP573" i="74"/>
  <c r="BP569" i="74"/>
  <c r="AA718" i="74"/>
  <c r="AA714" i="74"/>
  <c r="BH569" i="74"/>
  <c r="Z749" i="74"/>
  <c r="Z751" i="74" s="1"/>
  <c r="BW749" i="74"/>
  <c r="BW751" i="74" s="1"/>
  <c r="AC702" i="74"/>
  <c r="AC704" i="74" s="1"/>
  <c r="BL798" i="74"/>
  <c r="BL800" i="74" s="1"/>
  <c r="CK798" i="74"/>
  <c r="CK800" i="74" s="1"/>
  <c r="BJ749" i="74"/>
  <c r="BJ751" i="74" s="1"/>
  <c r="BJ752" i="74" s="1"/>
  <c r="BO725" i="74"/>
  <c r="BO727" i="74" s="1"/>
  <c r="BO728" i="74" s="1"/>
  <c r="CF725" i="74"/>
  <c r="CF727" i="74" s="1"/>
  <c r="CF728" i="74" s="1"/>
  <c r="BA725" i="74"/>
  <c r="BA727" i="74" s="1"/>
  <c r="BA728" i="74" s="1"/>
  <c r="AB775" i="74"/>
  <c r="AB777" i="74" s="1"/>
  <c r="AZ798" i="74"/>
  <c r="AZ800" i="74" s="1"/>
  <c r="AD702" i="74"/>
  <c r="AD704" i="74" s="1"/>
  <c r="BU725" i="74"/>
  <c r="BU727" i="74" s="1"/>
  <c r="BU728" i="74" s="1"/>
  <c r="CH580" i="74"/>
  <c r="CH582" i="74" s="1"/>
  <c r="U865" i="74"/>
  <c r="N860" i="74"/>
  <c r="U861" i="74"/>
  <c r="CM556" i="74"/>
  <c r="CM558" i="74" s="1"/>
  <c r="CM559" i="74" s="1"/>
  <c r="X871" i="74"/>
  <c r="X873" i="74" s="1"/>
  <c r="Z848" i="74"/>
  <c r="Z850" i="74" s="1"/>
  <c r="BP822" i="74"/>
  <c r="BP824" i="74" s="1"/>
  <c r="BX749" i="74"/>
  <c r="BX751" i="74" s="1"/>
  <c r="CD725" i="74"/>
  <c r="CD727" i="74" s="1"/>
  <c r="CD728" i="74" s="1"/>
  <c r="BX871" i="74"/>
  <c r="BX873" i="74" s="1"/>
  <c r="AN533" i="74"/>
  <c r="AN535" i="74" s="1"/>
  <c r="CD798" i="74"/>
  <c r="CD800" i="74" s="1"/>
  <c r="CB871" i="74"/>
  <c r="CB873" i="74" s="1"/>
  <c r="CB874" i="74" s="1"/>
  <c r="AF749" i="74"/>
  <c r="AF751" i="74" s="1"/>
  <c r="BL871" i="74"/>
  <c r="BL873" i="74" s="1"/>
  <c r="BL874" i="74" s="1"/>
  <c r="BT725" i="74"/>
  <c r="BT727" i="74" s="1"/>
  <c r="BT728" i="74" s="1"/>
  <c r="AQ725" i="74"/>
  <c r="AQ727" i="74" s="1"/>
  <c r="AQ728" i="74" s="1"/>
  <c r="CI822" i="74"/>
  <c r="CI824" i="74" s="1"/>
  <c r="BP798" i="74"/>
  <c r="BP800" i="74" s="1"/>
  <c r="BP801" i="74" s="1"/>
  <c r="BO848" i="74"/>
  <c r="BO850" i="74" s="1"/>
  <c r="BO874" i="74" s="1"/>
  <c r="X556" i="74"/>
  <c r="X558" i="74" s="1"/>
  <c r="X559" i="74" s="1"/>
  <c r="AQ848" i="74"/>
  <c r="AQ850" i="74" s="1"/>
  <c r="AR848" i="74"/>
  <c r="AR850" i="74" s="1"/>
  <c r="CL822" i="74"/>
  <c r="CL824" i="74" s="1"/>
  <c r="BH725" i="74"/>
  <c r="BH727" i="74" s="1"/>
  <c r="BH728" i="74" s="1"/>
  <c r="W775" i="74"/>
  <c r="W777" i="74" s="1"/>
  <c r="AM871" i="74"/>
  <c r="AM873" i="74" s="1"/>
  <c r="BO822" i="74"/>
  <c r="BO824" i="74" s="1"/>
  <c r="AM533" i="74"/>
  <c r="AM535" i="74" s="1"/>
  <c r="W725" i="74"/>
  <c r="W727" i="74" s="1"/>
  <c r="CJ798" i="74"/>
  <c r="CJ800" i="74" s="1"/>
  <c r="CJ801" i="74" s="1"/>
  <c r="CN798" i="74"/>
  <c r="CN800" i="74" s="1"/>
  <c r="BL725" i="74"/>
  <c r="BL727" i="74" s="1"/>
  <c r="AY822" i="74"/>
  <c r="AY824" i="74" s="1"/>
  <c r="AR749" i="74"/>
  <c r="AR751" i="74" s="1"/>
  <c r="AZ725" i="74"/>
  <c r="AZ727" i="74" s="1"/>
  <c r="AZ728" i="74" s="1"/>
  <c r="BD749" i="74"/>
  <c r="BD751" i="74" s="1"/>
  <c r="AF871" i="74"/>
  <c r="AF873" i="74" s="1"/>
  <c r="BB798" i="74"/>
  <c r="BB800" i="74" s="1"/>
  <c r="BB801" i="74" s="1"/>
  <c r="CG798" i="74"/>
  <c r="CG800" i="74" s="1"/>
  <c r="BB822" i="74"/>
  <c r="BB824" i="74" s="1"/>
  <c r="CH798" i="74"/>
  <c r="CH800" i="74" s="1"/>
  <c r="CH801" i="74" s="1"/>
  <c r="AI848" i="74"/>
  <c r="AI850" i="74" s="1"/>
  <c r="AI874" i="74" s="1"/>
  <c r="CK728" i="74"/>
  <c r="BX556" i="74"/>
  <c r="BX558" i="74" s="1"/>
  <c r="BX559" i="74" s="1"/>
  <c r="AL749" i="74"/>
  <c r="AL751" i="74" s="1"/>
  <c r="BM798" i="74"/>
  <c r="BM800" i="74" s="1"/>
  <c r="BD798" i="74"/>
  <c r="BD800" i="74" s="1"/>
  <c r="BD801" i="74" s="1"/>
  <c r="AV871" i="74"/>
  <c r="AV873" i="74" s="1"/>
  <c r="AV556" i="74"/>
  <c r="AV558" i="74" s="1"/>
  <c r="AV559" i="74" s="1"/>
  <c r="BZ556" i="74"/>
  <c r="BZ558" i="74" s="1"/>
  <c r="BZ559" i="74" s="1"/>
  <c r="BG725" i="74"/>
  <c r="BG727" i="74" s="1"/>
  <c r="BF749" i="74"/>
  <c r="BF751" i="74" s="1"/>
  <c r="AQ775" i="74"/>
  <c r="AQ777" i="74" s="1"/>
  <c r="AM848" i="74"/>
  <c r="AM850" i="74" s="1"/>
  <c r="BQ743" i="74"/>
  <c r="R738" i="74"/>
  <c r="BQ739" i="74"/>
  <c r="AA848" i="74"/>
  <c r="AA850" i="74" s="1"/>
  <c r="BM848" i="74"/>
  <c r="BM850" i="74" s="1"/>
  <c r="BZ801" i="74"/>
  <c r="AA749" i="74"/>
  <c r="BA798" i="74"/>
  <c r="BA800" i="74" s="1"/>
  <c r="BH749" i="74"/>
  <c r="BH751" i="74" s="1"/>
  <c r="BO798" i="74"/>
  <c r="BO800" i="74" s="1"/>
  <c r="BO801" i="74" s="1"/>
  <c r="BN749" i="74"/>
  <c r="BN751" i="74" s="1"/>
  <c r="AT749" i="74"/>
  <c r="AT751" i="74" s="1"/>
  <c r="BY725" i="74"/>
  <c r="BY727" i="74" s="1"/>
  <c r="BY728" i="74" s="1"/>
  <c r="U792" i="74"/>
  <c r="U788" i="74"/>
  <c r="CI580" i="74"/>
  <c r="CI582" i="74" s="1"/>
  <c r="CM725" i="74"/>
  <c r="CM727" i="74" s="1"/>
  <c r="CM728" i="74" s="1"/>
  <c r="BZ749" i="74"/>
  <c r="BZ751" i="74" s="1"/>
  <c r="BI749" i="74"/>
  <c r="BI751" i="74" s="1"/>
  <c r="AR871" i="74"/>
  <c r="AR873" i="74" s="1"/>
  <c r="CN725" i="74"/>
  <c r="CN727" i="74" s="1"/>
  <c r="BU749" i="74"/>
  <c r="BU751" i="74" s="1"/>
  <c r="BS573" i="74"/>
  <c r="AO815" i="74"/>
  <c r="AC822" i="74"/>
  <c r="AC824" i="74" s="1"/>
  <c r="AE650" i="74"/>
  <c r="AE639" i="74"/>
  <c r="AE644" i="74" s="1"/>
  <c r="AI650" i="74"/>
  <c r="AI639" i="74"/>
  <c r="AI644" i="74" s="1"/>
  <c r="Q661" i="74"/>
  <c r="BE674" i="74"/>
  <c r="Q674" i="74" s="1"/>
  <c r="BE663" i="74"/>
  <c r="AS720" i="74"/>
  <c r="BH816" i="74"/>
  <c r="BH812" i="74"/>
  <c r="BH817" i="74" s="1"/>
  <c r="BP665" i="74"/>
  <c r="BP670" i="74" s="1"/>
  <c r="BP675" i="74" s="1"/>
  <c r="AB749" i="74"/>
  <c r="AB751" i="74" s="1"/>
  <c r="CJ719" i="74"/>
  <c r="CJ715" i="74"/>
  <c r="CJ720" i="74" s="1"/>
  <c r="AS793" i="74"/>
  <c r="CK641" i="74"/>
  <c r="CK646" i="74" s="1"/>
  <c r="AD569" i="74"/>
  <c r="AD574" i="74" s="1"/>
  <c r="Y591" i="74"/>
  <c r="Y596" i="74" s="1"/>
  <c r="Y602" i="74"/>
  <c r="AH626" i="74"/>
  <c r="AH615" i="74"/>
  <c r="AH620" i="74" s="1"/>
  <c r="BB641" i="74"/>
  <c r="BB646" i="74" s="1"/>
  <c r="AG814" i="74"/>
  <c r="O809" i="74"/>
  <c r="CN848" i="74"/>
  <c r="CN850" i="74" s="1"/>
  <c r="CN874" i="74" s="1"/>
  <c r="AH798" i="74"/>
  <c r="AH800" i="74" s="1"/>
  <c r="AH801" i="74" s="1"/>
  <c r="AC626" i="74"/>
  <c r="AC615" i="74"/>
  <c r="AC620" i="74" s="1"/>
  <c r="AL674" i="74"/>
  <c r="AL663" i="74"/>
  <c r="AL668" i="74" s="1"/>
  <c r="W843" i="74"/>
  <c r="CC645" i="74"/>
  <c r="CC641" i="74"/>
  <c r="BQ817" i="74"/>
  <c r="BS665" i="74"/>
  <c r="BS670" i="74" s="1"/>
  <c r="AN798" i="74"/>
  <c r="AN800" i="74" s="1"/>
  <c r="AN801" i="74" s="1"/>
  <c r="AV848" i="74"/>
  <c r="AV850" i="74" s="1"/>
  <c r="CF556" i="74"/>
  <c r="CF558" i="74" s="1"/>
  <c r="CF559" i="74" s="1"/>
  <c r="V626" i="74"/>
  <c r="V615" i="74"/>
  <c r="V620" i="74" s="1"/>
  <c r="BM593" i="74"/>
  <c r="BM598" i="74" s="1"/>
  <c r="AD871" i="74"/>
  <c r="AD873" i="74" s="1"/>
  <c r="AK626" i="74"/>
  <c r="AK615" i="74"/>
  <c r="AK620" i="74" s="1"/>
  <c r="BQ798" i="74"/>
  <c r="BQ800" i="74" s="1"/>
  <c r="AA556" i="74"/>
  <c r="AA558" i="74" s="1"/>
  <c r="AA559" i="74" s="1"/>
  <c r="CE665" i="74"/>
  <c r="CE670" i="74" s="1"/>
  <c r="AJ663" i="74"/>
  <c r="AJ668" i="74" s="1"/>
  <c r="AJ674" i="74"/>
  <c r="AW822" i="74"/>
  <c r="AW824" i="74" s="1"/>
  <c r="Q602" i="74"/>
  <c r="BO665" i="74"/>
  <c r="BO670" i="74" s="1"/>
  <c r="O915" i="74"/>
  <c r="AG919" i="74"/>
  <c r="CD775" i="74"/>
  <c r="CD777" i="74" s="1"/>
  <c r="AI714" i="74"/>
  <c r="AI719" i="74" s="1"/>
  <c r="CH871" i="74"/>
  <c r="CH873" i="74" s="1"/>
  <c r="CH874" i="74" s="1"/>
  <c r="Z602" i="74"/>
  <c r="Z591" i="74"/>
  <c r="Z596" i="74" s="1"/>
  <c r="U661" i="74"/>
  <c r="N493" i="74"/>
  <c r="AI626" i="74"/>
  <c r="AI615" i="74"/>
  <c r="AI620" i="74" s="1"/>
  <c r="BV743" i="74"/>
  <c r="BV739" i="74"/>
  <c r="BV744" i="74" s="1"/>
  <c r="X842" i="74"/>
  <c r="X838" i="74"/>
  <c r="X843" i="74" s="1"/>
  <c r="AJ718" i="74"/>
  <c r="AJ714" i="74"/>
  <c r="AJ719" i="74" s="1"/>
  <c r="X591" i="74"/>
  <c r="X596" i="74" s="1"/>
  <c r="X602" i="74"/>
  <c r="AR650" i="74"/>
  <c r="AR639" i="74"/>
  <c r="AR644" i="74" s="1"/>
  <c r="O528" i="74"/>
  <c r="S602" i="74"/>
  <c r="Q572" i="74"/>
  <c r="BF641" i="74"/>
  <c r="BF646" i="74" s="1"/>
  <c r="W533" i="74"/>
  <c r="W535" i="74" s="1"/>
  <c r="BW556" i="74"/>
  <c r="BW558" i="74"/>
  <c r="BW559" i="74" s="1"/>
  <c r="W650" i="74"/>
  <c r="W639" i="74"/>
  <c r="W644" i="74" s="1"/>
  <c r="AQ569" i="74"/>
  <c r="AQ574" i="74" s="1"/>
  <c r="S661" i="74"/>
  <c r="CC674" i="74"/>
  <c r="S674" i="74" s="1"/>
  <c r="CC663" i="74"/>
  <c r="BL556" i="74"/>
  <c r="BL558" i="74" s="1"/>
  <c r="AH715" i="74"/>
  <c r="AH720" i="74" s="1"/>
  <c r="AH724" i="74" s="1"/>
  <c r="R814" i="74"/>
  <c r="BS798" i="74"/>
  <c r="BS800" i="74" s="1"/>
  <c r="BW801" i="74"/>
  <c r="O770" i="74"/>
  <c r="BC822" i="74"/>
  <c r="BC824" i="74" s="1"/>
  <c r="CI739" i="74"/>
  <c r="CI744" i="74" s="1"/>
  <c r="CF739" i="74"/>
  <c r="CF744" i="74" s="1"/>
  <c r="BJ556" i="74"/>
  <c r="BJ558" i="74" s="1"/>
  <c r="BJ559" i="74" s="1"/>
  <c r="AI812" i="74"/>
  <c r="AI817" i="74" s="1"/>
  <c r="AI821" i="74" s="1"/>
  <c r="AL702" i="74"/>
  <c r="AL704" i="74" s="1"/>
  <c r="Z639" i="74"/>
  <c r="Z644" i="74" s="1"/>
  <c r="Z650" i="74"/>
  <c r="U573" i="74"/>
  <c r="AK788" i="74"/>
  <c r="AK793" i="74" s="1"/>
  <c r="AK797" i="74" s="1"/>
  <c r="Y719" i="74"/>
  <c r="Y715" i="74"/>
  <c r="Y720" i="74" s="1"/>
  <c r="N837" i="74"/>
  <c r="BA739" i="74"/>
  <c r="BA744" i="74" s="1"/>
  <c r="BA748" i="74" s="1"/>
  <c r="CC569" i="74"/>
  <c r="R696" i="74"/>
  <c r="BQ701" i="74"/>
  <c r="BY792" i="74"/>
  <c r="BY788" i="74"/>
  <c r="BY793" i="74" s="1"/>
  <c r="AO787" i="74"/>
  <c r="BO743" i="74"/>
  <c r="BO739" i="74"/>
  <c r="BO744" i="74" s="1"/>
  <c r="BM570" i="74"/>
  <c r="BM575" i="74" s="1"/>
  <c r="BM579" i="74" s="1"/>
  <c r="Q810" i="74"/>
  <c r="BE815" i="74"/>
  <c r="Q815" i="74" s="1"/>
  <c r="AR626" i="74"/>
  <c r="AR615" i="74"/>
  <c r="AR620" i="74" s="1"/>
  <c r="BH792" i="74"/>
  <c r="BH788" i="74"/>
  <c r="BH793" i="74" s="1"/>
  <c r="N717" i="74"/>
  <c r="AS645" i="74"/>
  <c r="AS641" i="74"/>
  <c r="AS642" i="74" s="1"/>
  <c r="U816" i="74"/>
  <c r="CC626" i="74"/>
  <c r="S626" i="74" s="1"/>
  <c r="S613" i="74"/>
  <c r="CC615" i="74"/>
  <c r="CC616" i="74" s="1"/>
  <c r="BY570" i="74"/>
  <c r="BY575" i="74" s="1"/>
  <c r="BY579" i="74" s="1"/>
  <c r="AQ674" i="74"/>
  <c r="AQ663" i="74"/>
  <c r="AQ668" i="74" s="1"/>
  <c r="O637" i="74"/>
  <c r="AG639" i="74"/>
  <c r="AG650" i="74"/>
  <c r="N523" i="74"/>
  <c r="U528" i="74"/>
  <c r="Y775" i="74"/>
  <c r="Y777" i="74" s="1"/>
  <c r="AL861" i="74"/>
  <c r="AL866" i="74" s="1"/>
  <c r="AL870" i="74" s="1"/>
  <c r="AR715" i="74"/>
  <c r="AR720" i="74" s="1"/>
  <c r="AR724" i="74" s="1"/>
  <c r="S775" i="74"/>
  <c r="AF533" i="74"/>
  <c r="AF535" i="74" s="1"/>
  <c r="AF559" i="74" s="1"/>
  <c r="AP533" i="74"/>
  <c r="AP535" i="74" s="1"/>
  <c r="V871" i="74"/>
  <c r="V873" i="74" s="1"/>
  <c r="AS866" i="74"/>
  <c r="P866" i="74" s="1"/>
  <c r="P861" i="74"/>
  <c r="AC742" i="74"/>
  <c r="AC738" i="74"/>
  <c r="AC743" i="74" s="1"/>
  <c r="BQ865" i="74"/>
  <c r="R860" i="74"/>
  <c r="AF650" i="74"/>
  <c r="AF639" i="74"/>
  <c r="AF644" i="74" s="1"/>
  <c r="BP739" i="74"/>
  <c r="BP744" i="74" s="1"/>
  <c r="AJ626" i="74"/>
  <c r="AJ615" i="74"/>
  <c r="AJ620" i="74" s="1"/>
  <c r="AV570" i="74"/>
  <c r="AV575" i="74" s="1"/>
  <c r="AV579" i="74" s="1"/>
  <c r="AC848" i="74"/>
  <c r="AC850" i="74" s="1"/>
  <c r="CH812" i="74"/>
  <c r="CH817" i="74" s="1"/>
  <c r="BI593" i="74"/>
  <c r="BI598" i="74" s="1"/>
  <c r="BI603" i="74" s="1"/>
  <c r="R602" i="74"/>
  <c r="Q838" i="74"/>
  <c r="BU593" i="74"/>
  <c r="BU598" i="74" s="1"/>
  <c r="U613" i="74"/>
  <c r="N491" i="74"/>
  <c r="AI569" i="74"/>
  <c r="AI574" i="74" s="1"/>
  <c r="AO591" i="74"/>
  <c r="AO596" i="74" s="1"/>
  <c r="AO602" i="74"/>
  <c r="BQ674" i="74"/>
  <c r="R674" i="74" s="1"/>
  <c r="BQ663" i="74"/>
  <c r="R661" i="74"/>
  <c r="BR715" i="74"/>
  <c r="BR720" i="74" s="1"/>
  <c r="BR724" i="74" s="1"/>
  <c r="CE792" i="74"/>
  <c r="CE788" i="74"/>
  <c r="CE793" i="74" s="1"/>
  <c r="BV725" i="74"/>
  <c r="BV727" i="74" s="1"/>
  <c r="BV728" i="74" s="1"/>
  <c r="AM626" i="74"/>
  <c r="AM615" i="74"/>
  <c r="AM620" i="74" s="1"/>
  <c r="AY792" i="74"/>
  <c r="AY788" i="74"/>
  <c r="AY793" i="74" s="1"/>
  <c r="R896" i="74"/>
  <c r="Q568" i="74"/>
  <c r="BA593" i="74"/>
  <c r="BA598" i="74" s="1"/>
  <c r="AR533" i="74"/>
  <c r="AR535" i="74" s="1"/>
  <c r="AR559" i="74" s="1"/>
  <c r="AC674" i="74"/>
  <c r="AC663" i="74"/>
  <c r="AC668" i="74" s="1"/>
  <c r="AQ626" i="74"/>
  <c r="AQ615" i="74"/>
  <c r="AQ620" i="74" s="1"/>
  <c r="AG591" i="74"/>
  <c r="AG602" i="74"/>
  <c r="O589" i="74"/>
  <c r="AV724" i="74"/>
  <c r="U848" i="74"/>
  <c r="U850" i="74" s="1"/>
  <c r="BJ812" i="74"/>
  <c r="BJ817" i="74" s="1"/>
  <c r="N863" i="74"/>
  <c r="P770" i="74"/>
  <c r="AS774" i="74"/>
  <c r="BF812" i="74"/>
  <c r="BF817" i="74" s="1"/>
  <c r="BQ922" i="74"/>
  <c r="R922" i="74" s="1"/>
  <c r="R950" i="74" s="1"/>
  <c r="H43" i="74" s="1"/>
  <c r="G29" i="75" s="1"/>
  <c r="V569" i="74"/>
  <c r="AF591" i="74"/>
  <c r="AF596" i="74" s="1"/>
  <c r="AF602" i="74"/>
  <c r="BL665" i="74"/>
  <c r="BL670" i="74" s="1"/>
  <c r="AP639" i="74"/>
  <c r="AP644" i="74" s="1"/>
  <c r="AP650" i="74"/>
  <c r="AH546" i="74"/>
  <c r="AH551" i="74" s="1"/>
  <c r="AH555" i="74" s="1"/>
  <c r="BJ788" i="74"/>
  <c r="BJ793" i="74" s="1"/>
  <c r="BJ797" i="74" s="1"/>
  <c r="CM801" i="74"/>
  <c r="BB874" i="74"/>
  <c r="CB592" i="74"/>
  <c r="CB597" i="74" s="1"/>
  <c r="CC725" i="74"/>
  <c r="BZ580" i="74"/>
  <c r="BZ582" i="74" s="1"/>
  <c r="AN626" i="74"/>
  <c r="AN615" i="74"/>
  <c r="AN620" i="74" s="1"/>
  <c r="U741" i="74"/>
  <c r="N736" i="74"/>
  <c r="AS626" i="74"/>
  <c r="P626" i="74" s="1"/>
  <c r="P613" i="74"/>
  <c r="AS615" i="74"/>
  <c r="AS616" i="74" s="1"/>
  <c r="AS617" i="74" s="1"/>
  <c r="BH848" i="74"/>
  <c r="AM718" i="74"/>
  <c r="CF871" i="74"/>
  <c r="CF873" i="74" s="1"/>
  <c r="CF874" i="74" s="1"/>
  <c r="AU792" i="74"/>
  <c r="AU788" i="74"/>
  <c r="AU793" i="74" s="1"/>
  <c r="Q787" i="74"/>
  <c r="BE792" i="74"/>
  <c r="BE788" i="74"/>
  <c r="BP666" i="74"/>
  <c r="BP671" i="74" s="1"/>
  <c r="AW792" i="74"/>
  <c r="AW788" i="74"/>
  <c r="AW793" i="74" s="1"/>
  <c r="CJ573" i="74"/>
  <c r="CJ570" i="74"/>
  <c r="CJ575" i="74" s="1"/>
  <c r="AD570" i="74"/>
  <c r="AD575" i="74" s="1"/>
  <c r="X663" i="74"/>
  <c r="X668" i="74" s="1"/>
  <c r="X674" i="74"/>
  <c r="AH602" i="74"/>
  <c r="AH591" i="74"/>
  <c r="AH596" i="74" s="1"/>
  <c r="U775" i="74"/>
  <c r="U777" i="74"/>
  <c r="O717" i="74"/>
  <c r="R572" i="74"/>
  <c r="AG810" i="74"/>
  <c r="AG811" i="74" s="1"/>
  <c r="AG812" i="74" s="1"/>
  <c r="U720" i="74"/>
  <c r="Q569" i="74"/>
  <c r="BE574" i="74"/>
  <c r="S898" i="74"/>
  <c r="S949" i="74" s="1"/>
  <c r="AN815" i="74"/>
  <c r="AN812" i="74"/>
  <c r="AN817" i="74" s="1"/>
  <c r="AU580" i="74"/>
  <c r="AU582" i="74" s="1"/>
  <c r="W568" i="74"/>
  <c r="W573" i="74" s="1"/>
  <c r="AC591" i="74"/>
  <c r="AC596" i="74" s="1"/>
  <c r="AC602" i="74"/>
  <c r="AL639" i="74"/>
  <c r="AL644" i="74" s="1"/>
  <c r="AL650" i="74"/>
  <c r="AG573" i="74"/>
  <c r="CA555" i="74"/>
  <c r="CC642" i="74"/>
  <c r="AS817" i="74"/>
  <c r="P812" i="74"/>
  <c r="CB821" i="74"/>
  <c r="AG848" i="74"/>
  <c r="AG850" i="74" s="1"/>
  <c r="BS748" i="74"/>
  <c r="AI742" i="74"/>
  <c r="AI738" i="74"/>
  <c r="AI743" i="74" s="1"/>
  <c r="AG775" i="74"/>
  <c r="AG777" i="74" s="1"/>
  <c r="BS666" i="74"/>
  <c r="BS671" i="74" s="1"/>
  <c r="BS675" i="74" s="1"/>
  <c r="V602" i="74"/>
  <c r="V591" i="74"/>
  <c r="V596" i="74" s="1"/>
  <c r="BM594" i="74"/>
  <c r="BM599" i="74" s="1"/>
  <c r="AK591" i="74"/>
  <c r="AK596" i="74" s="1"/>
  <c r="AK602" i="74"/>
  <c r="BV573" i="74"/>
  <c r="BV570" i="74"/>
  <c r="BV575" i="74" s="1"/>
  <c r="AG792" i="74"/>
  <c r="AS573" i="74"/>
  <c r="P568" i="74"/>
  <c r="CE666" i="74"/>
  <c r="CE671" i="74" s="1"/>
  <c r="V674" i="74"/>
  <c r="V663" i="74"/>
  <c r="V668" i="74" s="1"/>
  <c r="AJ650" i="74"/>
  <c r="AJ639" i="74"/>
  <c r="AJ644" i="74" s="1"/>
  <c r="AG788" i="74"/>
  <c r="AO555" i="74"/>
  <c r="CF616" i="74"/>
  <c r="CF621" i="74" s="1"/>
  <c r="CB616" i="74"/>
  <c r="CB621" i="74" s="1"/>
  <c r="BO666" i="74"/>
  <c r="BO671" i="74" s="1"/>
  <c r="AY618" i="74"/>
  <c r="AY623" i="74" s="1"/>
  <c r="CC817" i="74"/>
  <c r="BP592" i="74"/>
  <c r="BP597" i="74" s="1"/>
  <c r="CJ664" i="74"/>
  <c r="CJ669" i="74" s="1"/>
  <c r="S696" i="74"/>
  <c r="AE626" i="74"/>
  <c r="AE615" i="74"/>
  <c r="AE620" i="74" s="1"/>
  <c r="U639" i="74"/>
  <c r="U640" i="74" s="1"/>
  <c r="N637" i="74"/>
  <c r="U650" i="74"/>
  <c r="AI602" i="74"/>
  <c r="AI591" i="74"/>
  <c r="AI596" i="74" s="1"/>
  <c r="AU843" i="74"/>
  <c r="P838" i="74"/>
  <c r="AM714" i="74"/>
  <c r="AM719" i="74" s="1"/>
  <c r="CM743" i="74"/>
  <c r="CM739" i="74"/>
  <c r="CM744" i="74" s="1"/>
  <c r="CB739" i="74"/>
  <c r="CB744" i="74" s="1"/>
  <c r="CB748" i="74" s="1"/>
  <c r="AD674" i="74"/>
  <c r="AD663" i="74"/>
  <c r="AD668" i="74" s="1"/>
  <c r="BE770" i="74"/>
  <c r="Q770" i="74" s="1"/>
  <c r="Q765" i="74"/>
  <c r="Q546" i="74"/>
  <c r="BE551" i="74"/>
  <c r="Q551" i="74" s="1"/>
  <c r="AG719" i="74"/>
  <c r="AG715" i="74"/>
  <c r="S741" i="74"/>
  <c r="O523" i="74"/>
  <c r="AO861" i="74"/>
  <c r="AO866" i="74" s="1"/>
  <c r="AO870" i="74" s="1"/>
  <c r="CC596" i="74"/>
  <c r="S591" i="74"/>
  <c r="AN715" i="74"/>
  <c r="AN720" i="74" s="1"/>
  <c r="AN724" i="74" s="1"/>
  <c r="BF642" i="74"/>
  <c r="BF647" i="74" s="1"/>
  <c r="AB626" i="74"/>
  <c r="AB615" i="74"/>
  <c r="AB620" i="74" s="1"/>
  <c r="AQ570" i="74"/>
  <c r="AQ575" i="74" s="1"/>
  <c r="AS816" i="74"/>
  <c r="P816" i="74" s="1"/>
  <c r="P811" i="74"/>
  <c r="AH743" i="74"/>
  <c r="AH739" i="74"/>
  <c r="AH744" i="74" s="1"/>
  <c r="CD871" i="74"/>
  <c r="CD873" i="74" s="1"/>
  <c r="CD874" i="74" s="1"/>
  <c r="R815" i="74"/>
  <c r="U864" i="74"/>
  <c r="N864" i="74" s="1"/>
  <c r="N859" i="74"/>
  <c r="S861" i="74"/>
  <c r="CC866" i="74"/>
  <c r="S866" i="74" s="1"/>
  <c r="CI748" i="74"/>
  <c r="CF748" i="74"/>
  <c r="AW640" i="74"/>
  <c r="AW645" i="74" s="1"/>
  <c r="CB797" i="74"/>
  <c r="BJ871" i="74"/>
  <c r="BJ873" i="74" s="1"/>
  <c r="BJ874" i="74" s="1"/>
  <c r="CC816" i="74"/>
  <c r="S811" i="74"/>
  <c r="BL533" i="74"/>
  <c r="BL535" i="74" s="1"/>
  <c r="O860" i="74"/>
  <c r="AJ739" i="74"/>
  <c r="AJ744" i="74" s="1"/>
  <c r="AJ748" i="74" s="1"/>
  <c r="BT664" i="74"/>
  <c r="BT669" i="74" s="1"/>
  <c r="BD847" i="74"/>
  <c r="S787" i="74"/>
  <c r="BQ645" i="74"/>
  <c r="BQ644" i="74"/>
  <c r="R639" i="74"/>
  <c r="AL788" i="74"/>
  <c r="AL793" i="74" s="1"/>
  <c r="AL797" i="74" s="1"/>
  <c r="N692" i="74"/>
  <c r="U697" i="74"/>
  <c r="AJ842" i="74"/>
  <c r="AJ838" i="74"/>
  <c r="AJ843" i="74" s="1"/>
  <c r="R546" i="74"/>
  <c r="BQ551" i="74"/>
  <c r="AN550" i="74"/>
  <c r="AN546" i="74"/>
  <c r="AN551" i="74" s="1"/>
  <c r="CL555" i="74"/>
  <c r="BY640" i="74"/>
  <c r="BY645" i="74" s="1"/>
  <c r="AI788" i="74"/>
  <c r="AI793" i="74" s="1"/>
  <c r="AI797" i="74" s="1"/>
  <c r="BX792" i="74"/>
  <c r="BX788" i="74"/>
  <c r="BX793" i="74" s="1"/>
  <c r="AS797" i="74"/>
  <c r="CH724" i="74"/>
  <c r="AD626" i="74"/>
  <c r="AD615" i="74"/>
  <c r="AD620" i="74" s="1"/>
  <c r="AH568" i="74"/>
  <c r="AH573" i="74" s="1"/>
  <c r="AR591" i="74"/>
  <c r="AR596" i="74" s="1"/>
  <c r="AR602" i="74"/>
  <c r="P737" i="74"/>
  <c r="AS742" i="74"/>
  <c r="P742" i="74" s="1"/>
  <c r="AS738" i="74"/>
  <c r="AX792" i="74"/>
  <c r="AX788" i="74"/>
  <c r="AX793" i="74" s="1"/>
  <c r="O713" i="74"/>
  <c r="BC664" i="74"/>
  <c r="BC669" i="74" s="1"/>
  <c r="S532" i="74"/>
  <c r="CC533" i="74"/>
  <c r="BE570" i="74"/>
  <c r="AZ664" i="74"/>
  <c r="AZ669" i="74" s="1"/>
  <c r="BE742" i="74"/>
  <c r="Q742" i="74" s="1"/>
  <c r="Q737" i="74"/>
  <c r="BE738" i="74"/>
  <c r="BE739" i="74" s="1"/>
  <c r="W626" i="74"/>
  <c r="W615" i="74"/>
  <c r="W620" i="74" s="1"/>
  <c r="AQ650" i="74"/>
  <c r="AQ639" i="74"/>
  <c r="AQ644" i="74" s="1"/>
  <c r="X718" i="74"/>
  <c r="X714" i="74"/>
  <c r="Y788" i="74"/>
  <c r="Y793" i="74" s="1"/>
  <c r="Y797" i="74" s="1"/>
  <c r="BH592" i="74"/>
  <c r="BH597" i="74" s="1"/>
  <c r="AE738" i="74"/>
  <c r="AE743" i="74" s="1"/>
  <c r="BM724" i="74"/>
  <c r="BI871" i="74"/>
  <c r="BI873" i="74" s="1"/>
  <c r="BW618" i="74"/>
  <c r="BW623" i="74" s="1"/>
  <c r="AJ546" i="74"/>
  <c r="AJ551" i="74" s="1"/>
  <c r="AJ555" i="74" s="1"/>
  <c r="V788" i="74"/>
  <c r="V793" i="74" s="1"/>
  <c r="V797" i="74" s="1"/>
  <c r="AI739" i="74"/>
  <c r="AI744" i="74" s="1"/>
  <c r="AS865" i="74"/>
  <c r="P860" i="74"/>
  <c r="BD821" i="74"/>
  <c r="BQ861" i="74"/>
  <c r="R718" i="74"/>
  <c r="BP748" i="74"/>
  <c r="AJ591" i="74"/>
  <c r="AJ596" i="74" s="1"/>
  <c r="AJ602" i="74"/>
  <c r="N765" i="74"/>
  <c r="AD812" i="74"/>
  <c r="AD817" i="74" s="1"/>
  <c r="AD821" i="74" s="1"/>
  <c r="CH821" i="74"/>
  <c r="BI594" i="74"/>
  <c r="BI599" i="74" s="1"/>
  <c r="U591" i="74"/>
  <c r="N589" i="74"/>
  <c r="U602" i="74"/>
  <c r="AN663" i="74"/>
  <c r="AN668" i="74" s="1"/>
  <c r="AN674" i="74"/>
  <c r="CG616" i="74"/>
  <c r="CG621" i="74" s="1"/>
  <c r="P602" i="74"/>
  <c r="BE645" i="74"/>
  <c r="Q639" i="74"/>
  <c r="BE644" i="74"/>
  <c r="N898" i="74"/>
  <c r="N949" i="74" s="1"/>
  <c r="W870" i="74"/>
  <c r="Q814" i="74"/>
  <c r="AM602" i="74"/>
  <c r="AM591" i="74"/>
  <c r="AM596" i="74" s="1"/>
  <c r="CG640" i="74"/>
  <c r="CG645" i="74" s="1"/>
  <c r="S896" i="74"/>
  <c r="BS618" i="74"/>
  <c r="BS623" i="74" s="1"/>
  <c r="S842" i="74"/>
  <c r="CJ847" i="74"/>
  <c r="AC639" i="74"/>
  <c r="AC644" i="74" s="1"/>
  <c r="AC650" i="74"/>
  <c r="AQ602" i="74"/>
  <c r="AQ591" i="74"/>
  <c r="AQ596" i="74" s="1"/>
  <c r="CL640" i="74"/>
  <c r="CL645" i="74" s="1"/>
  <c r="N527" i="74"/>
  <c r="AU739" i="74"/>
  <c r="AU744" i="74" s="1"/>
  <c r="AU748" i="74" s="1"/>
  <c r="BJ821" i="74"/>
  <c r="W546" i="74"/>
  <c r="W551" i="74" s="1"/>
  <c r="CL748" i="74"/>
  <c r="BI825" i="74"/>
  <c r="R714" i="74"/>
  <c r="AA674" i="74"/>
  <c r="AA663" i="74"/>
  <c r="AA668" i="74" s="1"/>
  <c r="BF801" i="74"/>
  <c r="P704" i="74"/>
  <c r="P936" i="74" s="1"/>
  <c r="F32" i="74" s="1"/>
  <c r="E18" i="75" s="1"/>
  <c r="CN559" i="74"/>
  <c r="BN874" i="74"/>
  <c r="BO640" i="74"/>
  <c r="BO645" i="74" s="1"/>
  <c r="AY592" i="74"/>
  <c r="AY597" i="74" s="1"/>
  <c r="BY592" i="74"/>
  <c r="BY597" i="74" s="1"/>
  <c r="BU616" i="74"/>
  <c r="BU621" i="74" s="1"/>
  <c r="Z568" i="74"/>
  <c r="Z573" i="74" s="1"/>
  <c r="AN591" i="74"/>
  <c r="AN596" i="74" s="1"/>
  <c r="AN602" i="74"/>
  <c r="CC556" i="74"/>
  <c r="CC558" i="74" s="1"/>
  <c r="AG741" i="74"/>
  <c r="O736" i="74"/>
  <c r="AG737" i="74"/>
  <c r="CF640" i="74"/>
  <c r="CF645" i="74" s="1"/>
  <c r="U737" i="74"/>
  <c r="AX640" i="74"/>
  <c r="AX645" i="74" s="1"/>
  <c r="CH592" i="74"/>
  <c r="CH597" i="74" s="1"/>
  <c r="BP556" i="74"/>
  <c r="BP558" i="74" s="1"/>
  <c r="BP559" i="74" s="1"/>
  <c r="AY664" i="74"/>
  <c r="AY669" i="74" s="1"/>
  <c r="BE866" i="74"/>
  <c r="Q861" i="74"/>
  <c r="CI617" i="74"/>
  <c r="BR743" i="74"/>
  <c r="BR739" i="74"/>
  <c r="BR744" i="74" s="1"/>
  <c r="BU640" i="74"/>
  <c r="BU645" i="74" s="1"/>
  <c r="X650" i="74"/>
  <c r="X639" i="74"/>
  <c r="X644" i="74" s="1"/>
  <c r="AJ815" i="74"/>
  <c r="AJ812" i="74"/>
  <c r="AJ817" i="74" s="1"/>
  <c r="AG696" i="74"/>
  <c r="O696" i="74" s="1"/>
  <c r="O691" i="74"/>
  <c r="AG692" i="74"/>
  <c r="AZ871" i="74"/>
  <c r="AZ873" i="74" s="1"/>
  <c r="AE791" i="74"/>
  <c r="AE788" i="74"/>
  <c r="AE793" i="74" s="1"/>
  <c r="AQ533" i="74"/>
  <c r="AQ535" i="74" s="1"/>
  <c r="BR617" i="74"/>
  <c r="BR622" i="74" s="1"/>
  <c r="BD664" i="74"/>
  <c r="BD669" i="74" s="1"/>
  <c r="AS724" i="74"/>
  <c r="CN616" i="74"/>
  <c r="CN621" i="74" s="1"/>
  <c r="BE702" i="74"/>
  <c r="Q702" i="74" s="1"/>
  <c r="Q701" i="74"/>
  <c r="BA616" i="74"/>
  <c r="BA621" i="74" s="1"/>
  <c r="BQ720" i="74"/>
  <c r="AB663" i="74"/>
  <c r="AB668" i="74" s="1"/>
  <c r="AB674" i="74"/>
  <c r="BG664" i="74"/>
  <c r="BG669" i="74" s="1"/>
  <c r="AG572" i="74"/>
  <c r="O567" i="74"/>
  <c r="BE720" i="74"/>
  <c r="CL664" i="74"/>
  <c r="CL669" i="74" s="1"/>
  <c r="BN640" i="74"/>
  <c r="BN645" i="74" s="1"/>
  <c r="Z791" i="74"/>
  <c r="Z788" i="74"/>
  <c r="Z793" i="74" s="1"/>
  <c r="S650" i="74"/>
  <c r="AP920" i="74"/>
  <c r="AP922" i="74" s="1"/>
  <c r="Z815" i="74"/>
  <c r="Z811" i="74"/>
  <c r="Z816" i="74" s="1"/>
  <c r="CK533" i="74"/>
  <c r="CK535" i="74" s="1"/>
  <c r="CK559" i="74" s="1"/>
  <c r="CM666" i="74"/>
  <c r="CM671" i="74" s="1"/>
  <c r="AY748" i="74"/>
  <c r="BA640" i="74"/>
  <c r="BA645" i="74" s="1"/>
  <c r="P532" i="74"/>
  <c r="AS533" i="74"/>
  <c r="P533" i="74" s="1"/>
  <c r="AA626" i="74"/>
  <c r="AA615" i="74"/>
  <c r="AA620" i="74" s="1"/>
  <c r="BG573" i="74"/>
  <c r="BG570" i="74"/>
  <c r="BG575" i="74" s="1"/>
  <c r="AZ847" i="74"/>
  <c r="AJ570" i="74"/>
  <c r="AJ575" i="74" s="1"/>
  <c r="S719" i="74"/>
  <c r="V639" i="74"/>
  <c r="V644" i="74" s="1"/>
  <c r="V650" i="74"/>
  <c r="AK674" i="74"/>
  <c r="AK663" i="74"/>
  <c r="AK668" i="74" s="1"/>
  <c r="BN570" i="74"/>
  <c r="BN575" i="74" s="1"/>
  <c r="BN579" i="74" s="1"/>
  <c r="R838" i="74"/>
  <c r="AG532" i="74"/>
  <c r="P572" i="74"/>
  <c r="BE597" i="74"/>
  <c r="BE596" i="74"/>
  <c r="Q591" i="74"/>
  <c r="AC715" i="74"/>
  <c r="AC720" i="74" s="1"/>
  <c r="AC724" i="74" s="1"/>
  <c r="AE602" i="74"/>
  <c r="AE591" i="74"/>
  <c r="AE596" i="74" s="1"/>
  <c r="CF664" i="74"/>
  <c r="CF669" i="74" s="1"/>
  <c r="CG556" i="74"/>
  <c r="CG558" i="74" s="1"/>
  <c r="CG559" i="74" s="1"/>
  <c r="CB664" i="74"/>
  <c r="CB669" i="74" s="1"/>
  <c r="AB842" i="74"/>
  <c r="AB838" i="74"/>
  <c r="AB843" i="74" s="1"/>
  <c r="CD640" i="74"/>
  <c r="CD645" i="74" s="1"/>
  <c r="AD639" i="74"/>
  <c r="AD644" i="74" s="1"/>
  <c r="AD650" i="74"/>
  <c r="AM568" i="74"/>
  <c r="AM573" i="74" s="1"/>
  <c r="Q769" i="74"/>
  <c r="BE774" i="74"/>
  <c r="BB664" i="74"/>
  <c r="BB669" i="74" s="1"/>
  <c r="BQ575" i="74"/>
  <c r="BQ579" i="74" s="1"/>
  <c r="BN592" i="74"/>
  <c r="BN597" i="74" s="1"/>
  <c r="BC640" i="74"/>
  <c r="BC645" i="74" s="1"/>
  <c r="CC592" i="74"/>
  <c r="CC593" i="74" s="1"/>
  <c r="CG724" i="74"/>
  <c r="CI640" i="74"/>
  <c r="CI645" i="74" s="1"/>
  <c r="AP743" i="74"/>
  <c r="AP739" i="74"/>
  <c r="AP744" i="74" s="1"/>
  <c r="BZ640" i="74"/>
  <c r="BZ645" i="74" s="1"/>
  <c r="AB591" i="74"/>
  <c r="AB596" i="74" s="1"/>
  <c r="AB602" i="74"/>
  <c r="AV664" i="74"/>
  <c r="AV669" i="74" s="1"/>
  <c r="AT555" i="74"/>
  <c r="BW592" i="74"/>
  <c r="BW597" i="74" s="1"/>
  <c r="AU556" i="74"/>
  <c r="AU558" i="74" s="1"/>
  <c r="AU559" i="74" s="1"/>
  <c r="AA870" i="74"/>
  <c r="BK617" i="74"/>
  <c r="BK622" i="74" s="1"/>
  <c r="CC865" i="74"/>
  <c r="S860" i="74"/>
  <c r="AF568" i="74"/>
  <c r="AF573" i="74" s="1"/>
  <c r="AP568" i="74"/>
  <c r="AP573" i="74" s="1"/>
  <c r="CI788" i="74"/>
  <c r="CI793" i="74" s="1"/>
  <c r="CA664" i="74"/>
  <c r="CA669" i="74" s="1"/>
  <c r="BP848" i="74"/>
  <c r="BP850" i="74" s="1"/>
  <c r="AT640" i="74"/>
  <c r="AT645" i="74" s="1"/>
  <c r="CC815" i="74"/>
  <c r="S815" i="74" s="1"/>
  <c r="S810" i="74"/>
  <c r="BX640" i="74"/>
  <c r="BX645" i="74" s="1"/>
  <c r="BA570" i="74"/>
  <c r="BA575" i="74" s="1"/>
  <c r="BA579" i="74" s="1"/>
  <c r="AG551" i="74"/>
  <c r="CK592" i="74"/>
  <c r="CK597" i="74" s="1"/>
  <c r="N567" i="74"/>
  <c r="U572" i="74"/>
  <c r="N578" i="74"/>
  <c r="AO674" i="74"/>
  <c r="AO663" i="74"/>
  <c r="AO668" i="74" s="1"/>
  <c r="U550" i="74"/>
  <c r="N545" i="74"/>
  <c r="BQ641" i="74"/>
  <c r="BQ642" i="74" s="1"/>
  <c r="AS896" i="74"/>
  <c r="P896" i="74" s="1"/>
  <c r="P895" i="74"/>
  <c r="BC592" i="74"/>
  <c r="BC597" i="74" s="1"/>
  <c r="AE812" i="74"/>
  <c r="AE817" i="74" s="1"/>
  <c r="AE821" i="74" s="1"/>
  <c r="V533" i="74"/>
  <c r="V535" i="74" s="1"/>
  <c r="AM811" i="74"/>
  <c r="AE533" i="74"/>
  <c r="AE535" i="74" s="1"/>
  <c r="AF787" i="74"/>
  <c r="CD664" i="74"/>
  <c r="CD669" i="74" s="1"/>
  <c r="AU664" i="74"/>
  <c r="AU669" i="74" s="1"/>
  <c r="BI715" i="74"/>
  <c r="BI720" i="74" s="1"/>
  <c r="BI724" i="74" s="1"/>
  <c r="AD602" i="74"/>
  <c r="AD591" i="74"/>
  <c r="AD596" i="74" s="1"/>
  <c r="AP811" i="74"/>
  <c r="AM663" i="74"/>
  <c r="AM668" i="74" s="1"/>
  <c r="AM674" i="74"/>
  <c r="AV592" i="74"/>
  <c r="AV597" i="74" s="1"/>
  <c r="CF570" i="74"/>
  <c r="CF575" i="74" s="1"/>
  <c r="CF579" i="74" s="1"/>
  <c r="BV816" i="74"/>
  <c r="BV812" i="74"/>
  <c r="BV817" i="74" s="1"/>
  <c r="BV640" i="74"/>
  <c r="BV645" i="74" s="1"/>
  <c r="P650" i="74"/>
  <c r="O837" i="74"/>
  <c r="AM788" i="74"/>
  <c r="AM793" i="74" s="1"/>
  <c r="AM797" i="74" s="1"/>
  <c r="AA812" i="74"/>
  <c r="AA817" i="74" s="1"/>
  <c r="AA821" i="74" s="1"/>
  <c r="CI664" i="74"/>
  <c r="CI669" i="74" s="1"/>
  <c r="BZ664" i="74"/>
  <c r="BZ669" i="74" s="1"/>
  <c r="W602" i="74"/>
  <c r="W591" i="74"/>
  <c r="W596" i="74" s="1"/>
  <c r="AC570" i="74"/>
  <c r="AC575" i="74" s="1"/>
  <c r="BL616" i="74"/>
  <c r="BL621" i="74" s="1"/>
  <c r="AW592" i="74"/>
  <c r="AW597" i="74" s="1"/>
  <c r="S551" i="74"/>
  <c r="CA592" i="74"/>
  <c r="CA597" i="74" s="1"/>
  <c r="BC871" i="74"/>
  <c r="BC873" i="74" s="1"/>
  <c r="BC874" i="74" s="1"/>
  <c r="AS821" i="74"/>
  <c r="P814" i="74"/>
  <c r="CH640" i="74"/>
  <c r="CH645" i="74" s="1"/>
  <c r="S774" i="74"/>
  <c r="CD748" i="74"/>
  <c r="BV775" i="74"/>
  <c r="BV777" i="74" s="1"/>
  <c r="BV801" i="74" s="1"/>
  <c r="AJ870" i="74"/>
  <c r="BF592" i="74"/>
  <c r="BF597" i="74" s="1"/>
  <c r="BR821" i="74"/>
  <c r="AP715" i="74"/>
  <c r="AP720" i="74" s="1"/>
  <c r="AP724" i="74" s="1"/>
  <c r="CA821" i="74"/>
  <c r="AA568" i="74"/>
  <c r="AA573" i="74" s="1"/>
  <c r="AP626" i="74"/>
  <c r="AP615" i="74"/>
  <c r="AP620" i="74" s="1"/>
  <c r="AD738" i="74"/>
  <c r="BI847" i="74"/>
  <c r="Q847" i="74" s="1"/>
  <c r="N770" i="74"/>
  <c r="CF592" i="74"/>
  <c r="CF597" i="74" s="1"/>
  <c r="CA642" i="74"/>
  <c r="CA647" i="74" s="1"/>
  <c r="O786" i="74"/>
  <c r="BQ597" i="74"/>
  <c r="BQ596" i="74"/>
  <c r="R591" i="74"/>
  <c r="BI616" i="74"/>
  <c r="BI621" i="74" s="1"/>
  <c r="AS555" i="74"/>
  <c r="S814" i="74"/>
  <c r="AG550" i="74"/>
  <c r="AG555" i="74" s="1"/>
  <c r="O545" i="74"/>
  <c r="AE568" i="74"/>
  <c r="AE573" i="74" s="1"/>
  <c r="AN650" i="74"/>
  <c r="AN639" i="74"/>
  <c r="AN644" i="74" s="1"/>
  <c r="N548" i="74"/>
  <c r="CI555" i="74"/>
  <c r="Y532" i="74"/>
  <c r="BI665" i="74"/>
  <c r="BI670" i="74" s="1"/>
  <c r="AS596" i="74"/>
  <c r="P591" i="74"/>
  <c r="BC617" i="74"/>
  <c r="BC622" i="74" s="1"/>
  <c r="S572" i="74"/>
  <c r="BE641" i="74"/>
  <c r="BE642" i="74" s="1"/>
  <c r="R550" i="74"/>
  <c r="AY640" i="74"/>
  <c r="AY645" i="74" s="1"/>
  <c r="Y674" i="74"/>
  <c r="Y663" i="74"/>
  <c r="Y668" i="74" s="1"/>
  <c r="BG617" i="74"/>
  <c r="BG622" i="74" s="1"/>
  <c r="AT715" i="74"/>
  <c r="AT720" i="74" s="1"/>
  <c r="AT724" i="74" s="1"/>
  <c r="AH674" i="74"/>
  <c r="AH663" i="74"/>
  <c r="AH668" i="74" s="1"/>
  <c r="Q718" i="74"/>
  <c r="BQ898" i="74"/>
  <c r="R898" i="74" s="1"/>
  <c r="R949" i="74" s="1"/>
  <c r="U719" i="74"/>
  <c r="U724" i="74" s="1"/>
  <c r="AH843" i="74"/>
  <c r="BJ640" i="74"/>
  <c r="BJ645" i="74" s="1"/>
  <c r="BD640" i="74"/>
  <c r="BD645" i="74" s="1"/>
  <c r="BY743" i="74"/>
  <c r="BY748" i="74" s="1"/>
  <c r="BY739" i="74"/>
  <c r="BY744" i="74" s="1"/>
  <c r="AY555" i="74"/>
  <c r="AL774" i="74"/>
  <c r="AL626" i="74"/>
  <c r="AL615" i="74"/>
  <c r="AL620" i="74" s="1"/>
  <c r="CA617" i="74"/>
  <c r="CA622" i="74" s="1"/>
  <c r="W555" i="74"/>
  <c r="BS640" i="74"/>
  <c r="BS645" i="74" s="1"/>
  <c r="BF821" i="74"/>
  <c r="AA650" i="74"/>
  <c r="AA639" i="74"/>
  <c r="AA644" i="74" s="1"/>
  <c r="BL666" i="74"/>
  <c r="BL671" i="74" s="1"/>
  <c r="R787" i="74"/>
  <c r="BE532" i="74"/>
  <c r="BR573" i="74"/>
  <c r="BR570" i="74"/>
  <c r="BR575" i="74" s="1"/>
  <c r="AK702" i="74"/>
  <c r="AK704" i="74" s="1"/>
  <c r="BS569" i="74"/>
  <c r="BS574" i="74" s="1"/>
  <c r="AO811" i="74"/>
  <c r="AO816" i="74" s="1"/>
  <c r="O548" i="74"/>
  <c r="AG870" i="74"/>
  <c r="O863" i="74"/>
  <c r="AE674" i="74"/>
  <c r="AE663" i="74"/>
  <c r="AE668" i="74" s="1"/>
  <c r="AI663" i="74"/>
  <c r="AI668" i="74" s="1"/>
  <c r="AI674" i="74"/>
  <c r="CC573" i="74"/>
  <c r="S568" i="74"/>
  <c r="CB641" i="74"/>
  <c r="CB646" i="74" s="1"/>
  <c r="AH815" i="74"/>
  <c r="AQ550" i="74"/>
  <c r="AQ546" i="74"/>
  <c r="AQ551" i="74" s="1"/>
  <c r="AZ616" i="74"/>
  <c r="AZ617" i="74" s="1"/>
  <c r="AZ622" i="74" s="1"/>
  <c r="BQ775" i="74"/>
  <c r="R774" i="74"/>
  <c r="CK651" i="74"/>
  <c r="BT573" i="74"/>
  <c r="BT570" i="74"/>
  <c r="BT575" i="74" s="1"/>
  <c r="AD579" i="74"/>
  <c r="Y626" i="74"/>
  <c r="Y615" i="74"/>
  <c r="Y620" i="74" s="1"/>
  <c r="BD724" i="74"/>
  <c r="AR569" i="74"/>
  <c r="AR574" i="74" s="1"/>
  <c r="BB651" i="74"/>
  <c r="CH749" i="74"/>
  <c r="CH751" i="74" s="1"/>
  <c r="CG664" i="74"/>
  <c r="AX580" i="74"/>
  <c r="AX582" i="74" s="1"/>
  <c r="AX583" i="74" s="1"/>
  <c r="CM592" i="74"/>
  <c r="CB573" i="74"/>
  <c r="CB570" i="74"/>
  <c r="CB575" i="74" s="1"/>
  <c r="BJ665" i="74"/>
  <c r="BJ670" i="74" s="1"/>
  <c r="CE556" i="74"/>
  <c r="CE558" i="74" s="1"/>
  <c r="CE559" i="74" s="1"/>
  <c r="P551" i="74"/>
  <c r="AK742" i="74"/>
  <c r="AK738" i="74"/>
  <c r="AK743" i="74" s="1"/>
  <c r="AB650" i="74"/>
  <c r="AB639" i="74"/>
  <c r="AB644" i="74" s="1"/>
  <c r="AG569" i="74"/>
  <c r="AG570" i="74" s="1"/>
  <c r="O578" i="74"/>
  <c r="BQ742" i="74"/>
  <c r="R742" i="74" s="1"/>
  <c r="R737" i="74"/>
  <c r="CG573" i="74"/>
  <c r="CG569" i="74"/>
  <c r="CG574" i="74" s="1"/>
  <c r="BV592" i="74"/>
  <c r="BV593" i="74" s="1"/>
  <c r="BV598" i="74" s="1"/>
  <c r="CC644" i="74"/>
  <c r="S639" i="74"/>
  <c r="BG821" i="74"/>
  <c r="CM675" i="74"/>
  <c r="BQ816" i="74"/>
  <c r="R811" i="74"/>
  <c r="BR664" i="74"/>
  <c r="BR665" i="74" s="1"/>
  <c r="BR670" i="74" s="1"/>
  <c r="AT592" i="74"/>
  <c r="AT593" i="74" s="1"/>
  <c r="AT598" i="74" s="1"/>
  <c r="CE748" i="74"/>
  <c r="AA791" i="74"/>
  <c r="AA788" i="74"/>
  <c r="AA793" i="74" s="1"/>
  <c r="AO742" i="74"/>
  <c r="AO738" i="74"/>
  <c r="AO743" i="74" s="1"/>
  <c r="CN664" i="74"/>
  <c r="BK592" i="74"/>
  <c r="AZ573" i="74"/>
  <c r="AZ569" i="74"/>
  <c r="AZ574" i="74" s="1"/>
  <c r="BS724" i="74"/>
  <c r="AA602" i="74"/>
  <c r="AA591" i="74"/>
  <c r="AA596" i="74" s="1"/>
  <c r="BM603" i="74"/>
  <c r="AJ579" i="74"/>
  <c r="AW665" i="74"/>
  <c r="AW670" i="74" s="1"/>
  <c r="BQ626" i="74"/>
  <c r="R626" i="74" s="1"/>
  <c r="BQ615" i="74"/>
  <c r="BQ616" i="74" s="1"/>
  <c r="BQ617" i="74" s="1"/>
  <c r="R613" i="74"/>
  <c r="BH641" i="74"/>
  <c r="BH646" i="74" s="1"/>
  <c r="AL812" i="74"/>
  <c r="AL817" i="74" s="1"/>
  <c r="AL821" i="74" s="1"/>
  <c r="AX593" i="74"/>
  <c r="AX598" i="74" s="1"/>
  <c r="AJ920" i="74"/>
  <c r="AJ922" i="74" s="1"/>
  <c r="S714" i="74"/>
  <c r="CE675" i="74"/>
  <c r="AK639" i="74"/>
  <c r="AK644" i="74" s="1"/>
  <c r="AK650" i="74"/>
  <c r="AE555" i="74"/>
  <c r="BE724" i="74"/>
  <c r="O790" i="74"/>
  <c r="AX617" i="74"/>
  <c r="R843" i="74"/>
  <c r="CC797" i="74"/>
  <c r="BE593" i="74"/>
  <c r="BE594" i="74" s="1"/>
  <c r="BO675" i="74"/>
  <c r="AY627" i="74"/>
  <c r="CC697" i="74"/>
  <c r="S697" i="74" s="1"/>
  <c r="S692" i="74"/>
  <c r="BT641" i="74"/>
  <c r="BT646" i="74" s="1"/>
  <c r="Z626" i="74"/>
  <c r="Z615" i="74"/>
  <c r="Z620" i="74" s="1"/>
  <c r="AO569" i="74"/>
  <c r="AO574" i="74" s="1"/>
  <c r="BB592" i="74"/>
  <c r="CL570" i="74"/>
  <c r="CL575" i="74" s="1"/>
  <c r="CL579" i="74" s="1"/>
  <c r="AH811" i="74"/>
  <c r="AH816" i="74" s="1"/>
  <c r="BD592" i="74"/>
  <c r="BT556" i="74"/>
  <c r="BT558" i="74" s="1"/>
  <c r="BU775" i="74"/>
  <c r="BU777" i="74" s="1"/>
  <c r="BF719" i="74"/>
  <c r="BF715" i="74"/>
  <c r="BF720" i="74" s="1"/>
  <c r="AU640" i="74"/>
  <c r="W701" i="74"/>
  <c r="AF842" i="74"/>
  <c r="AF838" i="74"/>
  <c r="AF843" i="74" s="1"/>
  <c r="X626" i="74"/>
  <c r="X615" i="74"/>
  <c r="X620" i="74" s="1"/>
  <c r="AR663" i="74"/>
  <c r="AR668" i="74" s="1"/>
  <c r="AR674" i="74"/>
  <c r="CC742" i="74"/>
  <c r="S742" i="74" s="1"/>
  <c r="S737" i="74"/>
  <c r="CC738" i="74"/>
  <c r="CI843" i="74"/>
  <c r="S838" i="74"/>
  <c r="Z714" i="74"/>
  <c r="Z719" i="74" s="1"/>
  <c r="CM616" i="74"/>
  <c r="CM621" i="74" s="1"/>
  <c r="AD533" i="74"/>
  <c r="AD535" i="74" s="1"/>
  <c r="AD559" i="74" s="1"/>
  <c r="BF651" i="74"/>
  <c r="S718" i="74"/>
  <c r="CE593" i="74"/>
  <c r="CE598" i="74" s="1"/>
  <c r="W663" i="74"/>
  <c r="W668" i="74" s="1"/>
  <c r="W674" i="74"/>
  <c r="BL592" i="74"/>
  <c r="BL593" i="74" s="1"/>
  <c r="BL598" i="74" s="1"/>
  <c r="AQ579" i="74"/>
  <c r="AW743" i="74"/>
  <c r="AW739" i="74"/>
  <c r="AW744" i="74" s="1"/>
  <c r="R741" i="74"/>
  <c r="BV627" i="74"/>
  <c r="P815" i="74"/>
  <c r="U791" i="74"/>
  <c r="N786" i="74"/>
  <c r="BO592" i="74"/>
  <c r="BO593" i="74" s="1"/>
  <c r="BO598" i="74" s="1"/>
  <c r="AF718" i="74"/>
  <c r="AF714" i="74"/>
  <c r="BC788" i="74"/>
  <c r="BC793" i="74" s="1"/>
  <c r="BC797" i="74" s="1"/>
  <c r="CH555" i="74"/>
  <c r="BM739" i="74"/>
  <c r="BM744" i="74" s="1"/>
  <c r="BM748" i="74" s="1"/>
  <c r="O765" i="74"/>
  <c r="BX592" i="74"/>
  <c r="BX593" i="74" s="1"/>
  <c r="BX598" i="74" s="1"/>
  <c r="CG748" i="74"/>
  <c r="CI724" i="74"/>
  <c r="Y742" i="74"/>
  <c r="Y738" i="74"/>
  <c r="BW724" i="74"/>
  <c r="CL617" i="74"/>
  <c r="BH664" i="74"/>
  <c r="CI797" i="74"/>
  <c r="BW640" i="74"/>
  <c r="BE626" i="74"/>
  <c r="Q626" i="74" s="1"/>
  <c r="BE615" i="74"/>
  <c r="BE616" i="74" s="1"/>
  <c r="BE617" i="74" s="1"/>
  <c r="Q613" i="74"/>
  <c r="CA848" i="74"/>
  <c r="CA850" i="74" s="1"/>
  <c r="CA874" i="74" s="1"/>
  <c r="AF811" i="74"/>
  <c r="AF816" i="74" s="1"/>
  <c r="AO715" i="74"/>
  <c r="AO720" i="74" s="1"/>
  <c r="AO724" i="74" s="1"/>
  <c r="BP616" i="74"/>
  <c r="BP617" i="74" s="1"/>
  <c r="BP622" i="74" s="1"/>
  <c r="CE569" i="74"/>
  <c r="Z674" i="74"/>
  <c r="Z663" i="74"/>
  <c r="Z668" i="74" s="1"/>
  <c r="U569" i="74"/>
  <c r="BM640" i="74"/>
  <c r="BM641" i="74" s="1"/>
  <c r="BM646" i="74" s="1"/>
  <c r="AN568" i="74"/>
  <c r="AN569" i="74" s="1"/>
  <c r="AN574" i="74" s="1"/>
  <c r="AO639" i="74"/>
  <c r="AO644" i="74" s="1"/>
  <c r="AO650" i="74"/>
  <c r="BB617" i="74"/>
  <c r="U546" i="74"/>
  <c r="X788" i="74"/>
  <c r="X793" i="74" s="1"/>
  <c r="X797" i="74" s="1"/>
  <c r="CG592" i="74"/>
  <c r="CG593" i="74" s="1"/>
  <c r="CG598" i="74" s="1"/>
  <c r="R650" i="74"/>
  <c r="AD838" i="74"/>
  <c r="AD843" i="74" s="1"/>
  <c r="AD847" i="74" s="1"/>
  <c r="AC788" i="74"/>
  <c r="AC793" i="74" s="1"/>
  <c r="AC797" i="74" s="1"/>
  <c r="BK816" i="74"/>
  <c r="BK812" i="74"/>
  <c r="BK817" i="74" s="1"/>
  <c r="BG592" i="74"/>
  <c r="BT739" i="74"/>
  <c r="BT744" i="74" s="1"/>
  <c r="BT748" i="74" s="1"/>
  <c r="BE811" i="74"/>
  <c r="AM650" i="74"/>
  <c r="AM639" i="74"/>
  <c r="AM644" i="74" s="1"/>
  <c r="P741" i="74"/>
  <c r="S550" i="74"/>
  <c r="BT533" i="74"/>
  <c r="R533" i="74" s="1"/>
  <c r="BN616" i="74"/>
  <c r="BN621" i="74" s="1"/>
  <c r="AS644" i="74"/>
  <c r="P639" i="74"/>
  <c r="N810" i="74"/>
  <c r="U815" i="74"/>
  <c r="N815" i="74" s="1"/>
  <c r="U814" i="74"/>
  <c r="N809" i="74"/>
  <c r="CJ816" i="74"/>
  <c r="CJ812" i="74"/>
  <c r="CJ817" i="74" s="1"/>
  <c r="BE895" i="74"/>
  <c r="BS592" i="74"/>
  <c r="BS593" i="74" s="1"/>
  <c r="BS598" i="74" s="1"/>
  <c r="BF665" i="74"/>
  <c r="BF670" i="74" s="1"/>
  <c r="AB718" i="74"/>
  <c r="AB715" i="74"/>
  <c r="AB720" i="74" s="1"/>
  <c r="BX719" i="74"/>
  <c r="BX715" i="74"/>
  <c r="BX720" i="74" s="1"/>
  <c r="Q741" i="74"/>
  <c r="CE616" i="74"/>
  <c r="CE621" i="74" s="1"/>
  <c r="AC579" i="74"/>
  <c r="AL568" i="74"/>
  <c r="AL569" i="74" s="1"/>
  <c r="AL574" i="74" s="1"/>
  <c r="AG661" i="74"/>
  <c r="O493" i="74"/>
  <c r="BB569" i="74"/>
  <c r="S546" i="74"/>
  <c r="R793" i="74"/>
  <c r="P842" i="74"/>
  <c r="N841" i="74"/>
  <c r="CC777" i="74"/>
  <c r="N696" i="74"/>
  <c r="BW627" i="74"/>
  <c r="BO616" i="74"/>
  <c r="BO621" i="74" s="1"/>
  <c r="BD569" i="74"/>
  <c r="BA555" i="74"/>
  <c r="N915" i="74"/>
  <c r="U919" i="74"/>
  <c r="AB787" i="74"/>
  <c r="CJ592" i="74"/>
  <c r="CJ593" i="74" s="1"/>
  <c r="CJ598" i="74" s="1"/>
  <c r="BZ617" i="74"/>
  <c r="AF674" i="74"/>
  <c r="AF663" i="74"/>
  <c r="AF668" i="74" s="1"/>
  <c r="BL640" i="74"/>
  <c r="BL641" i="74" s="1"/>
  <c r="BL646" i="74" s="1"/>
  <c r="AP602" i="74"/>
  <c r="AP591" i="74"/>
  <c r="AP596" i="74" s="1"/>
  <c r="AE870" i="74"/>
  <c r="CA651" i="74"/>
  <c r="O791" i="74"/>
  <c r="BQ593" i="74"/>
  <c r="BW665" i="74"/>
  <c r="BW670" i="74" s="1"/>
  <c r="CD617" i="74"/>
  <c r="BX664" i="74"/>
  <c r="BX665" i="74" s="1"/>
  <c r="BX670" i="74" s="1"/>
  <c r="AU617" i="74"/>
  <c r="O549" i="74"/>
  <c r="CK616" i="74"/>
  <c r="BU603" i="74"/>
  <c r="BM665" i="74"/>
  <c r="BM670" i="74" s="1"/>
  <c r="CF788" i="74"/>
  <c r="CF793" i="74" s="1"/>
  <c r="CF797" i="74" s="1"/>
  <c r="AO626" i="74"/>
  <c r="AO615" i="74"/>
  <c r="AO620" i="74" s="1"/>
  <c r="N549" i="74"/>
  <c r="BE555" i="74"/>
  <c r="AS920" i="74"/>
  <c r="P920" i="74" s="1"/>
  <c r="P919" i="74"/>
  <c r="AS592" i="74"/>
  <c r="AS593" i="74" s="1"/>
  <c r="BC618" i="74"/>
  <c r="BC623" i="74" s="1"/>
  <c r="AP838" i="74"/>
  <c r="AP843" i="74" s="1"/>
  <c r="AP847" i="74" s="1"/>
  <c r="Q650" i="74"/>
  <c r="CI592" i="74"/>
  <c r="BY665" i="74"/>
  <c r="BY670" i="74" s="1"/>
  <c r="BP719" i="74"/>
  <c r="BP715" i="74"/>
  <c r="BP720" i="74" s="1"/>
  <c r="AZ592" i="74"/>
  <c r="N896" i="74"/>
  <c r="BW816" i="74"/>
  <c r="BW812" i="74"/>
  <c r="BW817" i="74" s="1"/>
  <c r="X568" i="74"/>
  <c r="X569" i="74" s="1"/>
  <c r="X574" i="74" s="1"/>
  <c r="Y639" i="74"/>
  <c r="Y644" i="74" s="1"/>
  <c r="Y650" i="74"/>
  <c r="AH639" i="74"/>
  <c r="AH644" i="74" s="1"/>
  <c r="AH650" i="74"/>
  <c r="AV617" i="74"/>
  <c r="AV622" i="74" s="1"/>
  <c r="BN816" i="74"/>
  <c r="BN812" i="74"/>
  <c r="BN817" i="74" s="1"/>
  <c r="AK865" i="74"/>
  <c r="AK861" i="74"/>
  <c r="AK866" i="74" s="1"/>
  <c r="BV665" i="74"/>
  <c r="BV670" i="74" s="1"/>
  <c r="BZ715" i="74"/>
  <c r="BZ720" i="74" s="1"/>
  <c r="BZ724" i="74" s="1"/>
  <c r="N713" i="74"/>
  <c r="P661" i="74"/>
  <c r="AS674" i="74"/>
  <c r="P674" i="74" s="1"/>
  <c r="AS663" i="74"/>
  <c r="BQ535" i="74"/>
  <c r="CN603" i="74"/>
  <c r="BS627" i="74"/>
  <c r="BA603" i="74"/>
  <c r="AX748" i="74"/>
  <c r="AB579" i="74"/>
  <c r="BG641" i="74"/>
  <c r="BG646" i="74" s="1"/>
  <c r="AL602" i="74"/>
  <c r="AL591" i="74"/>
  <c r="AL596" i="74" s="1"/>
  <c r="AG613" i="74"/>
  <c r="O491" i="74"/>
  <c r="AW616" i="74"/>
  <c r="AW617" i="74" s="1"/>
  <c r="AW622" i="74" s="1"/>
  <c r="CA618" i="74"/>
  <c r="CA623" i="74" s="1"/>
  <c r="BH616" i="74"/>
  <c r="CH665" i="74"/>
  <c r="CH670" i="74" s="1"/>
  <c r="N790" i="74"/>
  <c r="BR651" i="74"/>
  <c r="BJ592" i="74"/>
  <c r="AP546" i="74"/>
  <c r="AP551" i="74" s="1"/>
  <c r="AP555" i="74" s="1"/>
  <c r="BF616" i="74"/>
  <c r="BF621" i="74" s="1"/>
  <c r="R842" i="74"/>
  <c r="BR847" i="74"/>
  <c r="CJ616" i="74"/>
  <c r="BT592" i="74"/>
  <c r="BT593" i="74" s="1"/>
  <c r="BT598" i="74" s="1"/>
  <c r="AF626" i="74"/>
  <c r="AF615" i="74"/>
  <c r="AF620" i="74" s="1"/>
  <c r="BL675" i="74"/>
  <c r="AP674" i="74"/>
  <c r="AP663" i="74"/>
  <c r="AP668" i="74" s="1"/>
  <c r="AK568" i="74"/>
  <c r="AS569" i="74"/>
  <c r="P702" i="74"/>
  <c r="S715" i="74"/>
  <c r="CE641" i="74" l="1"/>
  <c r="CE646" i="74" s="1"/>
  <c r="N550" i="74"/>
  <c r="BA594" i="74"/>
  <c r="BA599" i="74" s="1"/>
  <c r="BR642" i="74"/>
  <c r="BR647" i="74" s="1"/>
  <c r="CN594" i="74"/>
  <c r="CN599" i="74" s="1"/>
  <c r="CK642" i="74"/>
  <c r="CK647" i="74" s="1"/>
  <c r="AI555" i="74"/>
  <c r="O555" i="74" s="1"/>
  <c r="AB569" i="74"/>
  <c r="BV617" i="74"/>
  <c r="BK752" i="74"/>
  <c r="N774" i="74"/>
  <c r="BR641" i="74"/>
  <c r="BR646" i="74" s="1"/>
  <c r="CN593" i="74"/>
  <c r="CN598" i="74" s="1"/>
  <c r="AH792" i="74"/>
  <c r="AH788" i="74"/>
  <c r="AH793" i="74" s="1"/>
  <c r="V559" i="74"/>
  <c r="AC874" i="74"/>
  <c r="BB642" i="74"/>
  <c r="BB647" i="74" s="1"/>
  <c r="AM739" i="74"/>
  <c r="AM744" i="74" s="1"/>
  <c r="CM642" i="74"/>
  <c r="CM647" i="74" s="1"/>
  <c r="CM651" i="74" s="1"/>
  <c r="AI715" i="74"/>
  <c r="AI720" i="74" s="1"/>
  <c r="BG618" i="74"/>
  <c r="BG623" i="74" s="1"/>
  <c r="BU594" i="74"/>
  <c r="BU599" i="74" s="1"/>
  <c r="AC812" i="74"/>
  <c r="AC817" i="74" s="1"/>
  <c r="S555" i="74"/>
  <c r="AY874" i="74"/>
  <c r="CN570" i="74"/>
  <c r="CN575" i="74" s="1"/>
  <c r="CN579" i="74" s="1"/>
  <c r="AM556" i="74"/>
  <c r="AM558" i="74"/>
  <c r="AM559" i="74" s="1"/>
  <c r="CK574" i="74"/>
  <c r="CK570" i="74"/>
  <c r="CK575" i="74" s="1"/>
  <c r="BK618" i="74"/>
  <c r="BK623" i="74" s="1"/>
  <c r="BK627" i="74" s="1"/>
  <c r="BK628" i="74" s="1"/>
  <c r="BK630" i="74" s="1"/>
  <c r="AE739" i="74"/>
  <c r="AE744" i="74" s="1"/>
  <c r="BR618" i="74"/>
  <c r="BR623" i="74" s="1"/>
  <c r="R788" i="74"/>
  <c r="AX641" i="74"/>
  <c r="AX646" i="74" s="1"/>
  <c r="AI570" i="74"/>
  <c r="AI575" i="74" s="1"/>
  <c r="AI579" i="74" s="1"/>
  <c r="AI580" i="74" s="1"/>
  <c r="AI582" i="74" s="1"/>
  <c r="O714" i="74"/>
  <c r="P817" i="74"/>
  <c r="O787" i="74"/>
  <c r="BI641" i="74"/>
  <c r="BI646" i="74" s="1"/>
  <c r="CH617" i="74"/>
  <c r="V715" i="74"/>
  <c r="V720" i="74" s="1"/>
  <c r="CJ724" i="74"/>
  <c r="O866" i="74"/>
  <c r="CG617" i="74"/>
  <c r="BI574" i="74"/>
  <c r="BI579" i="74" s="1"/>
  <c r="BI580" i="74" s="1"/>
  <c r="BI582" i="74" s="1"/>
  <c r="BI583" i="74" s="1"/>
  <c r="BI570" i="74"/>
  <c r="BI575" i="74" s="1"/>
  <c r="BN725" i="74"/>
  <c r="BN727" i="74" s="1"/>
  <c r="BT579" i="74"/>
  <c r="AX642" i="74"/>
  <c r="AX647" i="74" s="1"/>
  <c r="BC724" i="74"/>
  <c r="BC725" i="74" s="1"/>
  <c r="BC727" i="74" s="1"/>
  <c r="BC728" i="74" s="1"/>
  <c r="BJ574" i="74"/>
  <c r="BJ570" i="74"/>
  <c r="BJ575" i="74" s="1"/>
  <c r="BC574" i="74"/>
  <c r="BC579" i="74" s="1"/>
  <c r="BC580" i="74" s="1"/>
  <c r="BC582" i="74" s="1"/>
  <c r="BC570" i="74"/>
  <c r="BC575" i="74" s="1"/>
  <c r="N791" i="74"/>
  <c r="Z870" i="74"/>
  <c r="Z871" i="74" s="1"/>
  <c r="Z873" i="74" s="1"/>
  <c r="Z874" i="74" s="1"/>
  <c r="X739" i="74"/>
  <c r="X744" i="74" s="1"/>
  <c r="X748" i="74" s="1"/>
  <c r="X749" i="74" s="1"/>
  <c r="X751" i="74" s="1"/>
  <c r="AP792" i="74"/>
  <c r="AP788" i="74"/>
  <c r="AP793" i="74" s="1"/>
  <c r="BG556" i="74"/>
  <c r="BG558" i="74" s="1"/>
  <c r="BG559" i="74" s="1"/>
  <c r="AB556" i="74"/>
  <c r="AB558" i="74" s="1"/>
  <c r="AB559" i="74" s="1"/>
  <c r="R775" i="74"/>
  <c r="AQ555" i="74"/>
  <c r="AQ558" i="74" s="1"/>
  <c r="AQ559" i="74" s="1"/>
  <c r="AN555" i="74"/>
  <c r="CK665" i="74"/>
  <c r="AV821" i="74"/>
  <c r="AV822" i="74" s="1"/>
  <c r="AV824" i="74" s="1"/>
  <c r="AE719" i="74"/>
  <c r="AE715" i="74"/>
  <c r="AE720" i="74" s="1"/>
  <c r="AS535" i="74"/>
  <c r="P535" i="74" s="1"/>
  <c r="P928" i="74" s="1"/>
  <c r="S533" i="74"/>
  <c r="BL748" i="74"/>
  <c r="BL749" i="74" s="1"/>
  <c r="BL751" i="74" s="1"/>
  <c r="BL752" i="74" s="1"/>
  <c r="AK533" i="74"/>
  <c r="AK535" i="74" s="1"/>
  <c r="AK559" i="74" s="1"/>
  <c r="BU797" i="74"/>
  <c r="BU798" i="74" s="1"/>
  <c r="BU800" i="74" s="1"/>
  <c r="BU825" i="74" s="1"/>
  <c r="BE704" i="74"/>
  <c r="Q704" i="74" s="1"/>
  <c r="Q936" i="74" s="1"/>
  <c r="G32" i="74" s="1"/>
  <c r="F18" i="75" s="1"/>
  <c r="AU583" i="74"/>
  <c r="CN641" i="74"/>
  <c r="BD617" i="74"/>
  <c r="BC556" i="74"/>
  <c r="BC558" i="74"/>
  <c r="BC559" i="74" s="1"/>
  <c r="AE775" i="74"/>
  <c r="AE777" i="74" s="1"/>
  <c r="N777" i="74" s="1"/>
  <c r="N941" i="74" s="1"/>
  <c r="D33" i="74" s="1"/>
  <c r="C19" i="75" s="1"/>
  <c r="AJ792" i="74"/>
  <c r="AJ788" i="74"/>
  <c r="AJ793" i="74" s="1"/>
  <c r="AJ797" i="74" s="1"/>
  <c r="AJ798" i="74" s="1"/>
  <c r="AJ800" i="74" s="1"/>
  <c r="AJ801" i="74" s="1"/>
  <c r="AT574" i="74"/>
  <c r="AT570" i="74"/>
  <c r="AT575" i="74" s="1"/>
  <c r="AL719" i="74"/>
  <c r="O719" i="74" s="1"/>
  <c r="AL715" i="74"/>
  <c r="AL720" i="74" s="1"/>
  <c r="AL724" i="74" s="1"/>
  <c r="AL725" i="74" s="1"/>
  <c r="AL727" i="74" s="1"/>
  <c r="AL752" i="74" s="1"/>
  <c r="AJ592" i="74"/>
  <c r="AJ597" i="74" s="1"/>
  <c r="BB825" i="74"/>
  <c r="BL574" i="74"/>
  <c r="BL570" i="74"/>
  <c r="BL575" i="74" s="1"/>
  <c r="CD574" i="74"/>
  <c r="CD570" i="74"/>
  <c r="CD575" i="74" s="1"/>
  <c r="Y592" i="74"/>
  <c r="Y597" i="74" s="1"/>
  <c r="AQ870" i="74"/>
  <c r="AQ871" i="74" s="1"/>
  <c r="AQ873" i="74" s="1"/>
  <c r="AQ874" i="74" s="1"/>
  <c r="CA724" i="74"/>
  <c r="CA725" i="74" s="1"/>
  <c r="CA727" i="74" s="1"/>
  <c r="CA728" i="74" s="1"/>
  <c r="CL593" i="74"/>
  <c r="AV798" i="74"/>
  <c r="AV800" i="74" s="1"/>
  <c r="AV801" i="74" s="1"/>
  <c r="BK641" i="74"/>
  <c r="BY871" i="74"/>
  <c r="BY873" i="74" s="1"/>
  <c r="BY874" i="74" s="1"/>
  <c r="AN821" i="74"/>
  <c r="Q792" i="74"/>
  <c r="AA751" i="74"/>
  <c r="AK715" i="74"/>
  <c r="AK720" i="74" s="1"/>
  <c r="AK724" i="74" s="1"/>
  <c r="AK725" i="74" s="1"/>
  <c r="W792" i="74"/>
  <c r="W788" i="74"/>
  <c r="W793" i="74" s="1"/>
  <c r="AR816" i="74"/>
  <c r="AR812" i="74"/>
  <c r="AR817" i="74" s="1"/>
  <c r="AF847" i="74"/>
  <c r="V664" i="74"/>
  <c r="V669" i="74" s="1"/>
  <c r="BV579" i="74"/>
  <c r="BV580" i="74" s="1"/>
  <c r="BV582" i="74" s="1"/>
  <c r="BV583" i="74" s="1"/>
  <c r="AN743" i="74"/>
  <c r="AN739" i="74"/>
  <c r="AN744" i="74" s="1"/>
  <c r="AA664" i="74"/>
  <c r="AA669" i="74" s="1"/>
  <c r="AR592" i="74"/>
  <c r="AR597" i="74" s="1"/>
  <c r="AD616" i="74"/>
  <c r="AD621" i="74" s="1"/>
  <c r="AK592" i="74"/>
  <c r="AK597" i="74" s="1"/>
  <c r="BO748" i="74"/>
  <c r="BU874" i="74"/>
  <c r="BR593" i="74"/>
  <c r="BT821" i="74"/>
  <c r="BT822" i="74" s="1"/>
  <c r="BT824" i="74" s="1"/>
  <c r="CD821" i="74"/>
  <c r="AT821" i="74"/>
  <c r="AT822" i="74" s="1"/>
  <c r="AT824" i="74" s="1"/>
  <c r="AT825" i="74" s="1"/>
  <c r="BK574" i="74"/>
  <c r="BK570" i="74"/>
  <c r="BK575" i="74" s="1"/>
  <c r="AB871" i="74"/>
  <c r="AB873" i="74" s="1"/>
  <c r="AH640" i="74"/>
  <c r="AH645" i="74" s="1"/>
  <c r="W664" i="74"/>
  <c r="W669" i="74" s="1"/>
  <c r="BJ641" i="74"/>
  <c r="CF593" i="74"/>
  <c r="V640" i="74"/>
  <c r="V645" i="74" s="1"/>
  <c r="U641" i="74"/>
  <c r="U642" i="74" s="1"/>
  <c r="U647" i="74" s="1"/>
  <c r="P719" i="74"/>
  <c r="CD822" i="74"/>
  <c r="CD824" i="74" s="1"/>
  <c r="CD825" i="74" s="1"/>
  <c r="Y816" i="74"/>
  <c r="Y812" i="74"/>
  <c r="Y817" i="74" s="1"/>
  <c r="CD593" i="74"/>
  <c r="AF812" i="74"/>
  <c r="AF817" i="74" s="1"/>
  <c r="AF821" i="74" s="1"/>
  <c r="AF822" i="74" s="1"/>
  <c r="AF824" i="74" s="1"/>
  <c r="Z797" i="74"/>
  <c r="Z798" i="74" s="1"/>
  <c r="Z800" i="74" s="1"/>
  <c r="Z801" i="74" s="1"/>
  <c r="CG821" i="74"/>
  <c r="CG822" i="74" s="1"/>
  <c r="CG824" i="74" s="1"/>
  <c r="CG825" i="74" s="1"/>
  <c r="CM821" i="74"/>
  <c r="CM822" i="74" s="1"/>
  <c r="CM824" i="74" s="1"/>
  <c r="CM825" i="74" s="1"/>
  <c r="CL724" i="74"/>
  <c r="CL725" i="74" s="1"/>
  <c r="CL727" i="74" s="1"/>
  <c r="CL728" i="74" s="1"/>
  <c r="CE821" i="74"/>
  <c r="CE822" i="74" s="1"/>
  <c r="CE824" i="74" s="1"/>
  <c r="BX574" i="74"/>
  <c r="BX570" i="74"/>
  <c r="BX575" i="74" s="1"/>
  <c r="AX669" i="74"/>
  <c r="AX665" i="74"/>
  <c r="BC748" i="74"/>
  <c r="BC749" i="74" s="1"/>
  <c r="BC751" i="74" s="1"/>
  <c r="BC752" i="74" s="1"/>
  <c r="Y870" i="74"/>
  <c r="AN847" i="74"/>
  <c r="AT617" i="74"/>
  <c r="CJ641" i="74"/>
  <c r="BU574" i="74"/>
  <c r="BU570" i="74"/>
  <c r="BU575" i="74" s="1"/>
  <c r="AK816" i="74"/>
  <c r="AK812" i="74"/>
  <c r="AK817" i="74" s="1"/>
  <c r="BO574" i="74"/>
  <c r="BO570" i="74"/>
  <c r="BO575" i="74" s="1"/>
  <c r="AD792" i="74"/>
  <c r="AD788" i="74"/>
  <c r="AD793" i="74" s="1"/>
  <c r="BG797" i="74"/>
  <c r="BG798" i="74" s="1"/>
  <c r="BG800" i="74" s="1"/>
  <c r="BG801" i="74" s="1"/>
  <c r="CE617" i="74"/>
  <c r="CE622" i="74" s="1"/>
  <c r="BX724" i="74"/>
  <c r="BX725" i="74" s="1"/>
  <c r="BX727" i="74" s="1"/>
  <c r="AL616" i="74"/>
  <c r="AL621" i="74" s="1"/>
  <c r="AN664" i="74"/>
  <c r="AN669" i="74" s="1"/>
  <c r="U592" i="74"/>
  <c r="U593" i="74" s="1"/>
  <c r="AJ616" i="74"/>
  <c r="AJ621" i="74" s="1"/>
  <c r="AQ664" i="74"/>
  <c r="AQ669" i="74" s="1"/>
  <c r="AK616" i="74"/>
  <c r="AK621" i="74" s="1"/>
  <c r="BH821" i="74"/>
  <c r="BX874" i="74"/>
  <c r="AL847" i="74"/>
  <c r="AL848" i="74" s="1"/>
  <c r="AL850" i="74" s="1"/>
  <c r="CE724" i="74"/>
  <c r="CE725" i="74" s="1"/>
  <c r="CE727" i="74" s="1"/>
  <c r="CE728" i="74" s="1"/>
  <c r="AY724" i="74"/>
  <c r="BT797" i="74"/>
  <c r="BT798" i="74" s="1"/>
  <c r="BT800" i="74" s="1"/>
  <c r="BN665" i="74"/>
  <c r="AX724" i="74"/>
  <c r="AX725" i="74" s="1"/>
  <c r="AX727" i="74" s="1"/>
  <c r="AX728" i="74" s="1"/>
  <c r="BK665" i="74"/>
  <c r="AB816" i="74"/>
  <c r="AB812" i="74"/>
  <c r="AB817" i="74" s="1"/>
  <c r="AU593" i="74"/>
  <c r="CN801" i="74"/>
  <c r="CN825" i="74"/>
  <c r="CB725" i="74"/>
  <c r="CB727" i="74" s="1"/>
  <c r="CB728" i="74" s="1"/>
  <c r="Y871" i="74"/>
  <c r="Y873" i="74" s="1"/>
  <c r="Y874" i="74" s="1"/>
  <c r="AN848" i="74"/>
  <c r="AN850" i="74" s="1"/>
  <c r="AN874" i="74" s="1"/>
  <c r="BL728" i="74"/>
  <c r="CK801" i="74"/>
  <c r="CK825" i="74"/>
  <c r="BG627" i="74"/>
  <c r="AQ792" i="74"/>
  <c r="AQ788" i="74"/>
  <c r="AQ793" i="74" s="1"/>
  <c r="BF574" i="74"/>
  <c r="BF570" i="74"/>
  <c r="BF575" i="74" s="1"/>
  <c r="BR871" i="74"/>
  <c r="BR873" i="74" s="1"/>
  <c r="CA749" i="74"/>
  <c r="CA751" i="74" s="1"/>
  <c r="BJ621" i="74"/>
  <c r="BJ617" i="74"/>
  <c r="AD719" i="74"/>
  <c r="AD715" i="74"/>
  <c r="AD720" i="74" s="1"/>
  <c r="AQ816" i="74"/>
  <c r="AQ812" i="74"/>
  <c r="AQ817" i="74" s="1"/>
  <c r="AK870" i="74"/>
  <c r="BW821" i="74"/>
  <c r="BP724" i="74"/>
  <c r="BP725" i="74" s="1"/>
  <c r="BP727" i="74" s="1"/>
  <c r="BP728" i="74" s="1"/>
  <c r="BK821" i="74"/>
  <c r="AW748" i="74"/>
  <c r="AW749" i="74" s="1"/>
  <c r="AW751" i="74" s="1"/>
  <c r="AW752" i="74" s="1"/>
  <c r="CB579" i="74"/>
  <c r="CB580" i="74" s="1"/>
  <c r="CB582" i="74" s="1"/>
  <c r="CB583" i="74" s="1"/>
  <c r="AH664" i="74"/>
  <c r="AH669" i="74" s="1"/>
  <c r="AO664" i="74"/>
  <c r="AO669" i="74" s="1"/>
  <c r="BP874" i="74"/>
  <c r="AP748" i="74"/>
  <c r="AP749" i="74" s="1"/>
  <c r="AP751" i="74" s="1"/>
  <c r="BG579" i="74"/>
  <c r="BG580" i="74" s="1"/>
  <c r="BG582" i="74" s="1"/>
  <c r="AJ821" i="74"/>
  <c r="AQ640" i="74"/>
  <c r="AQ645" i="74" s="1"/>
  <c r="AX797" i="74"/>
  <c r="CM748" i="74"/>
  <c r="BH797" i="74"/>
  <c r="BV748" i="74"/>
  <c r="BV749" i="74" s="1"/>
  <c r="BV751" i="74" s="1"/>
  <c r="BV752" i="74" s="1"/>
  <c r="AZ752" i="74"/>
  <c r="AR874" i="74"/>
  <c r="AV874" i="74"/>
  <c r="BH574" i="74"/>
  <c r="BH570" i="74"/>
  <c r="BH575" i="74" s="1"/>
  <c r="BP574" i="74"/>
  <c r="BP570" i="74"/>
  <c r="BP575" i="74" s="1"/>
  <c r="V743" i="74"/>
  <c r="V739" i="74"/>
  <c r="V744" i="74" s="1"/>
  <c r="BM871" i="74"/>
  <c r="BM873" i="74" s="1"/>
  <c r="BM874" i="74" s="1"/>
  <c r="AW574" i="74"/>
  <c r="AW570" i="74"/>
  <c r="AW575" i="74" s="1"/>
  <c r="BK797" i="74"/>
  <c r="BK798" i="74" s="1"/>
  <c r="BK800" i="74" s="1"/>
  <c r="BK801" i="74" s="1"/>
  <c r="BX617" i="74"/>
  <c r="AZ641" i="74"/>
  <c r="BY617" i="74"/>
  <c r="AV641" i="74"/>
  <c r="AR792" i="74"/>
  <c r="AR788" i="74"/>
  <c r="AR793" i="74" s="1"/>
  <c r="O861" i="74"/>
  <c r="AB724" i="74"/>
  <c r="Z664" i="74"/>
  <c r="Z669" i="74" s="1"/>
  <c r="AA797" i="74"/>
  <c r="AA798" i="74" s="1"/>
  <c r="AA800" i="74" s="1"/>
  <c r="AA801" i="74" s="1"/>
  <c r="AI664" i="74"/>
  <c r="AI669" i="74" s="1"/>
  <c r="BR579" i="74"/>
  <c r="BR580" i="74" s="1"/>
  <c r="BR582" i="74" s="1"/>
  <c r="BR583" i="74" s="1"/>
  <c r="Y664" i="74"/>
  <c r="Y669" i="74" s="1"/>
  <c r="BC627" i="74"/>
  <c r="BC628" i="74" s="1"/>
  <c r="BC630" i="74" s="1"/>
  <c r="AD592" i="74"/>
  <c r="AD597" i="74" s="1"/>
  <c r="CK593" i="74"/>
  <c r="AK664" i="74"/>
  <c r="AK669" i="74" s="1"/>
  <c r="AE797" i="74"/>
  <c r="AM592" i="74"/>
  <c r="AM597" i="74" s="1"/>
  <c r="V592" i="74"/>
  <c r="V597" i="74" s="1"/>
  <c r="AC592" i="74"/>
  <c r="AC597" i="74" s="1"/>
  <c r="AW797" i="74"/>
  <c r="AN616" i="74"/>
  <c r="AN621" i="74" s="1"/>
  <c r="AI724" i="74"/>
  <c r="AI725" i="74" s="1"/>
  <c r="AI727" i="74" s="1"/>
  <c r="AI728" i="74" s="1"/>
  <c r="AM874" i="74"/>
  <c r="CL797" i="74"/>
  <c r="W816" i="74"/>
  <c r="W812" i="74"/>
  <c r="W817" i="74" s="1"/>
  <c r="BG748" i="74"/>
  <c r="X816" i="74"/>
  <c r="X812" i="74"/>
  <c r="X817" i="74" s="1"/>
  <c r="BW574" i="74"/>
  <c r="BW570" i="74"/>
  <c r="BW575" i="74" s="1"/>
  <c r="BZ593" i="74"/>
  <c r="AY725" i="74"/>
  <c r="AY727" i="74" s="1"/>
  <c r="AY728" i="74" s="1"/>
  <c r="V848" i="74"/>
  <c r="V850" i="74" s="1"/>
  <c r="V874" i="74" s="1"/>
  <c r="AT665" i="74"/>
  <c r="Y569" i="74"/>
  <c r="AX821" i="74"/>
  <c r="AF616" i="74"/>
  <c r="AF621" i="74" s="1"/>
  <c r="Q719" i="74"/>
  <c r="AK640" i="74"/>
  <c r="AK645" i="74" s="1"/>
  <c r="CA627" i="74"/>
  <c r="CA628" i="74" s="1"/>
  <c r="CA630" i="74" s="1"/>
  <c r="Z715" i="74"/>
  <c r="Z720" i="74" s="1"/>
  <c r="Z724" i="74" s="1"/>
  <c r="BR627" i="74"/>
  <c r="BR628" i="74" s="1"/>
  <c r="BR630" i="74" s="1"/>
  <c r="X640" i="74"/>
  <c r="X645" i="74" s="1"/>
  <c r="AX651" i="74"/>
  <c r="AX652" i="74" s="1"/>
  <c r="AX654" i="74" s="1"/>
  <c r="AX655" i="74" s="1"/>
  <c r="AC640" i="74"/>
  <c r="AC645" i="74" s="1"/>
  <c r="AE748" i="74"/>
  <c r="AE749" i="74" s="1"/>
  <c r="AE751" i="74" s="1"/>
  <c r="AI592" i="74"/>
  <c r="AI597" i="74" s="1"/>
  <c r="AE616" i="74"/>
  <c r="AE621" i="74" s="1"/>
  <c r="CJ665" i="74"/>
  <c r="AL640" i="74"/>
  <c r="AL645" i="74" s="1"/>
  <c r="AU797" i="74"/>
  <c r="AF592" i="74"/>
  <c r="AF597" i="74" s="1"/>
  <c r="O718" i="74"/>
  <c r="BY797" i="74"/>
  <c r="AJ715" i="74"/>
  <c r="AJ720" i="74" s="1"/>
  <c r="AJ724" i="74" s="1"/>
  <c r="AJ725" i="74" s="1"/>
  <c r="AJ727" i="74" s="1"/>
  <c r="AJ728" i="74" s="1"/>
  <c r="Z592" i="74"/>
  <c r="Z597" i="74" s="1"/>
  <c r="AK617" i="74"/>
  <c r="AK622" i="74" s="1"/>
  <c r="BH752" i="74"/>
  <c r="N865" i="74"/>
  <c r="AA719" i="74"/>
  <c r="AA715" i="74"/>
  <c r="AA720" i="74" s="1"/>
  <c r="V816" i="74"/>
  <c r="V812" i="74"/>
  <c r="V817" i="74" s="1"/>
  <c r="CM574" i="74"/>
  <c r="CM570" i="74"/>
  <c r="CM575" i="74" s="1"/>
  <c r="CA574" i="74"/>
  <c r="CA570" i="74"/>
  <c r="CA575" i="74" s="1"/>
  <c r="BP641" i="74"/>
  <c r="BA665" i="74"/>
  <c r="BT617" i="74"/>
  <c r="V724" i="74"/>
  <c r="V725" i="74" s="1"/>
  <c r="V727" i="74" s="1"/>
  <c r="V728" i="74" s="1"/>
  <c r="BU665" i="74"/>
  <c r="BM617" i="74"/>
  <c r="AG575" i="74"/>
  <c r="U725" i="74"/>
  <c r="U727" i="74" s="1"/>
  <c r="CN580" i="74"/>
  <c r="CN582" i="74" s="1"/>
  <c r="CN583" i="74" s="1"/>
  <c r="CC598" i="74"/>
  <c r="CC594" i="74"/>
  <c r="AD822" i="74"/>
  <c r="AD824" i="74" s="1"/>
  <c r="Y798" i="74"/>
  <c r="Y800" i="74" s="1"/>
  <c r="AS622" i="74"/>
  <c r="BY580" i="74"/>
  <c r="BY582" i="74" s="1"/>
  <c r="BY583" i="74" s="1"/>
  <c r="AI822" i="74"/>
  <c r="AI824" i="74" s="1"/>
  <c r="AH725" i="74"/>
  <c r="AH727" i="74" s="1"/>
  <c r="AH728" i="74" s="1"/>
  <c r="CN728" i="74"/>
  <c r="CN752" i="74"/>
  <c r="BG728" i="74"/>
  <c r="AZ801" i="74"/>
  <c r="AZ825" i="74"/>
  <c r="BL801" i="74"/>
  <c r="BL825" i="74"/>
  <c r="BZ725" i="74"/>
  <c r="BZ727" i="74" s="1"/>
  <c r="CF798" i="74"/>
  <c r="CF800" i="74" s="1"/>
  <c r="BE622" i="74"/>
  <c r="AP725" i="74"/>
  <c r="AP727" i="74"/>
  <c r="AP728" i="74" s="1"/>
  <c r="BA580" i="74"/>
  <c r="BA582" i="74" s="1"/>
  <c r="AU749" i="74"/>
  <c r="AU751" i="74" s="1"/>
  <c r="AU752" i="74" s="1"/>
  <c r="V798" i="74"/>
  <c r="V800" i="74" s="1"/>
  <c r="V801" i="74" s="1"/>
  <c r="AV580" i="74"/>
  <c r="AV582" i="74" s="1"/>
  <c r="AV583" i="74" s="1"/>
  <c r="AR725" i="74"/>
  <c r="AR727" i="74" s="1"/>
  <c r="BM580" i="74"/>
  <c r="BM582" i="74" s="1"/>
  <c r="BM583" i="74" s="1"/>
  <c r="BL559" i="74"/>
  <c r="X798" i="74"/>
  <c r="X800" i="74" s="1"/>
  <c r="AC798" i="74"/>
  <c r="AC800" i="74" s="1"/>
  <c r="AP556" i="74"/>
  <c r="AP558" i="74" s="1"/>
  <c r="AP559" i="74" s="1"/>
  <c r="BQ622" i="74"/>
  <c r="AT725" i="74"/>
  <c r="AT727" i="74" s="1"/>
  <c r="AL798" i="74"/>
  <c r="AL800" i="74" s="1"/>
  <c r="AJ749" i="74"/>
  <c r="AJ751" i="74" s="1"/>
  <c r="AO871" i="74"/>
  <c r="AO873" i="74" s="1"/>
  <c r="AO874" i="74" s="1"/>
  <c r="BR725" i="74"/>
  <c r="BR727" i="74" s="1"/>
  <c r="BR728" i="74" s="1"/>
  <c r="AL871" i="74"/>
  <c r="AL873" i="74" s="1"/>
  <c r="BA749" i="74"/>
  <c r="BA751" i="74" s="1"/>
  <c r="BA752" i="74" s="1"/>
  <c r="BS801" i="74"/>
  <c r="BS825" i="74"/>
  <c r="BT749" i="74"/>
  <c r="BT751" i="74" s="1"/>
  <c r="BT752" i="74" s="1"/>
  <c r="AO725" i="74"/>
  <c r="AO727" i="74" s="1"/>
  <c r="AO728" i="74" s="1"/>
  <c r="AP848" i="74"/>
  <c r="AP850" i="74" s="1"/>
  <c r="AP874" i="74" s="1"/>
  <c r="BM749" i="74"/>
  <c r="BM751" i="74" s="1"/>
  <c r="AD848" i="74"/>
  <c r="AD850" i="74" s="1"/>
  <c r="AD874" i="74" s="1"/>
  <c r="CL580" i="74"/>
  <c r="CL582" i="74" s="1"/>
  <c r="AL822" i="74"/>
  <c r="AL824" i="74" s="1"/>
  <c r="AA822" i="74"/>
  <c r="AA824" i="74" s="1"/>
  <c r="CF580" i="74"/>
  <c r="CF582" i="74" s="1"/>
  <c r="CF583" i="74" s="1"/>
  <c r="BC798" i="74"/>
  <c r="BC800" i="74" s="1"/>
  <c r="BG628" i="74"/>
  <c r="BG630" i="74" s="1"/>
  <c r="AM798" i="74"/>
  <c r="AM800" i="74" s="1"/>
  <c r="AM801" i="74" s="1"/>
  <c r="BI725" i="74"/>
  <c r="BI727" i="74" s="1"/>
  <c r="AE822" i="74"/>
  <c r="AE824" i="74" s="1"/>
  <c r="BQ580" i="74"/>
  <c r="AC725" i="74"/>
  <c r="AC727" i="74" s="1"/>
  <c r="AC728" i="74" s="1"/>
  <c r="BN580" i="74"/>
  <c r="BN582" i="74" s="1"/>
  <c r="BN583" i="74" s="1"/>
  <c r="AI798" i="74"/>
  <c r="AI800" i="74" s="1"/>
  <c r="AI801" i="74" s="1"/>
  <c r="AN725" i="74"/>
  <c r="AN727" i="74" s="1"/>
  <c r="AK798" i="74"/>
  <c r="AK800" i="74" s="1"/>
  <c r="AK801" i="74" s="1"/>
  <c r="BU752" i="74"/>
  <c r="BA801" i="74"/>
  <c r="BA825" i="74"/>
  <c r="BM801" i="74"/>
  <c r="BM825" i="74"/>
  <c r="CG801" i="74"/>
  <c r="AL728" i="74"/>
  <c r="W752" i="74"/>
  <c r="AS574" i="74"/>
  <c r="P569" i="74"/>
  <c r="AP664" i="74"/>
  <c r="CJ621" i="74"/>
  <c r="BR652" i="74"/>
  <c r="BR654" i="74" s="1"/>
  <c r="AL592" i="74"/>
  <c r="AB580" i="74"/>
  <c r="AB582" i="74" s="1"/>
  <c r="CN604" i="74"/>
  <c r="CN606" i="74" s="1"/>
  <c r="AK871" i="74"/>
  <c r="AK873" i="74" s="1"/>
  <c r="AK874" i="74" s="1"/>
  <c r="AZ597" i="74"/>
  <c r="BE556" i="74"/>
  <c r="Q556" i="74" s="1"/>
  <c r="Q555" i="74"/>
  <c r="AO616" i="74"/>
  <c r="CK621" i="74"/>
  <c r="CK617" i="74"/>
  <c r="CK622" i="74" s="1"/>
  <c r="AE871" i="74"/>
  <c r="AE873" i="74" s="1"/>
  <c r="AE874" i="74" s="1"/>
  <c r="AB792" i="74"/>
  <c r="AB788" i="74"/>
  <c r="AB793" i="74" s="1"/>
  <c r="BW628" i="74"/>
  <c r="BW630" i="74" s="1"/>
  <c r="O661" i="74"/>
  <c r="AG674" i="74"/>
  <c r="O674" i="74" s="1"/>
  <c r="AG663" i="74"/>
  <c r="AC580" i="74"/>
  <c r="AC582" i="74" s="1"/>
  <c r="AC583" i="74" s="1"/>
  <c r="BT535" i="74"/>
  <c r="AM640" i="74"/>
  <c r="BK822" i="74"/>
  <c r="BK824" i="74" s="1"/>
  <c r="N546" i="74"/>
  <c r="U551" i="74"/>
  <c r="CE574" i="74"/>
  <c r="CE570" i="74"/>
  <c r="CE575" i="74" s="1"/>
  <c r="BE620" i="74"/>
  <c r="Q615" i="74"/>
  <c r="BH669" i="74"/>
  <c r="Y743" i="74"/>
  <c r="Y739" i="74"/>
  <c r="Y744" i="74" s="1"/>
  <c r="AF719" i="74"/>
  <c r="AF715" i="74"/>
  <c r="AF720" i="74" s="1"/>
  <c r="AR664" i="74"/>
  <c r="AR669" i="74" s="1"/>
  <c r="BD597" i="74"/>
  <c r="BO676" i="74"/>
  <c r="BO678" i="74" s="1"/>
  <c r="BE725" i="74"/>
  <c r="CE676" i="74"/>
  <c r="CE678" i="74" s="1"/>
  <c r="BQ620" i="74"/>
  <c r="R615" i="74"/>
  <c r="BM604" i="74"/>
  <c r="BM606" i="74" s="1"/>
  <c r="BS725" i="74"/>
  <c r="BS727" i="74" s="1"/>
  <c r="BS728" i="74" s="1"/>
  <c r="AO739" i="74"/>
  <c r="AO744" i="74" s="1"/>
  <c r="AO748" i="74" s="1"/>
  <c r="R816" i="74"/>
  <c r="S644" i="74"/>
  <c r="CG570" i="74"/>
  <c r="CG575" i="74" s="1"/>
  <c r="CG579" i="74" s="1"/>
  <c r="AK739" i="74"/>
  <c r="AK744" i="74" s="1"/>
  <c r="Y616" i="74"/>
  <c r="Y621" i="74" s="1"/>
  <c r="BQ777" i="74"/>
  <c r="R777" i="74" s="1"/>
  <c r="R941" i="74" s="1"/>
  <c r="H33" i="74" s="1"/>
  <c r="G19" i="75" s="1"/>
  <c r="BP676" i="74"/>
  <c r="BP678" i="74" s="1"/>
  <c r="S573" i="74"/>
  <c r="AG871" i="74"/>
  <c r="R965" i="74"/>
  <c r="H42" i="74"/>
  <c r="G28" i="75" s="1"/>
  <c r="Y665" i="74"/>
  <c r="BE646" i="74"/>
  <c r="AE569" i="74"/>
  <c r="AS556" i="74"/>
  <c r="AS558" i="74" s="1"/>
  <c r="P555" i="74"/>
  <c r="CA822" i="74"/>
  <c r="CA824" i="74" s="1"/>
  <c r="CA825" i="74" s="1"/>
  <c r="AJ556" i="74"/>
  <c r="AJ558" i="74" s="1"/>
  <c r="AJ559" i="74" s="1"/>
  <c r="W592" i="74"/>
  <c r="W597" i="74" s="1"/>
  <c r="BV641" i="74"/>
  <c r="AO665" i="74"/>
  <c r="O865" i="74"/>
  <c r="AT556" i="74"/>
  <c r="AT558" i="74" s="1"/>
  <c r="AT559" i="74" s="1"/>
  <c r="BZ641" i="74"/>
  <c r="CD641" i="74"/>
  <c r="Q596" i="74"/>
  <c r="Q715" i="74"/>
  <c r="O572" i="74"/>
  <c r="R715" i="74"/>
  <c r="BD665" i="74"/>
  <c r="AE798" i="74"/>
  <c r="AE800" i="74" s="1"/>
  <c r="X641" i="74"/>
  <c r="BU641" i="74"/>
  <c r="AY665" i="74"/>
  <c r="U742" i="74"/>
  <c r="N742" i="74" s="1"/>
  <c r="N737" i="74"/>
  <c r="U738" i="74"/>
  <c r="Z569" i="74"/>
  <c r="AA665" i="74"/>
  <c r="AQ592" i="74"/>
  <c r="AQ597" i="74" s="1"/>
  <c r="CG641" i="74"/>
  <c r="W871" i="74"/>
  <c r="W873" i="74" s="1"/>
  <c r="Q644" i="74"/>
  <c r="BW666" i="74"/>
  <c r="BW671" i="74" s="1"/>
  <c r="BW675" i="74" s="1"/>
  <c r="CH822" i="74"/>
  <c r="CH824" i="74" s="1"/>
  <c r="CH825" i="74" s="1"/>
  <c r="BH593" i="74"/>
  <c r="AQ641" i="74"/>
  <c r="BL617" i="74"/>
  <c r="BE743" i="74"/>
  <c r="Q738" i="74"/>
  <c r="AZ665" i="74"/>
  <c r="CC535" i="74"/>
  <c r="S535" i="74" s="1"/>
  <c r="S928" i="74" s="1"/>
  <c r="BN617" i="74"/>
  <c r="BN622" i="74" s="1"/>
  <c r="AS798" i="74"/>
  <c r="CL556" i="74"/>
  <c r="CL558" i="74" s="1"/>
  <c r="CL559" i="74" s="1"/>
  <c r="BT665" i="74"/>
  <c r="CB798" i="74"/>
  <c r="CB800" i="74" s="1"/>
  <c r="CB801" i="74" s="1"/>
  <c r="BN593" i="74"/>
  <c r="AG720" i="74"/>
  <c r="AG724" i="74" s="1"/>
  <c r="U645" i="74"/>
  <c r="U644" i="74"/>
  <c r="N639" i="74"/>
  <c r="CC701" i="74"/>
  <c r="BP593" i="74"/>
  <c r="AO556" i="74"/>
  <c r="AO558" i="74" s="1"/>
  <c r="AO559" i="74" s="1"/>
  <c r="AJ640" i="74"/>
  <c r="AJ645" i="74" s="1"/>
  <c r="P573" i="74"/>
  <c r="CL665" i="74"/>
  <c r="AL641" i="74"/>
  <c r="BA617" i="74"/>
  <c r="AH592" i="74"/>
  <c r="AH597" i="74" s="1"/>
  <c r="BH850" i="74"/>
  <c r="BO641" i="74"/>
  <c r="AV725" i="74"/>
  <c r="AV727" i="74" s="1"/>
  <c r="AQ616" i="74"/>
  <c r="AC664" i="74"/>
  <c r="AM616" i="74"/>
  <c r="S792" i="74"/>
  <c r="CE797" i="74"/>
  <c r="S797" i="74" s="1"/>
  <c r="AQ665" i="74"/>
  <c r="CC620" i="74"/>
  <c r="S615" i="74"/>
  <c r="AS646" i="74"/>
  <c r="BH798" i="74"/>
  <c r="BH800" i="74" s="1"/>
  <c r="BH801" i="74" s="1"/>
  <c r="BO749" i="74"/>
  <c r="BO751" i="74" s="1"/>
  <c r="BO752" i="74" s="1"/>
  <c r="S793" i="74"/>
  <c r="BQ821" i="74"/>
  <c r="S663" i="74"/>
  <c r="CC668" i="74"/>
  <c r="CC664" i="74"/>
  <c r="CC665" i="74" s="1"/>
  <c r="AR640" i="74"/>
  <c r="AR645" i="74" s="1"/>
  <c r="AG920" i="74"/>
  <c r="O920" i="74" s="1"/>
  <c r="O919" i="74"/>
  <c r="CB617" i="74"/>
  <c r="R817" i="74"/>
  <c r="S645" i="74"/>
  <c r="N838" i="74"/>
  <c r="AL664" i="74"/>
  <c r="AL669" i="74" s="1"/>
  <c r="AC616" i="74"/>
  <c r="AC621" i="74" s="1"/>
  <c r="AH616" i="74"/>
  <c r="P788" i="74"/>
  <c r="BH822" i="74"/>
  <c r="BH824" i="74" s="1"/>
  <c r="AE640" i="74"/>
  <c r="AE645" i="74" s="1"/>
  <c r="BS570" i="74"/>
  <c r="BS575" i="74" s="1"/>
  <c r="R575" i="74" s="1"/>
  <c r="U793" i="74"/>
  <c r="R743" i="74"/>
  <c r="CD801" i="74"/>
  <c r="BP825" i="74"/>
  <c r="AQ752" i="74"/>
  <c r="AK573" i="74"/>
  <c r="O573" i="74" s="1"/>
  <c r="BH621" i="74"/>
  <c r="AX749" i="74"/>
  <c r="AX751" i="74" s="1"/>
  <c r="BY749" i="74"/>
  <c r="BY751" i="74" s="1"/>
  <c r="BY752" i="74" s="1"/>
  <c r="BW822" i="74"/>
  <c r="BW824" i="74" s="1"/>
  <c r="BW825" i="74" s="1"/>
  <c r="CI597" i="74"/>
  <c r="BX669" i="74"/>
  <c r="BX666" i="74"/>
  <c r="BX671" i="74" s="1"/>
  <c r="BI604" i="74"/>
  <c r="BI606" i="74" s="1"/>
  <c r="BZ622" i="74"/>
  <c r="BZ618" i="74"/>
  <c r="BZ623" i="74" s="1"/>
  <c r="U920" i="74"/>
  <c r="N920" i="74" s="1"/>
  <c r="N919" i="74"/>
  <c r="BB574" i="74"/>
  <c r="BB570" i="74"/>
  <c r="BB575" i="74" s="1"/>
  <c r="AB725" i="74"/>
  <c r="AB727" i="74" s="1"/>
  <c r="BE896" i="74"/>
  <c r="Q896" i="74" s="1"/>
  <c r="Q895" i="74"/>
  <c r="U821" i="74"/>
  <c r="N814" i="74"/>
  <c r="P644" i="74"/>
  <c r="BG597" i="74"/>
  <c r="BB622" i="74"/>
  <c r="BB618" i="74"/>
  <c r="BB623" i="74" s="1"/>
  <c r="BM645" i="74"/>
  <c r="BM642" i="74"/>
  <c r="BM647" i="74" s="1"/>
  <c r="BW645" i="74"/>
  <c r="CL622" i="74"/>
  <c r="CL618" i="74"/>
  <c r="CL623" i="74" s="1"/>
  <c r="CI725" i="74"/>
  <c r="CI727" i="74" s="1"/>
  <c r="CI728" i="74" s="1"/>
  <c r="CH556" i="74"/>
  <c r="CH558" i="74" s="1"/>
  <c r="CH559" i="74" s="1"/>
  <c r="BV628" i="74"/>
  <c r="BV630" i="74" s="1"/>
  <c r="BL597" i="74"/>
  <c r="BL594" i="74"/>
  <c r="BL599" i="74" s="1"/>
  <c r="CI847" i="74"/>
  <c r="S843" i="74"/>
  <c r="AF848" i="74"/>
  <c r="AF850" i="74" s="1"/>
  <c r="AF874" i="74" s="1"/>
  <c r="Z616" i="74"/>
  <c r="Z621" i="74" s="1"/>
  <c r="BE598" i="74"/>
  <c r="AX622" i="74"/>
  <c r="AX618" i="74"/>
  <c r="AX623" i="74" s="1"/>
  <c r="AE556" i="74"/>
  <c r="AE558" i="74" s="1"/>
  <c r="AE559" i="74" s="1"/>
  <c r="AZ570" i="74"/>
  <c r="AZ575" i="74" s="1"/>
  <c r="AZ579" i="74" s="1"/>
  <c r="BK597" i="74"/>
  <c r="CE749" i="74"/>
  <c r="CE751" i="74" s="1"/>
  <c r="CM676" i="74"/>
  <c r="CM678" i="74" s="1"/>
  <c r="CM597" i="74"/>
  <c r="BB652" i="74"/>
  <c r="BB654" i="74" s="1"/>
  <c r="BD725" i="74"/>
  <c r="BD727" i="74" s="1"/>
  <c r="BT580" i="74"/>
  <c r="BT582" i="74" s="1"/>
  <c r="BT583" i="74" s="1"/>
  <c r="AQ556" i="74"/>
  <c r="Q532" i="74"/>
  <c r="BE533" i="74"/>
  <c r="Q533" i="74" s="1"/>
  <c r="BF822" i="74"/>
  <c r="BF824" i="74" s="1"/>
  <c r="BF825" i="74" s="1"/>
  <c r="W556" i="74"/>
  <c r="W558" i="74" s="1"/>
  <c r="W559" i="74" s="1"/>
  <c r="AL775" i="74"/>
  <c r="AL777" i="74" s="1"/>
  <c r="O777" i="74" s="1"/>
  <c r="O941" i="74" s="1"/>
  <c r="E33" i="74" s="1"/>
  <c r="D19" i="75" s="1"/>
  <c r="O838" i="74"/>
  <c r="CI593" i="74"/>
  <c r="CI598" i="74" s="1"/>
  <c r="BE647" i="74"/>
  <c r="Y533" i="74"/>
  <c r="Y535" i="74" s="1"/>
  <c r="Y559" i="74" s="1"/>
  <c r="O550" i="74"/>
  <c r="R596" i="74"/>
  <c r="BI848" i="74"/>
  <c r="Q848" i="74" s="1"/>
  <c r="AA569" i="74"/>
  <c r="AW593" i="74"/>
  <c r="AV593" i="74"/>
  <c r="AP816" i="74"/>
  <c r="AP812" i="74"/>
  <c r="AP817" i="74" s="1"/>
  <c r="AD593" i="74"/>
  <c r="AD598" i="74" s="1"/>
  <c r="AF792" i="74"/>
  <c r="N792" i="74" s="1"/>
  <c r="AF788" i="74"/>
  <c r="AF793" i="74" s="1"/>
  <c r="AM816" i="74"/>
  <c r="AM812" i="74"/>
  <c r="AM817" i="74" s="1"/>
  <c r="BQ646" i="74"/>
  <c r="O551" i="74"/>
  <c r="AP569" i="74"/>
  <c r="CC597" i="74"/>
  <c r="S592" i="74"/>
  <c r="AM569" i="74"/>
  <c r="CF665" i="74"/>
  <c r="AA616" i="74"/>
  <c r="AA621" i="74" s="1"/>
  <c r="AY749" i="74"/>
  <c r="AY751" i="74" s="1"/>
  <c r="Z812" i="74"/>
  <c r="R720" i="74"/>
  <c r="BQ724" i="74"/>
  <c r="CI622" i="74"/>
  <c r="CI618" i="74"/>
  <c r="CI623" i="74" s="1"/>
  <c r="AG742" i="74"/>
  <c r="O742" i="74" s="1"/>
  <c r="O737" i="74"/>
  <c r="AG738" i="74"/>
  <c r="BY593" i="74"/>
  <c r="CL749" i="74"/>
  <c r="CL751" i="74" s="1"/>
  <c r="CJ848" i="74"/>
  <c r="CJ850" i="74" s="1"/>
  <c r="CJ874" i="74" s="1"/>
  <c r="Q573" i="74"/>
  <c r="D42" i="74"/>
  <c r="C28" i="75" s="1"/>
  <c r="AN665" i="74"/>
  <c r="N602" i="74"/>
  <c r="BI617" i="74"/>
  <c r="BP749" i="74"/>
  <c r="BP751" i="74" s="1"/>
  <c r="BQ866" i="74"/>
  <c r="R866" i="74" s="1"/>
  <c r="R861" i="74"/>
  <c r="P865" i="74"/>
  <c r="AS870" i="74"/>
  <c r="BO617" i="74"/>
  <c r="BO622" i="74" s="1"/>
  <c r="X719" i="74"/>
  <c r="N719" i="74" s="1"/>
  <c r="X715" i="74"/>
  <c r="W616" i="74"/>
  <c r="W621" i="74" s="1"/>
  <c r="Q739" i="74"/>
  <c r="BE744" i="74"/>
  <c r="Q744" i="74" s="1"/>
  <c r="BE575" i="74"/>
  <c r="Q575" i="74" s="1"/>
  <c r="Q570" i="74"/>
  <c r="BC665" i="74"/>
  <c r="AX798" i="74"/>
  <c r="AX800" i="74" s="1"/>
  <c r="BY641" i="74"/>
  <c r="BC593" i="74"/>
  <c r="R644" i="74"/>
  <c r="BD848" i="74"/>
  <c r="BD850" i="74" s="1"/>
  <c r="BD874" i="74" s="1"/>
  <c r="AW641" i="74"/>
  <c r="CI749" i="74"/>
  <c r="CI751" i="74" s="1"/>
  <c r="CI641" i="74"/>
  <c r="S596" i="74"/>
  <c r="BB665" i="74"/>
  <c r="U646" i="74"/>
  <c r="AG793" i="74"/>
  <c r="V665" i="74"/>
  <c r="V670" i="74" s="1"/>
  <c r="V593" i="74"/>
  <c r="V598" i="74" s="1"/>
  <c r="CE642" i="74"/>
  <c r="CE647" i="74" s="1"/>
  <c r="CE651" i="74" s="1"/>
  <c r="O774" i="74"/>
  <c r="CC647" i="74"/>
  <c r="CA556" i="74"/>
  <c r="CA558" i="74" s="1"/>
  <c r="BG665" i="74"/>
  <c r="P792" i="74"/>
  <c r="S965" i="74"/>
  <c r="I42" i="74"/>
  <c r="H28" i="75" s="1"/>
  <c r="AR570" i="74"/>
  <c r="AR575" i="74" s="1"/>
  <c r="AR579" i="74" s="1"/>
  <c r="CJ725" i="74"/>
  <c r="CJ727" i="74" s="1"/>
  <c r="BE793" i="74"/>
  <c r="Q793" i="74" s="1"/>
  <c r="Q788" i="74"/>
  <c r="AU798" i="74"/>
  <c r="AU800" i="74" s="1"/>
  <c r="CH593" i="74"/>
  <c r="BZ583" i="74"/>
  <c r="AY593" i="74"/>
  <c r="CB593" i="74"/>
  <c r="AF593" i="74"/>
  <c r="R719" i="74"/>
  <c r="O602" i="74"/>
  <c r="R663" i="74"/>
  <c r="BQ668" i="74"/>
  <c r="AC739" i="74"/>
  <c r="AC744" i="74" s="1"/>
  <c r="AC748" i="74" s="1"/>
  <c r="O650" i="74"/>
  <c r="P640" i="74"/>
  <c r="CC574" i="74"/>
  <c r="S574" i="74" s="1"/>
  <c r="S569" i="74"/>
  <c r="N568" i="74"/>
  <c r="N842" i="74"/>
  <c r="X847" i="74"/>
  <c r="AI616" i="74"/>
  <c r="AI621" i="74" s="1"/>
  <c r="R812" i="74"/>
  <c r="S640" i="74"/>
  <c r="W847" i="74"/>
  <c r="N843" i="74"/>
  <c r="Y593" i="74"/>
  <c r="P793" i="74"/>
  <c r="P715" i="74"/>
  <c r="Q663" i="74"/>
  <c r="BE668" i="74"/>
  <c r="BS579" i="74"/>
  <c r="BB752" i="74"/>
  <c r="U866" i="74"/>
  <c r="N866" i="74" s="1"/>
  <c r="N861" i="74"/>
  <c r="CC570" i="74"/>
  <c r="CD622" i="74"/>
  <c r="CD618" i="74"/>
  <c r="CD623" i="74" s="1"/>
  <c r="BQ598" i="74"/>
  <c r="BD574" i="74"/>
  <c r="BD570" i="74"/>
  <c r="BD575" i="74" s="1"/>
  <c r="AL573" i="74"/>
  <c r="AL570" i="74"/>
  <c r="AL575" i="74" s="1"/>
  <c r="CG597" i="74"/>
  <c r="CG594" i="74"/>
  <c r="CG599" i="74" s="1"/>
  <c r="U574" i="74"/>
  <c r="BE621" i="74"/>
  <c r="Q616" i="74"/>
  <c r="S788" i="74"/>
  <c r="W702" i="74"/>
  <c r="W704" i="74" s="1"/>
  <c r="W728" i="74" s="1"/>
  <c r="BT559" i="74"/>
  <c r="BE599" i="74"/>
  <c r="AK641" i="74"/>
  <c r="AK646" i="74" s="1"/>
  <c r="BQ621" i="74"/>
  <c r="R621" i="74" s="1"/>
  <c r="R616" i="74"/>
  <c r="BS676" i="74"/>
  <c r="BS678" i="74" s="1"/>
  <c r="AT597" i="74"/>
  <c r="AT594" i="74"/>
  <c r="AT599" i="74" s="1"/>
  <c r="BR669" i="74"/>
  <c r="BR666" i="74"/>
  <c r="BR671" i="74" s="1"/>
  <c r="BG822" i="74"/>
  <c r="BG824" i="74" s="1"/>
  <c r="BG825" i="74" s="1"/>
  <c r="BV597" i="74"/>
  <c r="BV594" i="74"/>
  <c r="BV599" i="74" s="1"/>
  <c r="AK748" i="74"/>
  <c r="CG669" i="74"/>
  <c r="AG556" i="74"/>
  <c r="AG558" i="74" s="1"/>
  <c r="BH617" i="74"/>
  <c r="BH622" i="74" s="1"/>
  <c r="AY556" i="74"/>
  <c r="AY558" i="74" s="1"/>
  <c r="AY559" i="74" s="1"/>
  <c r="AH847" i="74"/>
  <c r="O843" i="74"/>
  <c r="N714" i="74"/>
  <c r="P596" i="74"/>
  <c r="CI556" i="74"/>
  <c r="CI558" i="74" s="1"/>
  <c r="BM666" i="74"/>
  <c r="BM671" i="74" s="1"/>
  <c r="BM675" i="74" s="1"/>
  <c r="AD743" i="74"/>
  <c r="AD739" i="74"/>
  <c r="AD744" i="74" s="1"/>
  <c r="P821" i="74"/>
  <c r="AS822" i="74"/>
  <c r="BG593" i="74"/>
  <c r="BG598" i="74" s="1"/>
  <c r="BQ647" i="74"/>
  <c r="O546" i="74"/>
  <c r="S865" i="74"/>
  <c r="CC870" i="74"/>
  <c r="AA871" i="74"/>
  <c r="AA873" i="74" s="1"/>
  <c r="AA874" i="74" s="1"/>
  <c r="CB749" i="74"/>
  <c r="CB751" i="74" s="1"/>
  <c r="Q592" i="74"/>
  <c r="AG535" i="74"/>
  <c r="O532" i="74"/>
  <c r="AG533" i="74"/>
  <c r="O533" i="74" s="1"/>
  <c r="V641" i="74"/>
  <c r="V646" i="74" s="1"/>
  <c r="AZ848" i="74"/>
  <c r="AZ850" i="74" s="1"/>
  <c r="AZ874" i="74" s="1"/>
  <c r="F36" i="74"/>
  <c r="E22" i="75" s="1"/>
  <c r="BK593" i="74"/>
  <c r="BK598" i="74" s="1"/>
  <c r="CM593" i="74"/>
  <c r="CM598" i="74" s="1"/>
  <c r="AG817" i="74"/>
  <c r="AJ822" i="74"/>
  <c r="AJ824" i="74" s="1"/>
  <c r="AJ825" i="74" s="1"/>
  <c r="CC559" i="74"/>
  <c r="BJ798" i="74"/>
  <c r="BJ800" i="74" s="1"/>
  <c r="BJ801" i="74" s="1"/>
  <c r="BF617" i="74"/>
  <c r="BF622" i="74" s="1"/>
  <c r="CH666" i="74"/>
  <c r="CH671" i="74" s="1"/>
  <c r="CH675" i="74" s="1"/>
  <c r="BV666" i="74"/>
  <c r="BV671" i="74" s="1"/>
  <c r="BV675" i="74" s="1"/>
  <c r="AV618" i="74"/>
  <c r="AV623" i="74" s="1"/>
  <c r="AV627" i="74" s="1"/>
  <c r="BI666" i="74"/>
  <c r="BI671" i="74" s="1"/>
  <c r="BI675" i="74" s="1"/>
  <c r="BD822" i="74"/>
  <c r="BD824" i="74" s="1"/>
  <c r="BD825" i="74" s="1"/>
  <c r="BM725" i="74"/>
  <c r="BM727" i="74" s="1"/>
  <c r="BM728" i="74" s="1"/>
  <c r="CA593" i="74"/>
  <c r="BZ665" i="74"/>
  <c r="BF666" i="74"/>
  <c r="BF671" i="74" s="1"/>
  <c r="BF675" i="74" s="1"/>
  <c r="R573" i="74"/>
  <c r="AS743" i="74"/>
  <c r="P738" i="74"/>
  <c r="AS739" i="74"/>
  <c r="R792" i="74"/>
  <c r="BX797" i="74"/>
  <c r="AN556" i="74"/>
  <c r="AN558" i="74" s="1"/>
  <c r="AN559" i="74" s="1"/>
  <c r="O842" i="74"/>
  <c r="AJ847" i="74"/>
  <c r="R645" i="74"/>
  <c r="BX641" i="74"/>
  <c r="S816" i="74"/>
  <c r="BW593" i="74"/>
  <c r="CM749" i="74"/>
  <c r="CM751" i="74" s="1"/>
  <c r="CM752" i="74" s="1"/>
  <c r="AO570" i="74"/>
  <c r="AO575" i="74" s="1"/>
  <c r="AO579" i="74" s="1"/>
  <c r="N650" i="74"/>
  <c r="S812" i="74"/>
  <c r="AX594" i="74"/>
  <c r="AX599" i="74" s="1"/>
  <c r="AX603" i="74" s="1"/>
  <c r="AK593" i="74"/>
  <c r="AK598" i="74" s="1"/>
  <c r="AI748" i="74"/>
  <c r="CB822" i="74"/>
  <c r="CB824" i="74"/>
  <c r="O568" i="74"/>
  <c r="AC593" i="74"/>
  <c r="AC598" i="74" s="1"/>
  <c r="AN822" i="74"/>
  <c r="AN824" i="74" s="1"/>
  <c r="AN825" i="74" s="1"/>
  <c r="AG816" i="74"/>
  <c r="O816" i="74" s="1"/>
  <c r="O811" i="74"/>
  <c r="AW798" i="74"/>
  <c r="AW800" i="74" s="1"/>
  <c r="CB642" i="74"/>
  <c r="CB647" i="74" s="1"/>
  <c r="CB651" i="74" s="1"/>
  <c r="AM715" i="74"/>
  <c r="AM720" i="74" s="1"/>
  <c r="AS621" i="74"/>
  <c r="P616" i="74"/>
  <c r="N741" i="74"/>
  <c r="BU617" i="74"/>
  <c r="V574" i="74"/>
  <c r="V570" i="74"/>
  <c r="V575" i="74" s="1"/>
  <c r="AS775" i="74"/>
  <c r="P775" i="74" s="1"/>
  <c r="P774" i="74"/>
  <c r="AG596" i="74"/>
  <c r="O591" i="74"/>
  <c r="N718" i="74"/>
  <c r="U626" i="74"/>
  <c r="N626" i="74" s="1"/>
  <c r="U615" i="74"/>
  <c r="N613" i="74"/>
  <c r="AG644" i="74"/>
  <c r="O639" i="74"/>
  <c r="CC621" i="74"/>
  <c r="S616" i="74"/>
  <c r="N811" i="74"/>
  <c r="AO792" i="74"/>
  <c r="AO788" i="74"/>
  <c r="AO793" i="74" s="1"/>
  <c r="BY798" i="74"/>
  <c r="BY800" i="74" s="1"/>
  <c r="O814" i="74"/>
  <c r="P720" i="74"/>
  <c r="AO812" i="74"/>
  <c r="AO817" i="74" s="1"/>
  <c r="AO821" i="74" s="1"/>
  <c r="E42" i="74"/>
  <c r="D28" i="75" s="1"/>
  <c r="N787" i="74"/>
  <c r="R739" i="74"/>
  <c r="BQ744" i="74"/>
  <c r="R744" i="74" s="1"/>
  <c r="BO825" i="74"/>
  <c r="BR848" i="74"/>
  <c r="R848" i="74" s="1"/>
  <c r="R847" i="74"/>
  <c r="CM652" i="74"/>
  <c r="CM654" i="74" s="1"/>
  <c r="AG626" i="74"/>
  <c r="O626" i="74" s="1"/>
  <c r="O613" i="74"/>
  <c r="AG615" i="74"/>
  <c r="AG616" i="74" s="1"/>
  <c r="R535" i="74"/>
  <c r="R928" i="74" s="1"/>
  <c r="BA604" i="74"/>
  <c r="BA606" i="74" s="1"/>
  <c r="AS668" i="74"/>
  <c r="P663" i="74"/>
  <c r="AS664" i="74"/>
  <c r="BN821" i="74"/>
  <c r="Y640" i="74"/>
  <c r="Y645" i="74" s="1"/>
  <c r="AS598" i="74"/>
  <c r="CA652" i="74"/>
  <c r="CA654" i="74" s="1"/>
  <c r="BL645" i="74"/>
  <c r="BL642" i="74"/>
  <c r="BL647" i="74" s="1"/>
  <c r="S777" i="74"/>
  <c r="S941" i="74" s="1"/>
  <c r="I33" i="74" s="1"/>
  <c r="H19" i="75" s="1"/>
  <c r="AO640" i="74"/>
  <c r="AO645" i="74" s="1"/>
  <c r="BX597" i="74"/>
  <c r="BX594" i="74"/>
  <c r="BX599" i="74" s="1"/>
  <c r="BO597" i="74"/>
  <c r="BO594" i="74"/>
  <c r="BO599" i="74" s="1"/>
  <c r="AP665" i="74"/>
  <c r="AP670" i="74" s="1"/>
  <c r="BL676" i="74"/>
  <c r="BL678" i="74" s="1"/>
  <c r="BT597" i="74"/>
  <c r="BT594" i="74"/>
  <c r="BT599" i="74" s="1"/>
  <c r="BJ597" i="74"/>
  <c r="AW621" i="74"/>
  <c r="AW618" i="74"/>
  <c r="AW623" i="74" s="1"/>
  <c r="AL593" i="74"/>
  <c r="AL598" i="74" s="1"/>
  <c r="BS628" i="74"/>
  <c r="BS630" i="74" s="1"/>
  <c r="X573" i="74"/>
  <c r="N573" i="74" s="1"/>
  <c r="X570" i="74"/>
  <c r="X575" i="74" s="1"/>
  <c r="AZ593" i="74"/>
  <c r="AZ598" i="74" s="1"/>
  <c r="AS597" i="74"/>
  <c r="P592" i="74"/>
  <c r="AS594" i="74"/>
  <c r="AS922" i="74"/>
  <c r="P922" i="74" s="1"/>
  <c r="P950" i="74" s="1"/>
  <c r="F43" i="74" s="1"/>
  <c r="E29" i="75" s="1"/>
  <c r="AO617" i="74"/>
  <c r="AO622" i="74" s="1"/>
  <c r="BU604" i="74"/>
  <c r="BU606" i="74" s="1"/>
  <c r="AU622" i="74"/>
  <c r="AU618" i="74"/>
  <c r="AU623" i="74" s="1"/>
  <c r="BQ594" i="74"/>
  <c r="AP592" i="74"/>
  <c r="AP597" i="74" s="1"/>
  <c r="AF664" i="74"/>
  <c r="AF669" i="74" s="1"/>
  <c r="CJ597" i="74"/>
  <c r="CJ594" i="74"/>
  <c r="CJ599" i="74" s="1"/>
  <c r="BA556" i="74"/>
  <c r="BA558" i="74" s="1"/>
  <c r="BA559" i="74" s="1"/>
  <c r="BS597" i="74"/>
  <c r="BS594" i="74"/>
  <c r="BS599" i="74" s="1"/>
  <c r="CJ821" i="74"/>
  <c r="AM641" i="74"/>
  <c r="AM646" i="74" s="1"/>
  <c r="BE816" i="74"/>
  <c r="Q811" i="74"/>
  <c r="BE812" i="74"/>
  <c r="AN573" i="74"/>
  <c r="AN570" i="74"/>
  <c r="AN575" i="74" s="1"/>
  <c r="BP621" i="74"/>
  <c r="BP618" i="74"/>
  <c r="BP623" i="74" s="1"/>
  <c r="BE618" i="74"/>
  <c r="CI798" i="74"/>
  <c r="CI800" i="74" s="1"/>
  <c r="BW725" i="74"/>
  <c r="BW727" i="74" s="1"/>
  <c r="CG749" i="74"/>
  <c r="CG751" i="74" s="1"/>
  <c r="AQ580" i="74"/>
  <c r="AQ582" i="74" s="1"/>
  <c r="BF652" i="74"/>
  <c r="BF654" i="74" s="1"/>
  <c r="CM617" i="74"/>
  <c r="CM622" i="74" s="1"/>
  <c r="CC743" i="74"/>
  <c r="S743" i="74" s="1"/>
  <c r="S738" i="74"/>
  <c r="CC739" i="74"/>
  <c r="AR665" i="74"/>
  <c r="AR670" i="74" s="1"/>
  <c r="X616" i="74"/>
  <c r="AU645" i="74"/>
  <c r="BD593" i="74"/>
  <c r="BD598" i="74" s="1"/>
  <c r="BB597" i="74"/>
  <c r="AY628" i="74"/>
  <c r="AY630" i="74" s="1"/>
  <c r="CC798" i="74"/>
  <c r="CC800" i="74" s="1"/>
  <c r="BQ618" i="74"/>
  <c r="AJ580" i="74"/>
  <c r="AJ582" i="74" s="1"/>
  <c r="AA592" i="74"/>
  <c r="CN669" i="74"/>
  <c r="AG574" i="74"/>
  <c r="AB640" i="74"/>
  <c r="Y617" i="74"/>
  <c r="Y622" i="74" s="1"/>
  <c r="AD580" i="74"/>
  <c r="AD582" i="74" s="1"/>
  <c r="AD583" i="74" s="1"/>
  <c r="CK652" i="74"/>
  <c r="CK654" i="74" s="1"/>
  <c r="AZ621" i="74"/>
  <c r="AZ618" i="74"/>
  <c r="AZ623" i="74" s="1"/>
  <c r="AH812" i="74"/>
  <c r="AH817" i="74" s="1"/>
  <c r="AH821" i="74" s="1"/>
  <c r="AE664" i="74"/>
  <c r="AK569" i="74"/>
  <c r="AK574" i="74" s="1"/>
  <c r="AA640" i="74"/>
  <c r="CJ617" i="74"/>
  <c r="CJ622" i="74" s="1"/>
  <c r="BJ593" i="74"/>
  <c r="BJ598" i="74" s="1"/>
  <c r="BY666" i="74"/>
  <c r="BY671" i="74" s="1"/>
  <c r="BY675" i="74" s="1"/>
  <c r="AN640" i="74"/>
  <c r="CC821" i="74"/>
  <c r="R592" i="74"/>
  <c r="AP616" i="74"/>
  <c r="BR822" i="74"/>
  <c r="BR824" i="74" s="1"/>
  <c r="BR825" i="74" s="1"/>
  <c r="AJ871" i="74"/>
  <c r="AJ873" i="74" s="1"/>
  <c r="CD749" i="74"/>
  <c r="CD751" i="74" s="1"/>
  <c r="CD752" i="74" s="1"/>
  <c r="CH641" i="74"/>
  <c r="W593" i="74"/>
  <c r="W598" i="74" s="1"/>
  <c r="CI665" i="74"/>
  <c r="BN618" i="74"/>
  <c r="BN623" i="74" s="1"/>
  <c r="BV821" i="74"/>
  <c r="AM664" i="74"/>
  <c r="AM669" i="74" s="1"/>
  <c r="AS898" i="74"/>
  <c r="P898" i="74" s="1"/>
  <c r="P949" i="74" s="1"/>
  <c r="N572" i="74"/>
  <c r="AT641" i="74"/>
  <c r="BW641" i="74"/>
  <c r="BW646" i="74" s="1"/>
  <c r="BH665" i="74"/>
  <c r="BH670" i="74" s="1"/>
  <c r="AB592" i="74"/>
  <c r="AB597" i="74" s="1"/>
  <c r="CG725" i="74"/>
  <c r="CG727" i="74" s="1"/>
  <c r="CG728" i="74" s="1"/>
  <c r="BE775" i="74"/>
  <c r="Q775" i="74" s="1"/>
  <c r="Q774" i="74"/>
  <c r="BE777" i="74"/>
  <c r="Q777" i="74" s="1"/>
  <c r="Q941" i="74" s="1"/>
  <c r="G33" i="74" s="1"/>
  <c r="F19" i="75" s="1"/>
  <c r="AD640" i="74"/>
  <c r="AD645" i="74" s="1"/>
  <c r="AU641" i="74"/>
  <c r="AU646" i="74" s="1"/>
  <c r="AB847" i="74"/>
  <c r="BB593" i="74"/>
  <c r="BB598" i="74" s="1"/>
  <c r="AE592" i="74"/>
  <c r="AW666" i="74"/>
  <c r="AW671" i="74" s="1"/>
  <c r="AW675" i="74" s="1"/>
  <c r="BA641" i="74"/>
  <c r="CN665" i="74"/>
  <c r="CN670" i="74" s="1"/>
  <c r="BN641" i="74"/>
  <c r="Q641" i="74" s="1"/>
  <c r="Q720" i="74"/>
  <c r="AB664" i="74"/>
  <c r="AS725" i="74"/>
  <c r="P724" i="74"/>
  <c r="AG697" i="74"/>
  <c r="O697" i="74" s="1"/>
  <c r="O692" i="74"/>
  <c r="CG665" i="74"/>
  <c r="CG670" i="74" s="1"/>
  <c r="BR748" i="74"/>
  <c r="Q866" i="74"/>
  <c r="BE870" i="74"/>
  <c r="O741" i="74"/>
  <c r="AN592" i="74"/>
  <c r="AN597" i="74" s="1"/>
  <c r="AH556" i="74"/>
  <c r="AH558" i="74"/>
  <c r="AH559" i="74" s="1"/>
  <c r="BS641" i="74"/>
  <c r="BJ822" i="74"/>
  <c r="BJ824" i="74" s="1"/>
  <c r="CL641" i="74"/>
  <c r="BG642" i="74"/>
  <c r="BG647" i="74" s="1"/>
  <c r="BG651" i="74" s="1"/>
  <c r="BD641" i="74"/>
  <c r="R569" i="74"/>
  <c r="AY641" i="74"/>
  <c r="Q640" i="74"/>
  <c r="U597" i="74"/>
  <c r="U596" i="74"/>
  <c r="N591" i="74"/>
  <c r="BF593" i="74"/>
  <c r="CE618" i="74"/>
  <c r="CE623" i="74" s="1"/>
  <c r="CE627" i="74" s="1"/>
  <c r="AS647" i="74"/>
  <c r="AH569" i="74"/>
  <c r="CH725" i="74"/>
  <c r="CH727" i="74" s="1"/>
  <c r="AU665" i="74"/>
  <c r="CD665" i="74"/>
  <c r="R551" i="74"/>
  <c r="BQ555" i="74"/>
  <c r="N697" i="74"/>
  <c r="U701" i="74"/>
  <c r="R640" i="74"/>
  <c r="U570" i="74"/>
  <c r="CA665" i="74"/>
  <c r="CF749" i="74"/>
  <c r="CF751" i="74" s="1"/>
  <c r="CF752" i="74" s="1"/>
  <c r="AF569" i="74"/>
  <c r="AH748" i="74"/>
  <c r="AV665" i="74"/>
  <c r="AB616" i="74"/>
  <c r="CE594" i="74"/>
  <c r="CE599" i="74" s="1"/>
  <c r="CE603" i="74" s="1"/>
  <c r="BC641" i="74"/>
  <c r="AD664" i="74"/>
  <c r="CB665" i="74"/>
  <c r="P843" i="74"/>
  <c r="AU847" i="74"/>
  <c r="AE627" i="74"/>
  <c r="BT642" i="74"/>
  <c r="BT647" i="74" s="1"/>
  <c r="BT651" i="74" s="1"/>
  <c r="S817" i="74"/>
  <c r="AJ641" i="74"/>
  <c r="AJ646" i="74" s="1"/>
  <c r="V666" i="74"/>
  <c r="V671" i="74" s="1"/>
  <c r="BH642" i="74"/>
  <c r="BH647" i="74" s="1"/>
  <c r="BH651" i="74" s="1"/>
  <c r="AK594" i="74"/>
  <c r="AK599" i="74" s="1"/>
  <c r="V594" i="74"/>
  <c r="V599" i="74" s="1"/>
  <c r="O775" i="74"/>
  <c r="BS749" i="74"/>
  <c r="BS751" i="74" s="1"/>
  <c r="W569" i="74"/>
  <c r="CN617" i="74"/>
  <c r="BJ666" i="74"/>
  <c r="BJ671" i="74" s="1"/>
  <c r="BJ675" i="74" s="1"/>
  <c r="AG815" i="74"/>
  <c r="O815" i="74" s="1"/>
  <c r="O810" i="74"/>
  <c r="N775" i="74"/>
  <c r="X664" i="74"/>
  <c r="X669" i="74" s="1"/>
  <c r="CJ579" i="74"/>
  <c r="AM724" i="74"/>
  <c r="AS620" i="74"/>
  <c r="P615" i="74"/>
  <c r="AS618" i="74"/>
  <c r="CF641" i="74"/>
  <c r="CC727" i="74"/>
  <c r="AP640" i="74"/>
  <c r="AP645" i="74" s="1"/>
  <c r="AG592" i="74"/>
  <c r="AG593" i="74" s="1"/>
  <c r="AY797" i="74"/>
  <c r="P797" i="74" s="1"/>
  <c r="BQ664" i="74"/>
  <c r="AO592" i="74"/>
  <c r="AO597" i="74" s="1"/>
  <c r="AF640" i="74"/>
  <c r="R865" i="74"/>
  <c r="BQ870" i="74"/>
  <c r="N528" i="74"/>
  <c r="U532" i="74"/>
  <c r="AG640" i="74"/>
  <c r="CC617" i="74"/>
  <c r="N816" i="74"/>
  <c r="AR616" i="74"/>
  <c r="BQ702" i="74"/>
  <c r="R702" i="74" s="1"/>
  <c r="R701" i="74"/>
  <c r="Y724" i="74"/>
  <c r="Z640" i="74"/>
  <c r="Z645" i="74" s="1"/>
  <c r="W640" i="74"/>
  <c r="AR641" i="74"/>
  <c r="AR646" i="74" s="1"/>
  <c r="X592" i="74"/>
  <c r="X597" i="74" s="1"/>
  <c r="BF724" i="74"/>
  <c r="AI617" i="74"/>
  <c r="AI622" i="74" s="1"/>
  <c r="U674" i="74"/>
  <c r="N674" i="74" s="1"/>
  <c r="U663" i="74"/>
  <c r="U664" i="74" s="1"/>
  <c r="N661" i="74"/>
  <c r="CF617" i="74"/>
  <c r="AJ664" i="74"/>
  <c r="AJ669" i="74" s="1"/>
  <c r="V616" i="74"/>
  <c r="V617" i="74" s="1"/>
  <c r="V622" i="74" s="1"/>
  <c r="CC646" i="74"/>
  <c r="AL665" i="74"/>
  <c r="AL670" i="74" s="1"/>
  <c r="AC617" i="74"/>
  <c r="AC622" i="74" s="1"/>
  <c r="BE664" i="74"/>
  <c r="AI640" i="74"/>
  <c r="AE641" i="74"/>
  <c r="AE646" i="74" s="1"/>
  <c r="AS570" i="74"/>
  <c r="AL617" i="74" l="1"/>
  <c r="AL622" i="74" s="1"/>
  <c r="AN617" i="74"/>
  <c r="BV622" i="74"/>
  <c r="BV618" i="74"/>
  <c r="BV623" i="74" s="1"/>
  <c r="W665" i="74"/>
  <c r="W670" i="74" s="1"/>
  <c r="AD617" i="74"/>
  <c r="AD622" i="74" s="1"/>
  <c r="BS752" i="74"/>
  <c r="AE617" i="74"/>
  <c r="AE622" i="74" s="1"/>
  <c r="AC641" i="74"/>
  <c r="AB574" i="74"/>
  <c r="AB570" i="74"/>
  <c r="AB575" i="74" s="1"/>
  <c r="AL618" i="74"/>
  <c r="AL623" i="74" s="1"/>
  <c r="AL627" i="74" s="1"/>
  <c r="BI607" i="74"/>
  <c r="AL874" i="74"/>
  <c r="AI556" i="74"/>
  <c r="AI558" i="74" s="1"/>
  <c r="AQ583" i="74"/>
  <c r="Z617" i="74"/>
  <c r="Z622" i="74" s="1"/>
  <c r="Z593" i="74"/>
  <c r="Z598" i="74" s="1"/>
  <c r="AR593" i="74"/>
  <c r="AR598" i="74" s="1"/>
  <c r="BK825" i="74"/>
  <c r="AD594" i="74"/>
  <c r="AD599" i="74" s="1"/>
  <c r="AI665" i="74"/>
  <c r="AI670" i="74" s="1"/>
  <c r="AA617" i="74"/>
  <c r="AA622" i="74" s="1"/>
  <c r="AH593" i="74"/>
  <c r="AH598" i="74" s="1"/>
  <c r="CM618" i="74"/>
  <c r="CM623" i="74" s="1"/>
  <c r="CM627" i="74" s="1"/>
  <c r="CM628" i="74" s="1"/>
  <c r="CM630" i="74" s="1"/>
  <c r="W617" i="74"/>
  <c r="W622" i="74" s="1"/>
  <c r="BQ748" i="74"/>
  <c r="CG622" i="74"/>
  <c r="CG618" i="74"/>
  <c r="CG623" i="74" s="1"/>
  <c r="CH622" i="74"/>
  <c r="CH618" i="74"/>
  <c r="CH623" i="74" s="1"/>
  <c r="BI642" i="74"/>
  <c r="BI647" i="74" s="1"/>
  <c r="BI651" i="74" s="1"/>
  <c r="BI652" i="74" s="1"/>
  <c r="BI654" i="74" s="1"/>
  <c r="BI655" i="74" s="1"/>
  <c r="CK579" i="74"/>
  <c r="CK580" i="74" s="1"/>
  <c r="CK582" i="74" s="1"/>
  <c r="CK583" i="74" s="1"/>
  <c r="AK665" i="74"/>
  <c r="AQ593" i="74"/>
  <c r="AQ598" i="74" s="1"/>
  <c r="AI666" i="74"/>
  <c r="AI671" i="74" s="1"/>
  <c r="AI675" i="74" s="1"/>
  <c r="CK655" i="74"/>
  <c r="S621" i="74"/>
  <c r="AH665" i="74"/>
  <c r="P617" i="74"/>
  <c r="AI593" i="74"/>
  <c r="AJ593" i="74"/>
  <c r="O870" i="74"/>
  <c r="AH641" i="74"/>
  <c r="AH642" i="74" s="1"/>
  <c r="AH647" i="74" s="1"/>
  <c r="AP797" i="74"/>
  <c r="AP798" i="74" s="1"/>
  <c r="AP800" i="74" s="1"/>
  <c r="AP801" i="74" s="1"/>
  <c r="BN728" i="74"/>
  <c r="BN752" i="74"/>
  <c r="Y748" i="74"/>
  <c r="Q574" i="74"/>
  <c r="V642" i="74"/>
  <c r="V647" i="74" s="1"/>
  <c r="AM593" i="74"/>
  <c r="BJ579" i="74"/>
  <c r="BJ580" i="74" s="1"/>
  <c r="BJ582" i="74" s="1"/>
  <c r="BJ583" i="74" s="1"/>
  <c r="AC594" i="74"/>
  <c r="AC599" i="74" s="1"/>
  <c r="AC603" i="74" s="1"/>
  <c r="AD618" i="74"/>
  <c r="AD623" i="74" s="1"/>
  <c r="AD627" i="74" s="1"/>
  <c r="BE651" i="74"/>
  <c r="BE652" i="74" s="1"/>
  <c r="BE654" i="74" s="1"/>
  <c r="AB583" i="74"/>
  <c r="BC583" i="74"/>
  <c r="O535" i="74"/>
  <c r="O928" i="74" s="1"/>
  <c r="BG583" i="74"/>
  <c r="CK670" i="74"/>
  <c r="CK666" i="74"/>
  <c r="CK671" i="74" s="1"/>
  <c r="BD622" i="74"/>
  <c r="BD618" i="74"/>
  <c r="BD623" i="74" s="1"/>
  <c r="AY583" i="74"/>
  <c r="AE801" i="74"/>
  <c r="AD724" i="74"/>
  <c r="CA752" i="74"/>
  <c r="S724" i="74"/>
  <c r="CN646" i="74"/>
  <c r="CN642" i="74"/>
  <c r="CN647" i="74" s="1"/>
  <c r="AE724" i="74"/>
  <c r="AE725" i="74" s="1"/>
  <c r="AE727" i="74" s="1"/>
  <c r="AE728" i="74" s="1"/>
  <c r="BU801" i="74"/>
  <c r="AW627" i="74"/>
  <c r="AB821" i="74"/>
  <c r="AB822" i="74" s="1"/>
  <c r="AB824" i="74" s="1"/>
  <c r="AD797" i="74"/>
  <c r="AD798" i="74" s="1"/>
  <c r="AD800" i="74" s="1"/>
  <c r="AD801" i="74" s="1"/>
  <c r="AK821" i="74"/>
  <c r="AK822" i="74" s="1"/>
  <c r="AK824" i="74" s="1"/>
  <c r="X593" i="74"/>
  <c r="X598" i="74" s="1"/>
  <c r="Z641" i="74"/>
  <c r="Z646" i="74" s="1"/>
  <c r="AF724" i="74"/>
  <c r="AF725" i="74" s="1"/>
  <c r="AF727" i="74" s="1"/>
  <c r="CA579" i="74"/>
  <c r="BL579" i="74"/>
  <c r="BL580" i="74" s="1"/>
  <c r="BL582" i="74" s="1"/>
  <c r="BL583" i="74" s="1"/>
  <c r="AT579" i="74"/>
  <c r="AT580" i="74" s="1"/>
  <c r="AT582" i="74" s="1"/>
  <c r="BE898" i="74"/>
  <c r="Q898" i="74" s="1"/>
  <c r="Q949" i="74" s="1"/>
  <c r="CL598" i="74"/>
  <c r="CL594" i="74"/>
  <c r="CL599" i="74" s="1"/>
  <c r="AN748" i="74"/>
  <c r="AN749" i="74" s="1"/>
  <c r="AN751" i="74" s="1"/>
  <c r="CD579" i="74"/>
  <c r="CD580" i="74" s="1"/>
  <c r="CD582" i="74" s="1"/>
  <c r="CD583" i="74" s="1"/>
  <c r="BZ728" i="74"/>
  <c r="BZ752" i="74"/>
  <c r="BK646" i="74"/>
  <c r="BK642" i="74"/>
  <c r="BK647" i="74" s="1"/>
  <c r="BA607" i="74"/>
  <c r="BK579" i="74"/>
  <c r="BK580" i="74" s="1"/>
  <c r="BK582" i="74" s="1"/>
  <c r="BK583" i="74" s="1"/>
  <c r="BR598" i="74"/>
  <c r="BR594" i="74"/>
  <c r="BR599" i="74" s="1"/>
  <c r="W797" i="74"/>
  <c r="R597" i="74"/>
  <c r="AL579" i="74"/>
  <c r="AL580" i="74" s="1"/>
  <c r="AL582" i="74" s="1"/>
  <c r="AL583" i="74" s="1"/>
  <c r="W821" i="74"/>
  <c r="W822" i="74" s="1"/>
  <c r="W824" i="74" s="1"/>
  <c r="Y821" i="74"/>
  <c r="Y822" i="74" s="1"/>
  <c r="Y824" i="74" s="1"/>
  <c r="Y825" i="74" s="1"/>
  <c r="P725" i="74"/>
  <c r="AN593" i="74"/>
  <c r="AN598" i="74" s="1"/>
  <c r="AB593" i="74"/>
  <c r="AB598" i="74" s="1"/>
  <c r="CE752" i="74"/>
  <c r="Z665" i="74"/>
  <c r="AK727" i="74"/>
  <c r="AK728" i="74" s="1"/>
  <c r="AR821" i="74"/>
  <c r="AV825" i="74"/>
  <c r="U594" i="74"/>
  <c r="U599" i="74" s="1"/>
  <c r="U598" i="74"/>
  <c r="BC801" i="74"/>
  <c r="BC825" i="74"/>
  <c r="CB825" i="74"/>
  <c r="U870" i="74"/>
  <c r="U871" i="74" s="1"/>
  <c r="N871" i="74" s="1"/>
  <c r="BI850" i="74"/>
  <c r="BI874" i="74" s="1"/>
  <c r="AL825" i="74"/>
  <c r="BK670" i="74"/>
  <c r="BK666" i="74"/>
  <c r="BK671" i="74" s="1"/>
  <c r="N569" i="74"/>
  <c r="P597" i="74"/>
  <c r="AA724" i="74"/>
  <c r="AA725" i="74" s="1"/>
  <c r="AA727" i="74" s="1"/>
  <c r="AA752" i="74" s="1"/>
  <c r="AR797" i="74"/>
  <c r="AR798" i="74" s="1"/>
  <c r="AR800" i="74" s="1"/>
  <c r="BP579" i="74"/>
  <c r="BP580" i="74" s="1"/>
  <c r="BP582" i="74" s="1"/>
  <c r="BP583" i="74" s="1"/>
  <c r="AK618" i="74"/>
  <c r="AK623" i="74" s="1"/>
  <c r="AK627" i="74" s="1"/>
  <c r="AU598" i="74"/>
  <c r="AU594" i="74"/>
  <c r="AU599" i="74" s="1"/>
  <c r="BO579" i="74"/>
  <c r="BO580" i="74" s="1"/>
  <c r="BO582" i="74" s="1"/>
  <c r="BO583" i="74" s="1"/>
  <c r="BU579" i="74"/>
  <c r="BU580" i="74" s="1"/>
  <c r="BU582" i="74" s="1"/>
  <c r="BU583" i="74" s="1"/>
  <c r="AJ617" i="74"/>
  <c r="CL752" i="74"/>
  <c r="BN670" i="74"/>
  <c r="BN666" i="74"/>
  <c r="BN671" i="74" s="1"/>
  <c r="CJ646" i="74"/>
  <c r="CJ642" i="74"/>
  <c r="CJ647" i="74" s="1"/>
  <c r="BX579" i="74"/>
  <c r="BX580" i="74" s="1"/>
  <c r="BX582" i="74" s="1"/>
  <c r="BX583" i="74" s="1"/>
  <c r="CD598" i="74"/>
  <c r="CD594" i="74"/>
  <c r="CD599" i="74" s="1"/>
  <c r="CF598" i="74"/>
  <c r="CF594" i="74"/>
  <c r="CF599" i="74" s="1"/>
  <c r="AP641" i="74"/>
  <c r="AP646" i="74" s="1"/>
  <c r="AT603" i="74"/>
  <c r="CG603" i="74"/>
  <c r="AX752" i="74"/>
  <c r="V821" i="74"/>
  <c r="V822" i="74" s="1"/>
  <c r="V824" i="74" s="1"/>
  <c r="V825" i="74" s="1"/>
  <c r="V748" i="74"/>
  <c r="V749" i="74" s="1"/>
  <c r="V751" i="74" s="1"/>
  <c r="V752" i="74" s="1"/>
  <c r="BT801" i="74"/>
  <c r="BT825" i="74"/>
  <c r="AT622" i="74"/>
  <c r="AT618" i="74"/>
  <c r="AT623" i="74" s="1"/>
  <c r="AX670" i="74"/>
  <c r="AX666" i="74"/>
  <c r="AX671" i="74" s="1"/>
  <c r="BJ646" i="74"/>
  <c r="BJ642" i="74"/>
  <c r="BJ647" i="74" s="1"/>
  <c r="AT728" i="74"/>
  <c r="AT752" i="74"/>
  <c r="Z725" i="74"/>
  <c r="Z727" i="74"/>
  <c r="Y801" i="74"/>
  <c r="BB594" i="74"/>
  <c r="BB599" i="74" s="1"/>
  <c r="BM752" i="74"/>
  <c r="BT622" i="74"/>
  <c r="BT618" i="74"/>
  <c r="BT623" i="74" s="1"/>
  <c r="CA580" i="74"/>
  <c r="CA582" i="74" s="1"/>
  <c r="AX822" i="74"/>
  <c r="AX824" i="74" s="1"/>
  <c r="AX825" i="74" s="1"/>
  <c r="CK598" i="74"/>
  <c r="CK594" i="74"/>
  <c r="CK599" i="74" s="1"/>
  <c r="BX622" i="74"/>
  <c r="BX618" i="74"/>
  <c r="BX623" i="74" s="1"/>
  <c r="AD725" i="74"/>
  <c r="Q593" i="74"/>
  <c r="R641" i="74"/>
  <c r="P641" i="74"/>
  <c r="AN579" i="74"/>
  <c r="AN580" i="74" s="1"/>
  <c r="AN582" i="74" s="1"/>
  <c r="AN583" i="74" s="1"/>
  <c r="V651" i="74"/>
  <c r="V652" i="74" s="1"/>
  <c r="V654" i="74" s="1"/>
  <c r="AD748" i="74"/>
  <c r="V675" i="74"/>
  <c r="AD603" i="74"/>
  <c r="AD604" i="74" s="1"/>
  <c r="BE603" i="74"/>
  <c r="BE604" i="74" s="1"/>
  <c r="U922" i="74"/>
  <c r="N922" i="74" s="1"/>
  <c r="N950" i="74" s="1"/>
  <c r="BN627" i="74"/>
  <c r="BN628" i="74" s="1"/>
  <c r="R570" i="74"/>
  <c r="BM622" i="74"/>
  <c r="BM618" i="74"/>
  <c r="BM623" i="74" s="1"/>
  <c r="BA670" i="74"/>
  <c r="BA666" i="74"/>
  <c r="BA671" i="74" s="1"/>
  <c r="AF617" i="74"/>
  <c r="Y574" i="74"/>
  <c r="Y570" i="74"/>
  <c r="Y575" i="74" s="1"/>
  <c r="BW579" i="74"/>
  <c r="CL798" i="74"/>
  <c r="CL800" i="74" s="1"/>
  <c r="AV646" i="74"/>
  <c r="AV642" i="74"/>
  <c r="AV647" i="74" s="1"/>
  <c r="AQ797" i="74"/>
  <c r="AQ798" i="74" s="1"/>
  <c r="AQ800" i="74" s="1"/>
  <c r="AQ801" i="74" s="1"/>
  <c r="BJ825" i="74"/>
  <c r="CG752" i="74"/>
  <c r="AF665" i="74"/>
  <c r="AF670" i="74" s="1"/>
  <c r="R593" i="74"/>
  <c r="CB752" i="74"/>
  <c r="BO618" i="74"/>
  <c r="BO623" i="74" s="1"/>
  <c r="BO627" i="74" s="1"/>
  <c r="BO628" i="74" s="1"/>
  <c r="BO630" i="74" s="1"/>
  <c r="BB627" i="74"/>
  <c r="BB628" i="74" s="1"/>
  <c r="BB630" i="74" s="1"/>
  <c r="BX675" i="74"/>
  <c r="BX676" i="74" s="1"/>
  <c r="BX678" i="74" s="1"/>
  <c r="AP752" i="74"/>
  <c r="BU670" i="74"/>
  <c r="BU666" i="74"/>
  <c r="BU671" i="74" s="1"/>
  <c r="BP646" i="74"/>
  <c r="BP642" i="74"/>
  <c r="BP647" i="74" s="1"/>
  <c r="CM579" i="74"/>
  <c r="CM580" i="74" s="1"/>
  <c r="CM582" i="74" s="1"/>
  <c r="CM583" i="74" s="1"/>
  <c r="CJ670" i="74"/>
  <c r="CJ666" i="74"/>
  <c r="CJ671" i="74" s="1"/>
  <c r="AT670" i="74"/>
  <c r="AT666" i="74"/>
  <c r="AT671" i="74" s="1"/>
  <c r="BG749" i="74"/>
  <c r="BG751" i="74" s="1"/>
  <c r="BG752" i="74" s="1"/>
  <c r="BY622" i="74"/>
  <c r="BY618" i="74"/>
  <c r="BY623" i="74" s="1"/>
  <c r="BJ622" i="74"/>
  <c r="BJ618" i="74"/>
  <c r="BJ623" i="74" s="1"/>
  <c r="BJ627" i="74" s="1"/>
  <c r="AJ665" i="74"/>
  <c r="AJ670" i="74" s="1"/>
  <c r="X665" i="74"/>
  <c r="X670" i="74" s="1"/>
  <c r="AD641" i="74"/>
  <c r="AD646" i="74" s="1"/>
  <c r="BT603" i="74"/>
  <c r="BT604" i="74" s="1"/>
  <c r="BT606" i="74" s="1"/>
  <c r="BT607" i="74" s="1"/>
  <c r="AO641" i="74"/>
  <c r="AO646" i="74" s="1"/>
  <c r="BR850" i="74"/>
  <c r="BR874" i="74" s="1"/>
  <c r="AK603" i="74"/>
  <c r="AK604" i="74" s="1"/>
  <c r="AK606" i="74" s="1"/>
  <c r="Z603" i="74"/>
  <c r="Z604" i="74" s="1"/>
  <c r="Z606" i="74" s="1"/>
  <c r="AN627" i="74"/>
  <c r="AN628" i="74" s="1"/>
  <c r="AN630" i="74" s="1"/>
  <c r="V603" i="74"/>
  <c r="V604" i="74" s="1"/>
  <c r="V606" i="74" s="1"/>
  <c r="AY752" i="74"/>
  <c r="AP821" i="74"/>
  <c r="AP822" i="74" s="1"/>
  <c r="AP824" i="74" s="1"/>
  <c r="AP825" i="74" s="1"/>
  <c r="BZ598" i="74"/>
  <c r="BZ594" i="74"/>
  <c r="BZ599" i="74" s="1"/>
  <c r="X821" i="74"/>
  <c r="X822" i="74" s="1"/>
  <c r="X824" i="74" s="1"/>
  <c r="X825" i="74" s="1"/>
  <c r="R574" i="74"/>
  <c r="AZ646" i="74"/>
  <c r="AZ642" i="74"/>
  <c r="AZ647" i="74" s="1"/>
  <c r="AW579" i="74"/>
  <c r="AW580" i="74" s="1"/>
  <c r="AW582" i="74" s="1"/>
  <c r="AW583" i="74" s="1"/>
  <c r="BH579" i="74"/>
  <c r="AQ821" i="74"/>
  <c r="BF579" i="74"/>
  <c r="BF580" i="74" s="1"/>
  <c r="BF582" i="74" s="1"/>
  <c r="BF583" i="74" s="1"/>
  <c r="AC604" i="74"/>
  <c r="AC606" i="74" s="1"/>
  <c r="AC607" i="74" s="1"/>
  <c r="AW676" i="74"/>
  <c r="AW678" i="74"/>
  <c r="BY676" i="74"/>
  <c r="BY678" i="74" s="1"/>
  <c r="AI676" i="74"/>
  <c r="AI678" i="74" s="1"/>
  <c r="CB652" i="74"/>
  <c r="CB654" i="74" s="1"/>
  <c r="CB655" i="74" s="1"/>
  <c r="CH676" i="74"/>
  <c r="CH678" i="74" s="1"/>
  <c r="AU801" i="74"/>
  <c r="AU825" i="74"/>
  <c r="AR580" i="74"/>
  <c r="AR582" i="74" s="1"/>
  <c r="AR583" i="74" s="1"/>
  <c r="V676" i="74"/>
  <c r="V678" i="74" s="1"/>
  <c r="AE825" i="74"/>
  <c r="BJ676" i="74"/>
  <c r="BJ678" i="74" s="1"/>
  <c r="AH822" i="74"/>
  <c r="AH824" i="74" s="1"/>
  <c r="AH825" i="74" s="1"/>
  <c r="AW801" i="74"/>
  <c r="AW825" i="74"/>
  <c r="BI676" i="74"/>
  <c r="BI678" i="74" s="1"/>
  <c r="BM676" i="74"/>
  <c r="BM678" i="74" s="1"/>
  <c r="CE652" i="74"/>
  <c r="CE654" i="74" s="1"/>
  <c r="AX801" i="74"/>
  <c r="BI728" i="74"/>
  <c r="BI752" i="74"/>
  <c r="X801" i="74"/>
  <c r="CH728" i="74"/>
  <c r="CH752" i="74"/>
  <c r="BW728" i="74"/>
  <c r="BW752" i="74"/>
  <c r="CA559" i="74"/>
  <c r="AB728" i="74"/>
  <c r="AB752" i="74"/>
  <c r="BH825" i="74"/>
  <c r="AV728" i="74"/>
  <c r="AV752" i="74"/>
  <c r="BX728" i="74"/>
  <c r="BX752" i="74"/>
  <c r="AR728" i="74"/>
  <c r="AR752" i="74"/>
  <c r="AI825" i="74"/>
  <c r="BG652" i="74"/>
  <c r="BG654" i="74" s="1"/>
  <c r="BG655" i="74" s="1"/>
  <c r="CE628" i="74"/>
  <c r="CE630" i="74" s="1"/>
  <c r="AO580" i="74"/>
  <c r="AO582" i="74" s="1"/>
  <c r="AO583" i="74" s="1"/>
  <c r="AV628" i="74"/>
  <c r="AV630" i="74" s="1"/>
  <c r="CI559" i="74"/>
  <c r="S559" i="74" s="1"/>
  <c r="S929" i="74" s="1"/>
  <c r="I34" i="74" s="1"/>
  <c r="H20" i="75" s="1"/>
  <c r="CI583" i="74"/>
  <c r="S558" i="74"/>
  <c r="BD728" i="74"/>
  <c r="BD752" i="74"/>
  <c r="BH652" i="74"/>
  <c r="BH654" i="74" s="1"/>
  <c r="BT652" i="74"/>
  <c r="BT654" i="74" s="1"/>
  <c r="BT655" i="74" s="1"/>
  <c r="CE604" i="74"/>
  <c r="CE606" i="74" s="1"/>
  <c r="CI801" i="74"/>
  <c r="CI825" i="74"/>
  <c r="AX604" i="74"/>
  <c r="AX606" i="74" s="1"/>
  <c r="AX607" i="74" s="1"/>
  <c r="BF676" i="74"/>
  <c r="BF678" i="74" s="1"/>
  <c r="BF679" i="74" s="1"/>
  <c r="BV676" i="74"/>
  <c r="BV678" i="74" s="1"/>
  <c r="CJ728" i="74"/>
  <c r="CJ752" i="74"/>
  <c r="BW676" i="74"/>
  <c r="BW678" i="74" s="1"/>
  <c r="CN607" i="74"/>
  <c r="AN728" i="74"/>
  <c r="AN752" i="74"/>
  <c r="AA825" i="74"/>
  <c r="AJ752" i="74"/>
  <c r="AC801" i="74"/>
  <c r="AC825" i="74"/>
  <c r="AI645" i="74"/>
  <c r="AI641" i="74"/>
  <c r="AI646" i="74" s="1"/>
  <c r="AK628" i="74"/>
  <c r="AK630" i="74" s="1"/>
  <c r="U669" i="74"/>
  <c r="N664" i="74"/>
  <c r="BF725" i="74"/>
  <c r="BF727" i="74" s="1"/>
  <c r="W645" i="74"/>
  <c r="W641" i="74"/>
  <c r="W646" i="74" s="1"/>
  <c r="O640" i="74"/>
  <c r="AG645" i="74"/>
  <c r="CF646" i="74"/>
  <c r="CF642" i="74"/>
  <c r="CF647" i="74" s="1"/>
  <c r="AM725" i="74"/>
  <c r="AM727" i="74" s="1"/>
  <c r="AU848" i="74"/>
  <c r="P848" i="74" s="1"/>
  <c r="P847" i="74"/>
  <c r="AB621" i="74"/>
  <c r="AB617" i="74"/>
  <c r="AB622" i="74" s="1"/>
  <c r="N596" i="74"/>
  <c r="AY646" i="74"/>
  <c r="AY642" i="74"/>
  <c r="AY647" i="74" s="1"/>
  <c r="BR749" i="74"/>
  <c r="BR751" i="74" s="1"/>
  <c r="BR752" i="74" s="1"/>
  <c r="AB669" i="74"/>
  <c r="AB665" i="74"/>
  <c r="AB670" i="74" s="1"/>
  <c r="AB848" i="74"/>
  <c r="AB850" i="74" s="1"/>
  <c r="AB874" i="74" s="1"/>
  <c r="AP621" i="74"/>
  <c r="AP617" i="74"/>
  <c r="AP622" i="74" s="1"/>
  <c r="AL628" i="74"/>
  <c r="AL630" i="74" s="1"/>
  <c r="O569" i="74"/>
  <c r="AZ580" i="74"/>
  <c r="AZ582" i="74" s="1"/>
  <c r="BQ623" i="74"/>
  <c r="CC801" i="74"/>
  <c r="Q812" i="74"/>
  <c r="BE817" i="74"/>
  <c r="Q817" i="74" s="1"/>
  <c r="CJ822" i="74"/>
  <c r="CJ824" i="74" s="1"/>
  <c r="CJ825" i="74" s="1"/>
  <c r="AS599" i="74"/>
  <c r="AW628" i="74"/>
  <c r="AW630" i="74" s="1"/>
  <c r="P668" i="74"/>
  <c r="O644" i="74"/>
  <c r="U620" i="74"/>
  <c r="N615" i="74"/>
  <c r="O596" i="74"/>
  <c r="BU622" i="74"/>
  <c r="BU618" i="74"/>
  <c r="BU623" i="74" s="1"/>
  <c r="P621" i="74"/>
  <c r="BX646" i="74"/>
  <c r="BX642" i="74"/>
  <c r="BX647" i="74" s="1"/>
  <c r="O812" i="74"/>
  <c r="E36" i="74"/>
  <c r="D22" i="75" s="1"/>
  <c r="CC871" i="74"/>
  <c r="S871" i="74" s="1"/>
  <c r="S870" i="74"/>
  <c r="AD749" i="74"/>
  <c r="AD751" i="74" s="1"/>
  <c r="AG559" i="74"/>
  <c r="CG580" i="74"/>
  <c r="CG582" i="74" s="1"/>
  <c r="CG583" i="74" s="1"/>
  <c r="AT604" i="74"/>
  <c r="AT606" i="74" s="1"/>
  <c r="AT607" i="74" s="1"/>
  <c r="CG604" i="74"/>
  <c r="CG606" i="74" s="1"/>
  <c r="AE642" i="74"/>
  <c r="AE647" i="74" s="1"/>
  <c r="AE651" i="74" s="1"/>
  <c r="Y598" i="74"/>
  <c r="Y594" i="74"/>
  <c r="Y599" i="74" s="1"/>
  <c r="S665" i="74"/>
  <c r="CC670" i="74"/>
  <c r="N870" i="74"/>
  <c r="AY598" i="74"/>
  <c r="AY594" i="74"/>
  <c r="AY599" i="74" s="1"/>
  <c r="O788" i="74"/>
  <c r="BB670" i="74"/>
  <c r="BB666" i="74"/>
  <c r="BB671" i="74" s="1"/>
  <c r="BC598" i="74"/>
  <c r="BC594" i="74"/>
  <c r="BC599" i="74" s="1"/>
  <c r="X720" i="74"/>
  <c r="N715" i="74"/>
  <c r="BP752" i="74"/>
  <c r="BY598" i="74"/>
  <c r="BY594" i="74"/>
  <c r="BY599" i="74" s="1"/>
  <c r="CM679" i="74"/>
  <c r="AR666" i="74"/>
  <c r="AR671" i="74" s="1"/>
  <c r="AR675" i="74" s="1"/>
  <c r="BW642" i="74"/>
  <c r="BW647" i="74" s="1"/>
  <c r="BW651" i="74" s="1"/>
  <c r="U822" i="74"/>
  <c r="U824" i="74" s="1"/>
  <c r="AJ666" i="74"/>
  <c r="AJ671" i="74" s="1"/>
  <c r="AJ675" i="74" s="1"/>
  <c r="CC669" i="74"/>
  <c r="S669" i="74" s="1"/>
  <c r="S664" i="74"/>
  <c r="CE798" i="74"/>
  <c r="CE800" i="74" s="1"/>
  <c r="AQ621" i="74"/>
  <c r="AQ617" i="74"/>
  <c r="BH874" i="74"/>
  <c r="Q850" i="74"/>
  <c r="Q946" i="74" s="1"/>
  <c r="G41" i="74" s="1"/>
  <c r="F27" i="75" s="1"/>
  <c r="AL646" i="74"/>
  <c r="AL642" i="74"/>
  <c r="AL647" i="74" s="1"/>
  <c r="BP598" i="74"/>
  <c r="BP594" i="74"/>
  <c r="BP599" i="74" s="1"/>
  <c r="U651" i="74"/>
  <c r="N644" i="74"/>
  <c r="AZ670" i="74"/>
  <c r="AZ666" i="74"/>
  <c r="AZ671" i="74" s="1"/>
  <c r="BL622" i="74"/>
  <c r="BL618" i="74"/>
  <c r="BL623" i="74" s="1"/>
  <c r="AM598" i="74"/>
  <c r="AM594" i="74"/>
  <c r="AM599" i="74" s="1"/>
  <c r="AA670" i="74"/>
  <c r="AA666" i="74"/>
  <c r="AA671" i="74" s="1"/>
  <c r="X646" i="74"/>
  <c r="X642" i="74"/>
  <c r="X647" i="74" s="1"/>
  <c r="AO670" i="74"/>
  <c r="AO666" i="74"/>
  <c r="AO671" i="74" s="1"/>
  <c r="P558" i="74"/>
  <c r="AS559" i="74"/>
  <c r="P559" i="74" s="1"/>
  <c r="P929" i="74" s="1"/>
  <c r="F34" i="74" s="1"/>
  <c r="E20" i="75" s="1"/>
  <c r="R1027" i="74"/>
  <c r="R1025" i="74"/>
  <c r="R1023" i="74"/>
  <c r="R1021" i="74"/>
  <c r="R1026" i="74"/>
  <c r="R1024" i="74"/>
  <c r="R1022" i="74"/>
  <c r="R1020" i="74"/>
  <c r="O871" i="74"/>
  <c r="BM607" i="74"/>
  <c r="Q620" i="74"/>
  <c r="N551" i="74"/>
  <c r="U555" i="74"/>
  <c r="AM645" i="74"/>
  <c r="AM642" i="74"/>
  <c r="AM647" i="74" s="1"/>
  <c r="O663" i="74"/>
  <c r="AG668" i="74"/>
  <c r="AG664" i="74"/>
  <c r="AG665" i="74" s="1"/>
  <c r="BR655" i="74"/>
  <c r="AP669" i="74"/>
  <c r="AP666" i="74"/>
  <c r="AP671" i="74" s="1"/>
  <c r="CL583" i="74"/>
  <c r="AL801" i="74"/>
  <c r="BA583" i="74"/>
  <c r="CF801" i="74"/>
  <c r="CF825" i="74"/>
  <c r="AS575" i="74"/>
  <c r="P575" i="74" s="1"/>
  <c r="P570" i="74"/>
  <c r="Q664" i="74"/>
  <c r="BE669" i="74"/>
  <c r="Q669" i="74" s="1"/>
  <c r="BE665" i="74"/>
  <c r="S641" i="74"/>
  <c r="CC622" i="74"/>
  <c r="S617" i="74"/>
  <c r="U533" i="74"/>
  <c r="N533" i="74" s="1"/>
  <c r="N532" i="74"/>
  <c r="AF645" i="74"/>
  <c r="AF641" i="74"/>
  <c r="AF646" i="74" s="1"/>
  <c r="BQ669" i="74"/>
  <c r="R669" i="74" s="1"/>
  <c r="R664" i="74"/>
  <c r="BQ665" i="74"/>
  <c r="AG598" i="74"/>
  <c r="AS623" i="74"/>
  <c r="AS627" i="74" s="1"/>
  <c r="CJ580" i="74"/>
  <c r="CJ582" i="74" s="1"/>
  <c r="CJ583" i="74" s="1"/>
  <c r="BC646" i="74"/>
  <c r="BC642" i="74"/>
  <c r="BC647" i="74" s="1"/>
  <c r="AV670" i="74"/>
  <c r="AV666" i="74"/>
  <c r="AV671" i="74" s="1"/>
  <c r="U702" i="74"/>
  <c r="N702" i="74" s="1"/>
  <c r="N701" i="74"/>
  <c r="CD670" i="74"/>
  <c r="CD666" i="74"/>
  <c r="CD671" i="74" s="1"/>
  <c r="AD628" i="74"/>
  <c r="AD630" i="74" s="1"/>
  <c r="BF598" i="74"/>
  <c r="BF594" i="74"/>
  <c r="BA646" i="74"/>
  <c r="BA642" i="74"/>
  <c r="BA647" i="74" s="1"/>
  <c r="AT646" i="74"/>
  <c r="AT642" i="74"/>
  <c r="P965" i="74"/>
  <c r="F42" i="74"/>
  <c r="E28" i="75" s="1"/>
  <c r="BV822" i="74"/>
  <c r="BV824" i="74" s="1"/>
  <c r="BV825" i="74" s="1"/>
  <c r="CH646" i="74"/>
  <c r="CH642" i="74"/>
  <c r="CH647" i="74" s="1"/>
  <c r="AE669" i="74"/>
  <c r="AE665" i="74"/>
  <c r="AE670" i="74" s="1"/>
  <c r="AZ627" i="74"/>
  <c r="AA597" i="74"/>
  <c r="AA593" i="74"/>
  <c r="AA598" i="74" s="1"/>
  <c r="CC744" i="74"/>
  <c r="S739" i="74"/>
  <c r="BP627" i="74"/>
  <c r="BQ599" i="74"/>
  <c r="AU627" i="74"/>
  <c r="BJ594" i="74"/>
  <c r="BJ599" i="74" s="1"/>
  <c r="BJ603" i="74" s="1"/>
  <c r="BX603" i="74"/>
  <c r="BN822" i="74"/>
  <c r="BN824" i="74" s="1"/>
  <c r="BN825" i="74" s="1"/>
  <c r="H36" i="74"/>
  <c r="G22" i="75" s="1"/>
  <c r="AG621" i="74"/>
  <c r="O616" i="74"/>
  <c r="AG821" i="74"/>
  <c r="AO797" i="74"/>
  <c r="AC749" i="74"/>
  <c r="AC751" i="74" s="1"/>
  <c r="AC752" i="74" s="1"/>
  <c r="AS744" i="74"/>
  <c r="P744" i="74" s="1"/>
  <c r="P739" i="74"/>
  <c r="CA598" i="74"/>
  <c r="CA594" i="74"/>
  <c r="CA599" i="74" s="1"/>
  <c r="O817" i="74"/>
  <c r="AS824" i="74"/>
  <c r="AH848" i="74"/>
  <c r="O847" i="74"/>
  <c r="BF618" i="74"/>
  <c r="BF623" i="74" s="1"/>
  <c r="BF627" i="74" s="1"/>
  <c r="CG666" i="74"/>
  <c r="CG671" i="74" s="1"/>
  <c r="CG675" i="74" s="1"/>
  <c r="AO749" i="74"/>
  <c r="AO751" i="74" s="1"/>
  <c r="AO752" i="74" s="1"/>
  <c r="Y641" i="74"/>
  <c r="W848" i="74"/>
  <c r="N847" i="74"/>
  <c r="AR642" i="74"/>
  <c r="AR647" i="74" s="1"/>
  <c r="AR651" i="74" s="1"/>
  <c r="R668" i="74"/>
  <c r="O793" i="74"/>
  <c r="AG797" i="74"/>
  <c r="CI752" i="74"/>
  <c r="BY646" i="74"/>
  <c r="BY642" i="74"/>
  <c r="BY647" i="74" s="1"/>
  <c r="BI622" i="74"/>
  <c r="BI618" i="74"/>
  <c r="BI623" i="74" s="1"/>
  <c r="AQ594" i="74"/>
  <c r="AQ599" i="74" s="1"/>
  <c r="AQ603" i="74" s="1"/>
  <c r="S556" i="74"/>
  <c r="CF670" i="74"/>
  <c r="CF666" i="74"/>
  <c r="CF671" i="74" s="1"/>
  <c r="S597" i="74"/>
  <c r="AF797" i="74"/>
  <c r="AV598" i="74"/>
  <c r="AV594" i="74"/>
  <c r="AV599" i="74" s="1"/>
  <c r="AA574" i="74"/>
  <c r="AA570" i="74"/>
  <c r="AA575" i="74" s="1"/>
  <c r="BQ603" i="74"/>
  <c r="BE535" i="74"/>
  <c r="Q535" i="74" s="1"/>
  <c r="Q928" i="74" s="1"/>
  <c r="Y618" i="74"/>
  <c r="Y623" i="74" s="1"/>
  <c r="Y627" i="74" s="1"/>
  <c r="BK594" i="74"/>
  <c r="BK599" i="74" s="1"/>
  <c r="BL603" i="74"/>
  <c r="Y749" i="74"/>
  <c r="Y751" i="74" s="1"/>
  <c r="BM651" i="74"/>
  <c r="CI594" i="74"/>
  <c r="CI599" i="74" s="1"/>
  <c r="BH618" i="74"/>
  <c r="BH623" i="74" s="1"/>
  <c r="BH627" i="74" s="1"/>
  <c r="AK570" i="74"/>
  <c r="AK575" i="74" s="1"/>
  <c r="AK579" i="74" s="1"/>
  <c r="AH621" i="74"/>
  <c r="AH617" i="74"/>
  <c r="CB622" i="74"/>
  <c r="CB618" i="74"/>
  <c r="CB623" i="74" s="1"/>
  <c r="X594" i="74"/>
  <c r="X599" i="74" s="1"/>
  <c r="X603" i="74" s="1"/>
  <c r="S668" i="74"/>
  <c r="S620" i="74"/>
  <c r="BO646" i="74"/>
  <c r="Q646" i="74" s="1"/>
  <c r="BO642" i="74"/>
  <c r="BO647" i="74" s="1"/>
  <c r="X666" i="74"/>
  <c r="X671" i="74" s="1"/>
  <c r="X675" i="74" s="1"/>
  <c r="CL670" i="74"/>
  <c r="CL666" i="74"/>
  <c r="CL671" i="74" s="1"/>
  <c r="S701" i="74"/>
  <c r="CC702" i="74"/>
  <c r="S702" i="74" s="1"/>
  <c r="O715" i="74"/>
  <c r="AQ646" i="74"/>
  <c r="AQ642" i="74"/>
  <c r="AQ647" i="74" s="1"/>
  <c r="CG646" i="74"/>
  <c r="CG642" i="74"/>
  <c r="CG647" i="74" s="1"/>
  <c r="Z574" i="74"/>
  <c r="Z570" i="74"/>
  <c r="Z575" i="74" s="1"/>
  <c r="AE574" i="74"/>
  <c r="AE570" i="74"/>
  <c r="AE575" i="74" s="1"/>
  <c r="Y670" i="74"/>
  <c r="Y666" i="74"/>
  <c r="Y671" i="74" s="1"/>
  <c r="Q724" i="74"/>
  <c r="BD594" i="74"/>
  <c r="BD599" i="74" s="1"/>
  <c r="BD603" i="74" s="1"/>
  <c r="BH666" i="74"/>
  <c r="BH671" i="74" s="1"/>
  <c r="BH675" i="74" s="1"/>
  <c r="AB797" i="74"/>
  <c r="CK618" i="74"/>
  <c r="CK623" i="74" s="1"/>
  <c r="CK627" i="74" s="1"/>
  <c r="AH646" i="74"/>
  <c r="CJ618" i="74"/>
  <c r="CJ623" i="74" s="1"/>
  <c r="CJ627" i="74" s="1"/>
  <c r="R617" i="74"/>
  <c r="AT583" i="74"/>
  <c r="AO822" i="74"/>
  <c r="AO824" i="74" s="1"/>
  <c r="N663" i="74"/>
  <c r="U668" i="74"/>
  <c r="BQ704" i="74"/>
  <c r="R704" i="74" s="1"/>
  <c r="R936" i="74" s="1"/>
  <c r="H32" i="74" s="1"/>
  <c r="G18" i="75" s="1"/>
  <c r="AG597" i="74"/>
  <c r="O592" i="74"/>
  <c r="S727" i="74"/>
  <c r="O724" i="74"/>
  <c r="AG725" i="74"/>
  <c r="O725" i="74" s="1"/>
  <c r="CN622" i="74"/>
  <c r="CN618" i="74"/>
  <c r="CN623" i="74" s="1"/>
  <c r="AE628" i="74"/>
  <c r="AE630" i="74" s="1"/>
  <c r="CB670" i="74"/>
  <c r="CB666" i="74"/>
  <c r="CB671" i="74" s="1"/>
  <c r="AH749" i="74"/>
  <c r="AH751" i="74" s="1"/>
  <c r="AH752" i="74" s="1"/>
  <c r="CA670" i="74"/>
  <c r="CA666" i="74"/>
  <c r="CA671" i="74" s="1"/>
  <c r="AU670" i="74"/>
  <c r="AU666" i="74"/>
  <c r="AU671" i="74" s="1"/>
  <c r="AH574" i="74"/>
  <c r="AH570" i="74"/>
  <c r="N592" i="74"/>
  <c r="BS646" i="74"/>
  <c r="BS642" i="74"/>
  <c r="Q870" i="74"/>
  <c r="BE871" i="74"/>
  <c r="Q871" i="74" s="1"/>
  <c r="BN646" i="74"/>
  <c r="BN642" i="74"/>
  <c r="BN647" i="74" s="1"/>
  <c r="AE597" i="74"/>
  <c r="AE593" i="74"/>
  <c r="AE598" i="74" s="1"/>
  <c r="CC822" i="74"/>
  <c r="S821" i="74"/>
  <c r="CN666" i="74"/>
  <c r="CN671" i="74" s="1"/>
  <c r="CN675" i="74" s="1"/>
  <c r="AJ583" i="74"/>
  <c r="BQ749" i="74"/>
  <c r="R749" i="74" s="1"/>
  <c r="R748" i="74"/>
  <c r="Q816" i="74"/>
  <c r="BE821" i="74"/>
  <c r="BS603" i="74"/>
  <c r="CJ603" i="74"/>
  <c r="P593" i="74"/>
  <c r="AS669" i="74"/>
  <c r="P669" i="74" s="1"/>
  <c r="P664" i="74"/>
  <c r="AG620" i="74"/>
  <c r="O615" i="74"/>
  <c r="BY801" i="74"/>
  <c r="BY825" i="74"/>
  <c r="P645" i="74"/>
  <c r="U616" i="74"/>
  <c r="V579" i="74"/>
  <c r="O792" i="74"/>
  <c r="BW598" i="74"/>
  <c r="BW594" i="74"/>
  <c r="BW599" i="74" s="1"/>
  <c r="AJ848" i="74"/>
  <c r="AJ850" i="74" s="1"/>
  <c r="AJ874" i="74" s="1"/>
  <c r="BX798" i="74"/>
  <c r="R798" i="74" s="1"/>
  <c r="R797" i="74"/>
  <c r="BZ670" i="74"/>
  <c r="BZ666" i="74"/>
  <c r="BZ671" i="74" s="1"/>
  <c r="AS603" i="74"/>
  <c r="BV603" i="74"/>
  <c r="BR675" i="74"/>
  <c r="Q621" i="74"/>
  <c r="BD579" i="74"/>
  <c r="AC618" i="74"/>
  <c r="AC623" i="74" s="1"/>
  <c r="AC627" i="74" s="1"/>
  <c r="AF598" i="74"/>
  <c r="AF594" i="74"/>
  <c r="AF599" i="74" s="1"/>
  <c r="AH594" i="74"/>
  <c r="AH599" i="74" s="1"/>
  <c r="AH603" i="74" s="1"/>
  <c r="BG670" i="74"/>
  <c r="BG666" i="74"/>
  <c r="BG671" i="74" s="1"/>
  <c r="BC670" i="74"/>
  <c r="BC666" i="74"/>
  <c r="BC671" i="74" s="1"/>
  <c r="AG743" i="74"/>
  <c r="O738" i="74"/>
  <c r="AG739" i="74"/>
  <c r="CI627" i="74"/>
  <c r="Z817" i="74"/>
  <c r="N812" i="74"/>
  <c r="AM574" i="74"/>
  <c r="AM570" i="74"/>
  <c r="AM575" i="74" s="1"/>
  <c r="AP574" i="74"/>
  <c r="AP570" i="74"/>
  <c r="AP575" i="74" s="1"/>
  <c r="W594" i="74"/>
  <c r="W599" i="74" s="1"/>
  <c r="CM594" i="74"/>
  <c r="CM599" i="74" s="1"/>
  <c r="BK603" i="74"/>
  <c r="CI848" i="74"/>
  <c r="S848" i="74" s="1"/>
  <c r="S847" i="74"/>
  <c r="AS651" i="74"/>
  <c r="Q965" i="74"/>
  <c r="G42" i="74"/>
  <c r="F28" i="75" s="1"/>
  <c r="BZ627" i="74"/>
  <c r="CI603" i="74"/>
  <c r="N788" i="74"/>
  <c r="AI618" i="74"/>
  <c r="AI623" i="74" s="1"/>
  <c r="AI627" i="74" s="1"/>
  <c r="BE797" i="74"/>
  <c r="AQ670" i="74"/>
  <c r="AQ666" i="74"/>
  <c r="AQ671" i="74" s="1"/>
  <c r="AM621" i="74"/>
  <c r="AM617" i="74"/>
  <c r="S725" i="74"/>
  <c r="N640" i="74"/>
  <c r="O720" i="74"/>
  <c r="Q743" i="74"/>
  <c r="BE748" i="74"/>
  <c r="BH598" i="74"/>
  <c r="BH594" i="74"/>
  <c r="BH599" i="74" s="1"/>
  <c r="AC646" i="74"/>
  <c r="AC642" i="74"/>
  <c r="AC647" i="74" s="1"/>
  <c r="AN594" i="74"/>
  <c r="AN599" i="74" s="1"/>
  <c r="AN603" i="74" s="1"/>
  <c r="AY670" i="74"/>
  <c r="AY666" i="74"/>
  <c r="AY671" i="74" s="1"/>
  <c r="AK670" i="74"/>
  <c r="AK666" i="74"/>
  <c r="AK671" i="74" s="1"/>
  <c r="CD646" i="74"/>
  <c r="CD642" i="74"/>
  <c r="AA594" i="74"/>
  <c r="AA599" i="74" s="1"/>
  <c r="R620" i="74"/>
  <c r="BQ627" i="74"/>
  <c r="Q725" i="74"/>
  <c r="Z618" i="74"/>
  <c r="Z623" i="74" s="1"/>
  <c r="Z627" i="74" s="1"/>
  <c r="CE579" i="74"/>
  <c r="AF666" i="74"/>
  <c r="AF671" i="74" s="1"/>
  <c r="AF675" i="74" s="1"/>
  <c r="BE558" i="74"/>
  <c r="AL597" i="74"/>
  <c r="AL594" i="74"/>
  <c r="AL599" i="74" s="1"/>
  <c r="P574" i="74"/>
  <c r="AS579" i="74"/>
  <c r="BQ582" i="74"/>
  <c r="AK825" i="74"/>
  <c r="Q617" i="74"/>
  <c r="BQ666" i="74"/>
  <c r="CC599" i="74"/>
  <c r="V621" i="74"/>
  <c r="V618" i="74"/>
  <c r="V623" i="74" s="1"/>
  <c r="CF622" i="74"/>
  <c r="CF618" i="74"/>
  <c r="CF623" i="74" s="1"/>
  <c r="U665" i="74"/>
  <c r="Y725" i="74"/>
  <c r="Y727" i="74" s="1"/>
  <c r="Y728" i="74" s="1"/>
  <c r="AR621" i="74"/>
  <c r="AR617" i="74"/>
  <c r="AR622" i="74" s="1"/>
  <c r="AG641" i="74"/>
  <c r="BQ871" i="74"/>
  <c r="R871" i="74" s="1"/>
  <c r="R870" i="74"/>
  <c r="AO593" i="74"/>
  <c r="AO598" i="74" s="1"/>
  <c r="AY798" i="74"/>
  <c r="AY800" i="74" s="1"/>
  <c r="P620" i="74"/>
  <c r="W574" i="74"/>
  <c r="W570" i="74"/>
  <c r="W575" i="74" s="1"/>
  <c r="AD669" i="74"/>
  <c r="AD665" i="74"/>
  <c r="AD670" i="74" s="1"/>
  <c r="AF574" i="74"/>
  <c r="AF570" i="74"/>
  <c r="AF575" i="74" s="1"/>
  <c r="U575" i="74"/>
  <c r="BQ556" i="74"/>
  <c r="R556" i="74" s="1"/>
  <c r="R555" i="74"/>
  <c r="BD646" i="74"/>
  <c r="BD642" i="74"/>
  <c r="BD647" i="74" s="1"/>
  <c r="CL646" i="74"/>
  <c r="CL642" i="74"/>
  <c r="CL647" i="74" s="1"/>
  <c r="AS727" i="74"/>
  <c r="AM665" i="74"/>
  <c r="AM670" i="74" s="1"/>
  <c r="CI670" i="74"/>
  <c r="CI666" i="74"/>
  <c r="CI671" i="74" s="1"/>
  <c r="AN645" i="74"/>
  <c r="AN641" i="74"/>
  <c r="AN646" i="74" s="1"/>
  <c r="AA645" i="74"/>
  <c r="AA641" i="74"/>
  <c r="AA646" i="74" s="1"/>
  <c r="AB645" i="74"/>
  <c r="AB641" i="74"/>
  <c r="AB646" i="74" s="1"/>
  <c r="AK642" i="74"/>
  <c r="AK647" i="74" s="1"/>
  <c r="AK651" i="74" s="1"/>
  <c r="BB603" i="74"/>
  <c r="AU642" i="74"/>
  <c r="AU647" i="74" s="1"/>
  <c r="AU651" i="74" s="1"/>
  <c r="X621" i="74"/>
  <c r="X617" i="74"/>
  <c r="X622" i="74" s="1"/>
  <c r="W666" i="74"/>
  <c r="W671" i="74" s="1"/>
  <c r="W675" i="74" s="1"/>
  <c r="BE623" i="74"/>
  <c r="X579" i="74"/>
  <c r="AS665" i="74"/>
  <c r="BO603" i="74"/>
  <c r="BL651" i="74"/>
  <c r="AG617" i="74"/>
  <c r="AG618" i="74" s="1"/>
  <c r="AG701" i="74"/>
  <c r="AS777" i="74"/>
  <c r="P777" i="74" s="1"/>
  <c r="P941" i="74" s="1"/>
  <c r="F33" i="74" s="1"/>
  <c r="E19" i="75" s="1"/>
  <c r="AI749" i="74"/>
  <c r="AI751" i="74" s="1"/>
  <c r="AI752" i="74" s="1"/>
  <c r="P743" i="74"/>
  <c r="AS748" i="74"/>
  <c r="Q645" i="74"/>
  <c r="O556" i="74"/>
  <c r="AK749" i="74"/>
  <c r="AK751" i="74" s="1"/>
  <c r="AK752" i="74" s="1"/>
  <c r="AP593" i="74"/>
  <c r="AP598" i="74" s="1"/>
  <c r="CD627" i="74"/>
  <c r="CC575" i="74"/>
  <c r="S570" i="74"/>
  <c r="BS580" i="74"/>
  <c r="Q668" i="74"/>
  <c r="AL666" i="74"/>
  <c r="AL671" i="74" s="1"/>
  <c r="AL675" i="74" s="1"/>
  <c r="X848" i="74"/>
  <c r="X850" i="74" s="1"/>
  <c r="X874" i="74" s="1"/>
  <c r="CC666" i="74"/>
  <c r="CB598" i="74"/>
  <c r="CB594" i="74"/>
  <c r="CB599" i="74" s="1"/>
  <c r="CH598" i="74"/>
  <c r="CH594" i="74"/>
  <c r="CH599" i="74" s="1"/>
  <c r="S1026" i="74"/>
  <c r="S1024" i="74"/>
  <c r="S1022" i="74"/>
  <c r="S1020" i="74"/>
  <c r="S1027" i="74"/>
  <c r="S1025" i="74"/>
  <c r="S1023" i="74"/>
  <c r="S1021" i="74"/>
  <c r="AJ642" i="74"/>
  <c r="AJ647" i="74" s="1"/>
  <c r="AJ651" i="74" s="1"/>
  <c r="CI646" i="74"/>
  <c r="CI642" i="74"/>
  <c r="CI647" i="74" s="1"/>
  <c r="AW646" i="74"/>
  <c r="AW642" i="74"/>
  <c r="AW647" i="74" s="1"/>
  <c r="BQ651" i="74"/>
  <c r="P870" i="74"/>
  <c r="AS871" i="74"/>
  <c r="P871" i="74" s="1"/>
  <c r="AN670" i="74"/>
  <c r="AN666" i="74"/>
  <c r="AN671" i="74" s="1"/>
  <c r="BQ725" i="74"/>
  <c r="R725" i="74" s="1"/>
  <c r="R724" i="74"/>
  <c r="Q597" i="74"/>
  <c r="AM821" i="74"/>
  <c r="AW598" i="74"/>
  <c r="P598" i="74" s="1"/>
  <c r="AW594" i="74"/>
  <c r="AW599" i="74" s="1"/>
  <c r="CM603" i="74"/>
  <c r="AX627" i="74"/>
  <c r="CL627" i="74"/>
  <c r="BG594" i="74"/>
  <c r="BG599" i="74" s="1"/>
  <c r="BG603" i="74" s="1"/>
  <c r="BB579" i="74"/>
  <c r="N793" i="74"/>
  <c r="U797" i="74"/>
  <c r="AG922" i="74"/>
  <c r="O922" i="74" s="1"/>
  <c r="O950" i="74" s="1"/>
  <c r="BE579" i="74"/>
  <c r="BQ822" i="74"/>
  <c r="R822" i="74" s="1"/>
  <c r="R821" i="74"/>
  <c r="Z642" i="74"/>
  <c r="Z647" i="74" s="1"/>
  <c r="Z651" i="74" s="1"/>
  <c r="CC618" i="74"/>
  <c r="AC669" i="74"/>
  <c r="AC665" i="74"/>
  <c r="BA622" i="74"/>
  <c r="BA618" i="74"/>
  <c r="BA623" i="74" s="1"/>
  <c r="AI598" i="74"/>
  <c r="AI594" i="74"/>
  <c r="AI599" i="74" s="1"/>
  <c r="BN598" i="74"/>
  <c r="BN594" i="74"/>
  <c r="BN599" i="74" s="1"/>
  <c r="BT670" i="74"/>
  <c r="BT666" i="74"/>
  <c r="BT671" i="74" s="1"/>
  <c r="AS800" i="74"/>
  <c r="I36" i="74"/>
  <c r="H22" i="75" s="1"/>
  <c r="W618" i="74"/>
  <c r="W623" i="74" s="1"/>
  <c r="W627" i="74" s="1"/>
  <c r="AJ598" i="74"/>
  <c r="AJ594" i="74"/>
  <c r="AJ599" i="74" s="1"/>
  <c r="U743" i="74"/>
  <c r="N738" i="74"/>
  <c r="U739" i="74"/>
  <c r="BU646" i="74"/>
  <c r="BU642" i="74"/>
  <c r="BU647" i="74" s="1"/>
  <c r="BD670" i="74"/>
  <c r="BD666" i="74"/>
  <c r="BD671" i="74" s="1"/>
  <c r="AG579" i="74"/>
  <c r="AA618" i="74"/>
  <c r="AA623" i="74" s="1"/>
  <c r="AA627" i="74" s="1"/>
  <c r="BZ646" i="74"/>
  <c r="BZ642" i="74"/>
  <c r="BZ647" i="74" s="1"/>
  <c r="BV646" i="74"/>
  <c r="BV642" i="74"/>
  <c r="BV647" i="74" s="1"/>
  <c r="P556" i="74"/>
  <c r="AG873" i="74"/>
  <c r="CC651" i="74"/>
  <c r="BE727" i="74"/>
  <c r="AO621" i="74"/>
  <c r="AO618" i="74"/>
  <c r="AO623" i="74" s="1"/>
  <c r="AZ594" i="74"/>
  <c r="AZ599" i="74" s="1"/>
  <c r="AZ603" i="74" s="1"/>
  <c r="CH583" i="74"/>
  <c r="R579" i="74"/>
  <c r="Q622" i="74"/>
  <c r="BQ801" i="74"/>
  <c r="AG594" i="74"/>
  <c r="S593" i="74"/>
  <c r="AI559" i="74" l="1"/>
  <c r="O558" i="74"/>
  <c r="AI583" i="74"/>
  <c r="AP642" i="74"/>
  <c r="AP647" i="74" s="1"/>
  <c r="AP651" i="74" s="1"/>
  <c r="AE618" i="74"/>
  <c r="AE623" i="74" s="1"/>
  <c r="AB594" i="74"/>
  <c r="AB599" i="74" s="1"/>
  <c r="AB603" i="74" s="1"/>
  <c r="AD642" i="74"/>
  <c r="AD647" i="74" s="1"/>
  <c r="AD651" i="74" s="1"/>
  <c r="AA728" i="74"/>
  <c r="AR594" i="74"/>
  <c r="AR599" i="74" s="1"/>
  <c r="AR603" i="74" s="1"/>
  <c r="Z594" i="74"/>
  <c r="Z599" i="74" s="1"/>
  <c r="AB666" i="74"/>
  <c r="AB671" i="74" s="1"/>
  <c r="O559" i="74"/>
  <c r="O929" i="74" s="1"/>
  <c r="E34" i="74" s="1"/>
  <c r="D20" i="75" s="1"/>
  <c r="AN622" i="74"/>
  <c r="AN618" i="74"/>
  <c r="AN623" i="74" s="1"/>
  <c r="Q647" i="74"/>
  <c r="BI679" i="74"/>
  <c r="AH670" i="74"/>
  <c r="AH666" i="74"/>
  <c r="AH671" i="74" s="1"/>
  <c r="CG627" i="74"/>
  <c r="CG628" i="74" s="1"/>
  <c r="CG630" i="74" s="1"/>
  <c r="AD825" i="74"/>
  <c r="CH627" i="74"/>
  <c r="CH628" i="74" s="1"/>
  <c r="CH630" i="74" s="1"/>
  <c r="BU607" i="74"/>
  <c r="U603" i="74"/>
  <c r="AD727" i="74"/>
  <c r="AD728" i="74" s="1"/>
  <c r="BD627" i="74"/>
  <c r="BD628" i="74" s="1"/>
  <c r="BD630" i="74" s="1"/>
  <c r="U535" i="74"/>
  <c r="N535" i="74" s="1"/>
  <c r="N928" i="74" s="1"/>
  <c r="CN651" i="74"/>
  <c r="CN652" i="74" s="1"/>
  <c r="CN654" i="74" s="1"/>
  <c r="CN655" i="74" s="1"/>
  <c r="AP594" i="74"/>
  <c r="AP599" i="74" s="1"/>
  <c r="AP603" i="74" s="1"/>
  <c r="AP604" i="74" s="1"/>
  <c r="N593" i="74"/>
  <c r="AE666" i="74"/>
  <c r="AE671" i="74" s="1"/>
  <c r="AE675" i="74" s="1"/>
  <c r="P822" i="74"/>
  <c r="BN630" i="74"/>
  <c r="CK603" i="74"/>
  <c r="CK604" i="74" s="1"/>
  <c r="CK606" i="74" s="1"/>
  <c r="CK607" i="74" s="1"/>
  <c r="AX675" i="74"/>
  <c r="AX676" i="74" s="1"/>
  <c r="AX678" i="74" s="1"/>
  <c r="AX679" i="74" s="1"/>
  <c r="BN675" i="74"/>
  <c r="BN676" i="74" s="1"/>
  <c r="BN678" i="74" s="1"/>
  <c r="CK675" i="74"/>
  <c r="CK676" i="74" s="1"/>
  <c r="CK678" i="74" s="1"/>
  <c r="CK679" i="74" s="1"/>
  <c r="AS873" i="74"/>
  <c r="CC704" i="74"/>
  <c r="AE752" i="74"/>
  <c r="CL603" i="74"/>
  <c r="CL604" i="74" s="1"/>
  <c r="CL606" i="74" s="1"/>
  <c r="CL607" i="74" s="1"/>
  <c r="BQ727" i="74"/>
  <c r="AO594" i="74"/>
  <c r="AO599" i="74" s="1"/>
  <c r="AO603" i="74" s="1"/>
  <c r="AO604" i="74" s="1"/>
  <c r="AO606" i="74" s="1"/>
  <c r="AO607" i="74" s="1"/>
  <c r="Q598" i="74"/>
  <c r="S798" i="74"/>
  <c r="R622" i="74"/>
  <c r="BR603" i="74"/>
  <c r="BR604" i="74" s="1"/>
  <c r="BR606" i="74" s="1"/>
  <c r="BK651" i="74"/>
  <c r="BK652" i="74" s="1"/>
  <c r="BK654" i="74" s="1"/>
  <c r="BK655" i="74" s="1"/>
  <c r="X618" i="74"/>
  <c r="X623" i="74" s="1"/>
  <c r="Q618" i="74"/>
  <c r="AA675" i="74"/>
  <c r="AA676" i="74" s="1"/>
  <c r="AA678" i="74" s="1"/>
  <c r="Z670" i="74"/>
  <c r="Z666" i="74"/>
  <c r="Z671" i="74" s="1"/>
  <c r="Q642" i="74"/>
  <c r="AG727" i="74"/>
  <c r="N641" i="74"/>
  <c r="AR822" i="74"/>
  <c r="AR824" i="74" s="1"/>
  <c r="AR825" i="74" s="1"/>
  <c r="W798" i="74"/>
  <c r="W800" i="74" s="1"/>
  <c r="AN675" i="74"/>
  <c r="AN676" i="74" s="1"/>
  <c r="AN678" i="74" s="1"/>
  <c r="CH603" i="74"/>
  <c r="CF603" i="74"/>
  <c r="CF604" i="74" s="1"/>
  <c r="CF606" i="74" s="1"/>
  <c r="CF607" i="74" s="1"/>
  <c r="AR801" i="74"/>
  <c r="CF627" i="74"/>
  <c r="CF628" i="74" s="1"/>
  <c r="CF630" i="74" s="1"/>
  <c r="AP579" i="74"/>
  <c r="AP580" i="74" s="1"/>
  <c r="AP582" i="74" s="1"/>
  <c r="AP583" i="74" s="1"/>
  <c r="S822" i="74"/>
  <c r="U873" i="74"/>
  <c r="N873" i="74" s="1"/>
  <c r="Y603" i="74"/>
  <c r="BF655" i="74"/>
  <c r="AV651" i="74"/>
  <c r="AV652" i="74" s="1"/>
  <c r="BA675" i="74"/>
  <c r="BA676" i="74" s="1"/>
  <c r="BJ651" i="74"/>
  <c r="BJ652" i="74" s="1"/>
  <c r="BJ654" i="74" s="1"/>
  <c r="BJ655" i="74" s="1"/>
  <c r="AT627" i="74"/>
  <c r="AT628" i="74" s="1"/>
  <c r="AT630" i="74" s="1"/>
  <c r="AT631" i="74" s="1"/>
  <c r="CJ651" i="74"/>
  <c r="CJ652" i="74" s="1"/>
  <c r="CJ654" i="74" s="1"/>
  <c r="CJ655" i="74" s="1"/>
  <c r="AJ622" i="74"/>
  <c r="AJ618" i="74"/>
  <c r="AJ623" i="74" s="1"/>
  <c r="AU603" i="74"/>
  <c r="AU604" i="74" s="1"/>
  <c r="AU606" i="74" s="1"/>
  <c r="AU607" i="74" s="1"/>
  <c r="CI651" i="74"/>
  <c r="P646" i="74"/>
  <c r="Q623" i="74"/>
  <c r="AR618" i="74"/>
  <c r="AR623" i="74" s="1"/>
  <c r="BE873" i="74"/>
  <c r="Q873" i="74" s="1"/>
  <c r="AI642" i="74"/>
  <c r="AI647" i="74" s="1"/>
  <c r="AI651" i="74" s="1"/>
  <c r="AI652" i="74" s="1"/>
  <c r="BU675" i="74"/>
  <c r="BU676" i="74" s="1"/>
  <c r="BU678" i="74" s="1"/>
  <c r="CD603" i="74"/>
  <c r="BK675" i="74"/>
  <c r="BK676" i="74" s="1"/>
  <c r="BK678" i="74" s="1"/>
  <c r="CA655" i="74"/>
  <c r="CA583" i="74"/>
  <c r="BH580" i="74"/>
  <c r="BH582" i="74" s="1"/>
  <c r="BH583" i="74" s="1"/>
  <c r="Z728" i="74"/>
  <c r="Z752" i="74"/>
  <c r="N574" i="74"/>
  <c r="AL603" i="74"/>
  <c r="AL604" i="74" s="1"/>
  <c r="AK675" i="74"/>
  <c r="AK676" i="74" s="1"/>
  <c r="AK678" i="74" s="1"/>
  <c r="R646" i="74"/>
  <c r="AH651" i="74"/>
  <c r="AH652" i="74" s="1"/>
  <c r="AH654" i="74" s="1"/>
  <c r="AD606" i="74"/>
  <c r="AD607" i="74" s="1"/>
  <c r="BY627" i="74"/>
  <c r="AT675" i="74"/>
  <c r="CL801" i="74"/>
  <c r="CL825" i="74"/>
  <c r="Y579" i="74"/>
  <c r="BX627" i="74"/>
  <c r="BX628" i="74" s="1"/>
  <c r="BX630" i="74" s="1"/>
  <c r="BT627" i="74"/>
  <c r="BT628" i="74" s="1"/>
  <c r="BT630" i="74" s="1"/>
  <c r="BU651" i="74"/>
  <c r="BU652" i="74" s="1"/>
  <c r="BU654" i="74" s="1"/>
  <c r="N570" i="74"/>
  <c r="S594" i="74"/>
  <c r="AF603" i="74"/>
  <c r="AF604" i="74" s="1"/>
  <c r="AF606" i="74" s="1"/>
  <c r="AQ651" i="74"/>
  <c r="AQ652" i="74" s="1"/>
  <c r="AQ654" i="74" s="1"/>
  <c r="AQ655" i="74" s="1"/>
  <c r="CF675" i="74"/>
  <c r="CF676" i="74" s="1"/>
  <c r="CF678" i="74" s="1"/>
  <c r="BI627" i="74"/>
  <c r="BI628" i="74" s="1"/>
  <c r="AM651" i="74"/>
  <c r="AM652" i="74" s="1"/>
  <c r="AM654" i="74" s="1"/>
  <c r="R850" i="74"/>
  <c r="R946" i="74" s="1"/>
  <c r="H41" i="74" s="1"/>
  <c r="G27" i="75" s="1"/>
  <c r="AP618" i="74"/>
  <c r="AP623" i="74" s="1"/>
  <c r="W642" i="74"/>
  <c r="W647" i="74" s="1"/>
  <c r="BJ628" i="74"/>
  <c r="BJ630" i="74" s="1"/>
  <c r="BP651" i="74"/>
  <c r="BP652" i="74" s="1"/>
  <c r="BP654" i="74" s="1"/>
  <c r="AO642" i="74"/>
  <c r="AO647" i="74" s="1"/>
  <c r="AO651" i="74" s="1"/>
  <c r="AO652" i="74" s="1"/>
  <c r="AO654" i="74" s="1"/>
  <c r="AO655" i="74" s="1"/>
  <c r="AF622" i="74"/>
  <c r="AF618" i="74"/>
  <c r="AF623" i="74" s="1"/>
  <c r="BM627" i="74"/>
  <c r="D43" i="74"/>
  <c r="C29" i="75" s="1"/>
  <c r="N965" i="74"/>
  <c r="S646" i="74"/>
  <c r="AE579" i="74"/>
  <c r="AE580" i="74" s="1"/>
  <c r="AE582" i="74" s="1"/>
  <c r="AE583" i="74" s="1"/>
  <c r="AP675" i="74"/>
  <c r="AP676" i="74" s="1"/>
  <c r="AP678" i="74" s="1"/>
  <c r="AB618" i="74"/>
  <c r="AB623" i="74" s="1"/>
  <c r="AU850" i="74"/>
  <c r="AU874" i="74" s="1"/>
  <c r="AQ822" i="74"/>
  <c r="AQ824" i="74" s="1"/>
  <c r="AQ825" i="74" s="1"/>
  <c r="AZ651" i="74"/>
  <c r="BZ603" i="74"/>
  <c r="CJ675" i="74"/>
  <c r="CJ676" i="74" s="1"/>
  <c r="CJ678" i="74" s="1"/>
  <c r="BW580" i="74"/>
  <c r="BW582" i="74" s="1"/>
  <c r="BW583" i="74" s="1"/>
  <c r="CM655" i="74"/>
  <c r="X676" i="74"/>
  <c r="X678" i="74" s="1"/>
  <c r="AR652" i="74"/>
  <c r="AR654" i="74" s="1"/>
  <c r="AR655" i="74" s="1"/>
  <c r="AE652" i="74"/>
  <c r="AE654" i="74" s="1"/>
  <c r="AZ583" i="74"/>
  <c r="AM728" i="74"/>
  <c r="AM752" i="74"/>
  <c r="BF728" i="74"/>
  <c r="BF752" i="74"/>
  <c r="AZ604" i="74"/>
  <c r="AZ606" i="74" s="1"/>
  <c r="AZ607" i="74" s="1"/>
  <c r="X604" i="74"/>
  <c r="X606" i="74" s="1"/>
  <c r="AJ676" i="74"/>
  <c r="AJ678" i="74" s="1"/>
  <c r="AL676" i="74"/>
  <c r="AL678" i="74" s="1"/>
  <c r="CE801" i="74"/>
  <c r="CE825" i="74"/>
  <c r="S800" i="74"/>
  <c r="AR676" i="74"/>
  <c r="AR678" i="74" s="1"/>
  <c r="CG607" i="74"/>
  <c r="CG631" i="74"/>
  <c r="AU652" i="74"/>
  <c r="AU654" i="74" s="1"/>
  <c r="AU655" i="74" s="1"/>
  <c r="W676" i="74"/>
  <c r="W678" i="74" s="1"/>
  <c r="AD652" i="74"/>
  <c r="AD654" i="74" s="1"/>
  <c r="AD655" i="74" s="1"/>
  <c r="Z652" i="74"/>
  <c r="Z654" i="74" s="1"/>
  <c r="BG604" i="74"/>
  <c r="BG606" i="74" s="1"/>
  <c r="AG623" i="74"/>
  <c r="AK652" i="74"/>
  <c r="AK654" i="74" s="1"/>
  <c r="AR604" i="74"/>
  <c r="AR606" i="74" s="1"/>
  <c r="AR607" i="74" s="1"/>
  <c r="AI628" i="74"/>
  <c r="AI630" i="74" s="1"/>
  <c r="AC628" i="74"/>
  <c r="AC630" i="74" s="1"/>
  <c r="AC631" i="74" s="1"/>
  <c r="AA628" i="74"/>
  <c r="AA630" i="74" s="1"/>
  <c r="W628" i="74"/>
  <c r="W630" i="74" s="1"/>
  <c r="AY801" i="74"/>
  <c r="AY825" i="74"/>
  <c r="AF676" i="74"/>
  <c r="AF678" i="74" s="1"/>
  <c r="Z628" i="74"/>
  <c r="Z630" i="74" s="1"/>
  <c r="Z631" i="74" s="1"/>
  <c r="AN604" i="74"/>
  <c r="AN606" i="74" s="1"/>
  <c r="AH604" i="74"/>
  <c r="AH606" i="74" s="1"/>
  <c r="Y752" i="74"/>
  <c r="Y628" i="74"/>
  <c r="Y630" i="74" s="1"/>
  <c r="AQ604" i="74"/>
  <c r="AQ606" i="74" s="1"/>
  <c r="AQ607" i="74" s="1"/>
  <c r="BF628" i="74"/>
  <c r="BF630" i="74" s="1"/>
  <c r="AB604" i="74"/>
  <c r="AB606" i="74" s="1"/>
  <c r="AB607" i="74" s="1"/>
  <c r="AP652" i="74"/>
  <c r="AP654" i="74" s="1"/>
  <c r="AK631" i="74"/>
  <c r="CE679" i="74"/>
  <c r="AG580" i="74"/>
  <c r="AG582" i="74" s="1"/>
  <c r="U798" i="74"/>
  <c r="U800" i="74" s="1"/>
  <c r="U825" i="74" s="1"/>
  <c r="N797" i="74"/>
  <c r="CL628" i="74"/>
  <c r="CL630" i="74" s="1"/>
  <c r="BQ728" i="74"/>
  <c r="R728" i="74" s="1"/>
  <c r="R937" i="74" s="1"/>
  <c r="H38" i="74" s="1"/>
  <c r="G24" i="75" s="1"/>
  <c r="R727" i="74"/>
  <c r="BQ652" i="74"/>
  <c r="CI652" i="74"/>
  <c r="CI654" i="74"/>
  <c r="CI655" i="74" s="1"/>
  <c r="S575" i="74"/>
  <c r="CC579" i="74"/>
  <c r="P748" i="74"/>
  <c r="AS749" i="74"/>
  <c r="P749" i="74" s="1"/>
  <c r="X580" i="74"/>
  <c r="X582" i="74" s="1"/>
  <c r="X583" i="74" s="1"/>
  <c r="AG646" i="74"/>
  <c r="O641" i="74"/>
  <c r="AS580" i="74"/>
  <c r="P579" i="74"/>
  <c r="CE580" i="74"/>
  <c r="CE582" i="74" s="1"/>
  <c r="AM622" i="74"/>
  <c r="AM618" i="74"/>
  <c r="AM623" i="74" s="1"/>
  <c r="BE798" i="74"/>
  <c r="Q798" i="74" s="1"/>
  <c r="Q797" i="74"/>
  <c r="BH628" i="74"/>
  <c r="BH630" i="74" s="1"/>
  <c r="Q1027" i="74"/>
  <c r="Q1025" i="74"/>
  <c r="Q1023" i="74"/>
  <c r="Q1021" i="74"/>
  <c r="Q1026" i="74"/>
  <c r="Q1024" i="74"/>
  <c r="Q1022" i="74"/>
  <c r="Q1020" i="74"/>
  <c r="Z821" i="74"/>
  <c r="N817" i="74"/>
  <c r="O743" i="74"/>
  <c r="AS604" i="74"/>
  <c r="U621" i="74"/>
  <c r="N621" i="74" s="1"/>
  <c r="N616" i="74"/>
  <c r="AH575" i="74"/>
  <c r="O575" i="74" s="1"/>
  <c r="O570" i="74"/>
  <c r="O597" i="74"/>
  <c r="N668" i="74"/>
  <c r="O665" i="74"/>
  <c r="AG670" i="74"/>
  <c r="O670" i="74" s="1"/>
  <c r="BM652" i="74"/>
  <c r="BM654" i="74" s="1"/>
  <c r="BL604" i="74"/>
  <c r="BL606" i="74" s="1"/>
  <c r="BL607" i="74" s="1"/>
  <c r="AF798" i="74"/>
  <c r="AF800" i="74" s="1"/>
  <c r="N848" i="74"/>
  <c r="O848" i="74"/>
  <c r="U617" i="74"/>
  <c r="O821" i="74"/>
  <c r="AG822" i="74"/>
  <c r="AG824" i="74" s="1"/>
  <c r="AU628" i="74"/>
  <c r="AU630" i="74" s="1"/>
  <c r="AA603" i="74"/>
  <c r="BF599" i="74"/>
  <c r="Q599" i="74" s="1"/>
  <c r="Q594" i="74"/>
  <c r="P618" i="74"/>
  <c r="R665" i="74"/>
  <c r="BQ670" i="74"/>
  <c r="D36" i="74"/>
  <c r="C22" i="75" s="1"/>
  <c r="AG669" i="74"/>
  <c r="O669" i="74" s="1"/>
  <c r="O664" i="74"/>
  <c r="P798" i="74"/>
  <c r="AF728" i="74"/>
  <c r="AF752" i="74"/>
  <c r="U874" i="74"/>
  <c r="Y604" i="74"/>
  <c r="Y606" i="74" s="1"/>
  <c r="P594" i="74"/>
  <c r="V679" i="74"/>
  <c r="W603" i="74"/>
  <c r="AS801" i="74"/>
  <c r="P800" i="74"/>
  <c r="BN603" i="74"/>
  <c r="BA627" i="74"/>
  <c r="CC623" i="74"/>
  <c r="S618" i="74"/>
  <c r="AX628" i="74"/>
  <c r="AX630" i="74" s="1"/>
  <c r="AX631" i="74" s="1"/>
  <c r="AW603" i="74"/>
  <c r="AS874" i="74"/>
  <c r="P873" i="74"/>
  <c r="CD628" i="74"/>
  <c r="CD630" i="74" s="1"/>
  <c r="BL652" i="74"/>
  <c r="BL654" i="74" s="1"/>
  <c r="X627" i="74"/>
  <c r="CN676" i="74"/>
  <c r="CN678" i="74" s="1"/>
  <c r="CN679" i="74" s="1"/>
  <c r="CI675" i="74"/>
  <c r="CL651" i="74"/>
  <c r="N575" i="74"/>
  <c r="U579" i="74"/>
  <c r="AS628" i="74"/>
  <c r="AS630" i="74" s="1"/>
  <c r="S599" i="74"/>
  <c r="CC603" i="74"/>
  <c r="BE559" i="74"/>
  <c r="Q559" i="74" s="1"/>
  <c r="Q929" i="74" s="1"/>
  <c r="G34" i="74" s="1"/>
  <c r="F20" i="75" s="1"/>
  <c r="Q558" i="74"/>
  <c r="BH676" i="74"/>
  <c r="BH678" i="74" s="1"/>
  <c r="BH679" i="74" s="1"/>
  <c r="BQ628" i="74"/>
  <c r="AM666" i="74"/>
  <c r="AM671" i="74" s="1"/>
  <c r="AM675" i="74" s="1"/>
  <c r="CI604" i="74"/>
  <c r="CI606" i="74" s="1"/>
  <c r="CI607" i="74" s="1"/>
  <c r="AS652" i="74"/>
  <c r="AS654" i="74" s="1"/>
  <c r="CI850" i="74"/>
  <c r="CI628" i="74"/>
  <c r="CI630" i="74" s="1"/>
  <c r="BG675" i="74"/>
  <c r="BR676" i="74"/>
  <c r="BR678" i="74" s="1"/>
  <c r="BR679" i="74" s="1"/>
  <c r="BX800" i="74"/>
  <c r="BW603" i="74"/>
  <c r="CJ604" i="74"/>
  <c r="CJ606" i="74" s="1"/>
  <c r="CJ607" i="74" s="1"/>
  <c r="BN651" i="74"/>
  <c r="BS647" i="74"/>
  <c r="R647" i="74" s="1"/>
  <c r="R642" i="74"/>
  <c r="CA675" i="74"/>
  <c r="CB675" i="74"/>
  <c r="CN627" i="74"/>
  <c r="CG651" i="74"/>
  <c r="BW652" i="74"/>
  <c r="BW654" i="74" s="1"/>
  <c r="AA579" i="74"/>
  <c r="AG798" i="74"/>
  <c r="O797" i="74"/>
  <c r="W850" i="74"/>
  <c r="AH850" i="74"/>
  <c r="CA603" i="74"/>
  <c r="R599" i="74"/>
  <c r="S744" i="74"/>
  <c r="CC748" i="74"/>
  <c r="O574" i="74"/>
  <c r="U704" i="74"/>
  <c r="BC651" i="74"/>
  <c r="P623" i="74"/>
  <c r="Q665" i="74"/>
  <c r="BE670" i="74"/>
  <c r="O668" i="74"/>
  <c r="U556" i="74"/>
  <c r="N556" i="74" s="1"/>
  <c r="N555" i="74"/>
  <c r="BL627" i="74"/>
  <c r="BP603" i="74"/>
  <c r="N720" i="74"/>
  <c r="X724" i="74"/>
  <c r="BB675" i="74"/>
  <c r="AY603" i="74"/>
  <c r="S670" i="74"/>
  <c r="BU627" i="74"/>
  <c r="N620" i="74"/>
  <c r="P599" i="74"/>
  <c r="R618" i="74"/>
  <c r="U604" i="74"/>
  <c r="P850" i="74"/>
  <c r="P946" i="74" s="1"/>
  <c r="F41" i="74" s="1"/>
  <c r="E27" i="75" s="1"/>
  <c r="AB642" i="74"/>
  <c r="AB647" i="74" s="1"/>
  <c r="AB651" i="74" s="1"/>
  <c r="CE631" i="74"/>
  <c r="BE666" i="74"/>
  <c r="AD666" i="74"/>
  <c r="AD671" i="74" s="1"/>
  <c r="AD675" i="74" s="1"/>
  <c r="BD675" i="74"/>
  <c r="AJ603" i="74"/>
  <c r="AC670" i="74"/>
  <c r="AC666" i="74"/>
  <c r="AC671" i="74" s="1"/>
  <c r="BE580" i="74"/>
  <c r="Q580" i="74" s="1"/>
  <c r="Q579" i="74"/>
  <c r="BB580" i="74"/>
  <c r="BB582" i="74" s="1"/>
  <c r="CM604" i="74"/>
  <c r="CM606" i="74" s="1"/>
  <c r="CM607" i="74" s="1"/>
  <c r="AM822" i="74"/>
  <c r="AM824" i="74" s="1"/>
  <c r="AM825" i="74" s="1"/>
  <c r="AW651" i="74"/>
  <c r="AJ652" i="74"/>
  <c r="AJ654" i="74" s="1"/>
  <c r="AJ655" i="74" s="1"/>
  <c r="CB603" i="74"/>
  <c r="BS582" i="74"/>
  <c r="BS583" i="74" s="1"/>
  <c r="O701" i="74"/>
  <c r="AG702" i="74"/>
  <c r="O702" i="74" s="1"/>
  <c r="BO604" i="74"/>
  <c r="BO606" i="74" s="1"/>
  <c r="BO607" i="74" s="1"/>
  <c r="N665" i="74"/>
  <c r="U670" i="74"/>
  <c r="N670" i="74" s="1"/>
  <c r="V627" i="74"/>
  <c r="BQ671" i="74"/>
  <c r="R671" i="74" s="1"/>
  <c r="R666" i="74"/>
  <c r="CJ628" i="74"/>
  <c r="CJ630" i="74" s="1"/>
  <c r="CK628" i="74"/>
  <c r="CK630" i="74" s="1"/>
  <c r="CK631" i="74" s="1"/>
  <c r="BD604" i="74"/>
  <c r="BD606" i="74" s="1"/>
  <c r="CD647" i="74"/>
  <c r="S647" i="74" s="1"/>
  <c r="S642" i="74"/>
  <c r="AC651" i="74"/>
  <c r="BH603" i="74"/>
  <c r="BZ628" i="74"/>
  <c r="BZ630" i="74" s="1"/>
  <c r="AM579" i="74"/>
  <c r="AG744" i="74"/>
  <c r="O744" i="74" s="1"/>
  <c r="O739" i="74"/>
  <c r="BC675" i="74"/>
  <c r="BD580" i="74"/>
  <c r="BD582" i="74"/>
  <c r="BD583" i="74" s="1"/>
  <c r="BV604" i="74"/>
  <c r="BV606" i="74" s="1"/>
  <c r="BZ675" i="74"/>
  <c r="O620" i="74"/>
  <c r="BS604" i="74"/>
  <c r="BS606" i="74" s="1"/>
  <c r="O727" i="74"/>
  <c r="AB798" i="74"/>
  <c r="AB800" i="74" s="1"/>
  <c r="Y675" i="74"/>
  <c r="N645" i="74"/>
  <c r="BO651" i="74"/>
  <c r="CB627" i="74"/>
  <c r="G36" i="74"/>
  <c r="F22" i="75" s="1"/>
  <c r="BY651" i="74"/>
  <c r="Y646" i="74"/>
  <c r="Y642" i="74"/>
  <c r="AS825" i="74"/>
  <c r="P825" i="74" s="1"/>
  <c r="P943" i="74" s="1"/>
  <c r="F28" i="74" s="1"/>
  <c r="E14" i="75" s="1"/>
  <c r="P824" i="74"/>
  <c r="O621" i="74"/>
  <c r="BX604" i="74"/>
  <c r="BX606" i="74" s="1"/>
  <c r="R594" i="74"/>
  <c r="AZ628" i="74"/>
  <c r="AZ630" i="74" s="1"/>
  <c r="CH651" i="74"/>
  <c r="P1026" i="74"/>
  <c r="P1024" i="74"/>
  <c r="P1022" i="74"/>
  <c r="P1020" i="74"/>
  <c r="P1027" i="74"/>
  <c r="P1025" i="74"/>
  <c r="P1023" i="74"/>
  <c r="P1021" i="74"/>
  <c r="BA651" i="74"/>
  <c r="CD675" i="74"/>
  <c r="O593" i="74"/>
  <c r="S622" i="74"/>
  <c r="S598" i="74"/>
  <c r="X651" i="74"/>
  <c r="AM603" i="74"/>
  <c r="BY603" i="74"/>
  <c r="N646" i="74"/>
  <c r="BX651" i="74"/>
  <c r="R623" i="74"/>
  <c r="AP627" i="74"/>
  <c r="CF651" i="74"/>
  <c r="AN642" i="74"/>
  <c r="AN647" i="74" s="1"/>
  <c r="AN651" i="74" s="1"/>
  <c r="BT631" i="74"/>
  <c r="AA642" i="74"/>
  <c r="AA647" i="74" s="1"/>
  <c r="AA651" i="74" s="1"/>
  <c r="BE606" i="74"/>
  <c r="BE728" i="74"/>
  <c r="Q728" i="74" s="1"/>
  <c r="Q937" i="74" s="1"/>
  <c r="G38" i="74" s="1"/>
  <c r="F24" i="75" s="1"/>
  <c r="Q727" i="74"/>
  <c r="BZ651" i="74"/>
  <c r="N739" i="74"/>
  <c r="U744" i="74"/>
  <c r="N744" i="74" s="1"/>
  <c r="AO627" i="74"/>
  <c r="CC652" i="74"/>
  <c r="CC654" i="74" s="1"/>
  <c r="AG599" i="74"/>
  <c r="O599" i="74" s="1"/>
  <c r="O594" i="74"/>
  <c r="O873" i="74"/>
  <c r="AG874" i="74"/>
  <c r="BV651" i="74"/>
  <c r="N743" i="74"/>
  <c r="U748" i="74"/>
  <c r="BT675" i="74"/>
  <c r="AI603" i="74"/>
  <c r="BQ824" i="74"/>
  <c r="E43" i="74"/>
  <c r="D29" i="75" s="1"/>
  <c r="O965" i="74"/>
  <c r="CC671" i="74"/>
  <c r="S666" i="74"/>
  <c r="AG622" i="74"/>
  <c r="AG627" i="74" s="1"/>
  <c r="O617" i="74"/>
  <c r="AS670" i="74"/>
  <c r="P670" i="74" s="1"/>
  <c r="P665" i="74"/>
  <c r="AS666" i="74"/>
  <c r="BB604" i="74"/>
  <c r="BB606" i="74" s="1"/>
  <c r="AS728" i="74"/>
  <c r="P728" i="74" s="1"/>
  <c r="P937" i="74" s="1"/>
  <c r="F38" i="74" s="1"/>
  <c r="E24" i="75" s="1"/>
  <c r="P727" i="74"/>
  <c r="BD651" i="74"/>
  <c r="BQ558" i="74"/>
  <c r="BQ583" i="74" s="1"/>
  <c r="AF579" i="74"/>
  <c r="W579" i="74"/>
  <c r="BQ873" i="74"/>
  <c r="AR627" i="74"/>
  <c r="AG642" i="74"/>
  <c r="AY675" i="74"/>
  <c r="BE749" i="74"/>
  <c r="Q749" i="74" s="1"/>
  <c r="Q748" i="74"/>
  <c r="AQ675" i="74"/>
  <c r="AK580" i="74"/>
  <c r="AK582" i="74" s="1"/>
  <c r="AK583" i="74" s="1"/>
  <c r="BK604" i="74"/>
  <c r="BK606" i="74" s="1"/>
  <c r="CG676" i="74"/>
  <c r="CG678" i="74" s="1"/>
  <c r="V580" i="74"/>
  <c r="V582" i="74" s="1"/>
  <c r="V583" i="74" s="1"/>
  <c r="BJ604" i="74"/>
  <c r="BJ606" i="74" s="1"/>
  <c r="BE822" i="74"/>
  <c r="Q822" i="74" s="1"/>
  <c r="Q821" i="74"/>
  <c r="BQ751" i="74"/>
  <c r="CC824" i="74"/>
  <c r="AU675" i="74"/>
  <c r="P622" i="74"/>
  <c r="AG666" i="74"/>
  <c r="Z579" i="74"/>
  <c r="CL675" i="74"/>
  <c r="AH622" i="74"/>
  <c r="AH618" i="74"/>
  <c r="AH623" i="74" s="1"/>
  <c r="BQ604" i="74"/>
  <c r="BQ606" i="74" s="1"/>
  <c r="AV603" i="74"/>
  <c r="R598" i="74"/>
  <c r="AO798" i="74"/>
  <c r="AO800" i="74" s="1"/>
  <c r="AO801" i="74" s="1"/>
  <c r="BP628" i="74"/>
  <c r="BP630" i="74" s="1"/>
  <c r="AT647" i="74"/>
  <c r="P647" i="74" s="1"/>
  <c r="P642" i="74"/>
  <c r="N597" i="74"/>
  <c r="AV675" i="74"/>
  <c r="O598" i="74"/>
  <c r="AF642" i="74"/>
  <c r="AF647" i="74" s="1"/>
  <c r="AF651" i="74" s="1"/>
  <c r="U666" i="74"/>
  <c r="BE627" i="74"/>
  <c r="AO675" i="74"/>
  <c r="N598" i="74"/>
  <c r="AZ675" i="74"/>
  <c r="U652" i="74"/>
  <c r="U654" i="74" s="1"/>
  <c r="AL651" i="74"/>
  <c r="AQ622" i="74"/>
  <c r="AQ618" i="74"/>
  <c r="AQ623" i="74" s="1"/>
  <c r="BC603" i="74"/>
  <c r="CC873" i="74"/>
  <c r="AB675" i="74"/>
  <c r="AY651" i="74"/>
  <c r="AB627" i="74"/>
  <c r="O645" i="74"/>
  <c r="W651" i="74"/>
  <c r="N669" i="74"/>
  <c r="AE594" i="74"/>
  <c r="BE874" i="74" l="1"/>
  <c r="Q874" i="74" s="1"/>
  <c r="Q947" i="74" s="1"/>
  <c r="G31" i="74" s="1"/>
  <c r="F17" i="75" s="1"/>
  <c r="AH675" i="74"/>
  <c r="AH676" i="74" s="1"/>
  <c r="AH678" i="74" s="1"/>
  <c r="AF627" i="74"/>
  <c r="AD752" i="74"/>
  <c r="CH604" i="74"/>
  <c r="CH606" i="74" s="1"/>
  <c r="U558" i="74"/>
  <c r="P801" i="74"/>
  <c r="P942" i="74" s="1"/>
  <c r="F39" i="74" s="1"/>
  <c r="E25" i="75" s="1"/>
  <c r="AC675" i="74"/>
  <c r="CL631" i="74"/>
  <c r="S801" i="74"/>
  <c r="S942" i="74" s="1"/>
  <c r="I39" i="74" s="1"/>
  <c r="H25" i="75" s="1"/>
  <c r="S704" i="74"/>
  <c r="S936" i="74" s="1"/>
  <c r="I32" i="74" s="1"/>
  <c r="H18" i="75" s="1"/>
  <c r="CC728" i="74"/>
  <c r="S728" i="74" s="1"/>
  <c r="S937" i="74" s="1"/>
  <c r="I38" i="74" s="1"/>
  <c r="H24" i="75" s="1"/>
  <c r="AG603" i="74"/>
  <c r="AG604" i="74" s="1"/>
  <c r="AG606" i="74" s="1"/>
  <c r="AL606" i="74"/>
  <c r="CF631" i="74"/>
  <c r="AP606" i="74"/>
  <c r="AP607" i="74" s="1"/>
  <c r="CJ679" i="74"/>
  <c r="BA678" i="74"/>
  <c r="R580" i="74"/>
  <c r="Z675" i="74"/>
  <c r="Z676" i="74" s="1"/>
  <c r="Z678" i="74" s="1"/>
  <c r="Z679" i="74" s="1"/>
  <c r="W801" i="74"/>
  <c r="W825" i="74"/>
  <c r="BF603" i="74"/>
  <c r="BF604" i="74" s="1"/>
  <c r="Q604" i="74" s="1"/>
  <c r="BE824" i="74"/>
  <c r="BE825" i="74" s="1"/>
  <c r="Q825" i="74" s="1"/>
  <c r="Q943" i="74" s="1"/>
  <c r="G28" i="74" s="1"/>
  <c r="F14" i="75" s="1"/>
  <c r="BB607" i="74"/>
  <c r="P627" i="74"/>
  <c r="AJ627" i="74"/>
  <c r="AJ628" i="74" s="1"/>
  <c r="AJ630" i="74" s="1"/>
  <c r="BR631" i="74"/>
  <c r="BR607" i="74"/>
  <c r="AU631" i="74"/>
  <c r="BK679" i="74"/>
  <c r="AR679" i="74"/>
  <c r="AI654" i="74"/>
  <c r="AI655" i="74" s="1"/>
  <c r="AH579" i="74"/>
  <c r="BE800" i="74"/>
  <c r="BE801" i="74" s="1"/>
  <c r="Q801" i="74" s="1"/>
  <c r="Q942" i="74" s="1"/>
  <c r="G39" i="74" s="1"/>
  <c r="F25" i="75" s="1"/>
  <c r="AM627" i="74"/>
  <c r="AM628" i="74" s="1"/>
  <c r="AM630" i="74" s="1"/>
  <c r="AV654" i="74"/>
  <c r="AV655" i="74" s="1"/>
  <c r="CD604" i="74"/>
  <c r="CD606" i="74" s="1"/>
  <c r="CD651" i="74"/>
  <c r="S651" i="74" s="1"/>
  <c r="R627" i="74"/>
  <c r="P874" i="74"/>
  <c r="P947" i="74" s="1"/>
  <c r="F31" i="74" s="1"/>
  <c r="E17" i="75" s="1"/>
  <c r="AS751" i="74"/>
  <c r="P751" i="74" s="1"/>
  <c r="BJ679" i="74"/>
  <c r="BW655" i="74"/>
  <c r="BW679" i="74"/>
  <c r="AP679" i="74"/>
  <c r="R583" i="74"/>
  <c r="R930" i="74" s="1"/>
  <c r="H40" i="74" s="1"/>
  <c r="G26" i="75" s="1"/>
  <c r="AJ679" i="74"/>
  <c r="X607" i="74"/>
  <c r="BZ604" i="74"/>
  <c r="BZ606" i="74" s="1"/>
  <c r="BZ607" i="74" s="1"/>
  <c r="BM628" i="74"/>
  <c r="BM630" i="74" s="1"/>
  <c r="BM631" i="74" s="1"/>
  <c r="BP655" i="74"/>
  <c r="BP679" i="74"/>
  <c r="AT676" i="74"/>
  <c r="AT678" i="74" s="1"/>
  <c r="Q959" i="74"/>
  <c r="CJ631" i="74"/>
  <c r="BI630" i="74"/>
  <c r="BI631" i="74" s="1"/>
  <c r="AK655" i="74"/>
  <c r="AZ652" i="74"/>
  <c r="AZ654" i="74" s="1"/>
  <c r="AZ655" i="74" s="1"/>
  <c r="AF628" i="74"/>
  <c r="AF630" i="74" s="1"/>
  <c r="AF631" i="74" s="1"/>
  <c r="Y580" i="74"/>
  <c r="Y582" i="74" s="1"/>
  <c r="BY628" i="74"/>
  <c r="BY630" i="74" s="1"/>
  <c r="BH655" i="74"/>
  <c r="AQ627" i="74"/>
  <c r="AQ628" i="74" s="1"/>
  <c r="AQ630" i="74" s="1"/>
  <c r="AQ631" i="74" s="1"/>
  <c r="AH627" i="74"/>
  <c r="AH628" i="74" s="1"/>
  <c r="AH630" i="74" s="1"/>
  <c r="AH631" i="74" s="1"/>
  <c r="R582" i="74"/>
  <c r="N1025" i="74"/>
  <c r="N1024" i="74"/>
  <c r="N1023" i="74"/>
  <c r="N1022" i="74"/>
  <c r="N1021" i="74"/>
  <c r="N1020" i="74"/>
  <c r="N1027" i="74"/>
  <c r="N1026" i="74"/>
  <c r="AD631" i="74"/>
  <c r="BL655" i="74"/>
  <c r="BL679" i="74"/>
  <c r="CE583" i="74"/>
  <c r="CE607" i="74"/>
  <c r="CE655" i="74"/>
  <c r="BX607" i="74"/>
  <c r="BX631" i="74"/>
  <c r="BM655" i="74"/>
  <c r="BM679" i="74"/>
  <c r="AF652" i="74"/>
  <c r="AF654" i="74" s="1"/>
  <c r="AF679" i="74" s="1"/>
  <c r="BK607" i="74"/>
  <c r="BK631" i="74"/>
  <c r="AN652" i="74"/>
  <c r="AN654" i="74" s="1"/>
  <c r="AD676" i="74"/>
  <c r="AD678" i="74" s="1"/>
  <c r="AD679" i="74" s="1"/>
  <c r="AK679" i="74"/>
  <c r="AA652" i="74"/>
  <c r="AA654" i="74" s="1"/>
  <c r="BV607" i="74"/>
  <c r="BV631" i="74"/>
  <c r="BD607" i="74"/>
  <c r="BD631" i="74"/>
  <c r="AM676" i="74"/>
  <c r="AM678" i="74" s="1"/>
  <c r="AM679" i="74" s="1"/>
  <c r="AH679" i="74"/>
  <c r="Y631" i="74"/>
  <c r="AN607" i="74"/>
  <c r="AN631" i="74"/>
  <c r="AE599" i="74"/>
  <c r="N594" i="74"/>
  <c r="AB628" i="74"/>
  <c r="AB630" i="74" s="1"/>
  <c r="AB631" i="74" s="1"/>
  <c r="O603" i="74"/>
  <c r="BE628" i="74"/>
  <c r="BE630" i="74" s="1"/>
  <c r="Q627" i="74"/>
  <c r="AV676" i="74"/>
  <c r="AV678" i="74" s="1"/>
  <c r="AV679" i="74" s="1"/>
  <c r="BQ607" i="74"/>
  <c r="Z580" i="74"/>
  <c r="Z582" i="74" s="1"/>
  <c r="Z655" i="74" s="1"/>
  <c r="AQ676" i="74"/>
  <c r="AQ678" i="74" s="1"/>
  <c r="AQ679" i="74" s="1"/>
  <c r="AY676" i="74"/>
  <c r="AY678" i="74" s="1"/>
  <c r="BQ874" i="74"/>
  <c r="R874" i="74" s="1"/>
  <c r="R947" i="74" s="1"/>
  <c r="H31" i="74" s="1"/>
  <c r="G17" i="75" s="1"/>
  <c r="R873" i="74"/>
  <c r="BD652" i="74"/>
  <c r="BD654" i="74" s="1"/>
  <c r="BD655" i="74" s="1"/>
  <c r="AB652" i="74"/>
  <c r="AB654" i="74"/>
  <c r="AB655" i="74" s="1"/>
  <c r="BQ825" i="74"/>
  <c r="R824" i="74"/>
  <c r="U749" i="74"/>
  <c r="N749" i="74" s="1"/>
  <c r="N748" i="74"/>
  <c r="X652" i="74"/>
  <c r="X654" i="74" s="1"/>
  <c r="CD676" i="74"/>
  <c r="CD678" i="74" s="1"/>
  <c r="AZ631" i="74"/>
  <c r="BO652" i="74"/>
  <c r="BO654" i="74" s="1"/>
  <c r="AB801" i="74"/>
  <c r="AB825" i="74"/>
  <c r="AG628" i="74"/>
  <c r="AG630" i="74" s="1"/>
  <c r="CB604" i="74"/>
  <c r="CB606" i="74" s="1"/>
  <c r="CB607" i="74" s="1"/>
  <c r="BD676" i="74"/>
  <c r="BD678" i="74" s="1"/>
  <c r="BE671" i="74"/>
  <c r="Q671" i="74" s="1"/>
  <c r="Q666" i="74"/>
  <c r="Q670" i="74"/>
  <c r="BC652" i="74"/>
  <c r="BC654" i="74" s="1"/>
  <c r="BC655" i="74" s="1"/>
  <c r="CC749" i="74"/>
  <c r="S749" i="74" s="1"/>
  <c r="S748" i="74"/>
  <c r="AH874" i="74"/>
  <c r="O850" i="74"/>
  <c r="O946" i="74" s="1"/>
  <c r="E41" i="74" s="1"/>
  <c r="D27" i="75" s="1"/>
  <c r="O798" i="74"/>
  <c r="CG652" i="74"/>
  <c r="CG654" i="74" s="1"/>
  <c r="AH580" i="74"/>
  <c r="AH582" i="74" s="1"/>
  <c r="CI631" i="74"/>
  <c r="U580" i="74"/>
  <c r="N579" i="74"/>
  <c r="P959" i="74"/>
  <c r="BN604" i="74"/>
  <c r="BN606" i="74" s="1"/>
  <c r="BU655" i="74"/>
  <c r="BU679" i="74"/>
  <c r="BB631" i="74"/>
  <c r="AA604" i="74"/>
  <c r="AA606" i="74" s="1"/>
  <c r="AA631" i="74" s="1"/>
  <c r="O824" i="74"/>
  <c r="AO825" i="74"/>
  <c r="Z822" i="74"/>
  <c r="N822" i="74" s="1"/>
  <c r="N821" i="74"/>
  <c r="P580" i="74"/>
  <c r="O646" i="74"/>
  <c r="O579" i="74"/>
  <c r="AP655" i="74"/>
  <c r="O623" i="74"/>
  <c r="AK607" i="74"/>
  <c r="V655" i="74"/>
  <c r="AY652" i="74"/>
  <c r="AY654" i="74" s="1"/>
  <c r="AY655" i="74" s="1"/>
  <c r="S873" i="74"/>
  <c r="CC874" i="74"/>
  <c r="AL652" i="74"/>
  <c r="AL654" i="74" s="1"/>
  <c r="AZ676" i="74"/>
  <c r="AZ678" i="74" s="1"/>
  <c r="U671" i="74"/>
  <c r="N671" i="74" s="1"/>
  <c r="N666" i="74"/>
  <c r="AV604" i="74"/>
  <c r="AV606" i="74" s="1"/>
  <c r="AG671" i="74"/>
  <c r="O666" i="74"/>
  <c r="CC825" i="74"/>
  <c r="S825" i="74" s="1"/>
  <c r="S943" i="74" s="1"/>
  <c r="I28" i="74" s="1"/>
  <c r="H14" i="75" s="1"/>
  <c r="S824" i="74"/>
  <c r="W580" i="74"/>
  <c r="W582" i="74" s="1"/>
  <c r="W583" i="74" s="1"/>
  <c r="S671" i="74"/>
  <c r="CC675" i="74"/>
  <c r="AC676" i="74"/>
  <c r="AC678" i="74" s="1"/>
  <c r="BZ652" i="74"/>
  <c r="BZ654" i="74" s="1"/>
  <c r="BZ655" i="74" s="1"/>
  <c r="BY604" i="74"/>
  <c r="BY606" i="74" s="1"/>
  <c r="BA652" i="74"/>
  <c r="BA654" i="74" s="1"/>
  <c r="BY652" i="74"/>
  <c r="BY654" i="74" s="1"/>
  <c r="BH604" i="74"/>
  <c r="BH606" i="74" s="1"/>
  <c r="BB583" i="74"/>
  <c r="BB655" i="74"/>
  <c r="AY604" i="74"/>
  <c r="AY606" i="74" s="1"/>
  <c r="BP604" i="74"/>
  <c r="BP606" i="74" s="1"/>
  <c r="U559" i="74"/>
  <c r="N559" i="74" s="1"/>
  <c r="N929" i="74" s="1"/>
  <c r="N558" i="74"/>
  <c r="N704" i="74"/>
  <c r="N936" i="74" s="1"/>
  <c r="D32" i="74" s="1"/>
  <c r="C18" i="75" s="1"/>
  <c r="U728" i="74"/>
  <c r="N850" i="74"/>
  <c r="N946" i="74" s="1"/>
  <c r="D41" i="74" s="1"/>
  <c r="C27" i="75" s="1"/>
  <c r="W874" i="74"/>
  <c r="N874" i="74" s="1"/>
  <c r="N947" i="74" s="1"/>
  <c r="AA580" i="74"/>
  <c r="AA582" i="74" s="1"/>
  <c r="AA583" i="74" s="1"/>
  <c r="CN628" i="74"/>
  <c r="CN630" i="74" s="1"/>
  <c r="CN631" i="74" s="1"/>
  <c r="S850" i="74"/>
  <c r="S946" i="74" s="1"/>
  <c r="I41" i="74" s="1"/>
  <c r="H27" i="75" s="1"/>
  <c r="CI874" i="74"/>
  <c r="W604" i="74"/>
  <c r="W606" i="74" s="1"/>
  <c r="W631" i="74" s="1"/>
  <c r="R670" i="74"/>
  <c r="BQ675" i="74"/>
  <c r="AF801" i="74"/>
  <c r="AF825" i="74"/>
  <c r="P603" i="74"/>
  <c r="AG748" i="74"/>
  <c r="AS752" i="74"/>
  <c r="P752" i="74" s="1"/>
  <c r="P938" i="74" s="1"/>
  <c r="F27" i="74" s="1"/>
  <c r="E13" i="75" s="1"/>
  <c r="U801" i="74"/>
  <c r="N800" i="74"/>
  <c r="AG583" i="74"/>
  <c r="BG607" i="74"/>
  <c r="BG631" i="74"/>
  <c r="AI679" i="74"/>
  <c r="V607" i="74"/>
  <c r="AE655" i="74"/>
  <c r="W652" i="74"/>
  <c r="W654" i="74" s="1"/>
  <c r="AB676" i="74"/>
  <c r="AB678" i="74" s="1"/>
  <c r="BC604" i="74"/>
  <c r="BC606" i="74" s="1"/>
  <c r="R603" i="74"/>
  <c r="BQ752" i="74"/>
  <c r="R752" i="74" s="1"/>
  <c r="R938" i="74" s="1"/>
  <c r="H27" i="74" s="1"/>
  <c r="G13" i="75" s="1"/>
  <c r="R751" i="74"/>
  <c r="BJ607" i="74"/>
  <c r="BJ631" i="74"/>
  <c r="O642" i="74"/>
  <c r="AG647" i="74"/>
  <c r="O647" i="74" s="1"/>
  <c r="AF580" i="74"/>
  <c r="AF582" i="74" s="1"/>
  <c r="AF583" i="74" s="1"/>
  <c r="O1026" i="74"/>
  <c r="O1024" i="74"/>
  <c r="O1022" i="74"/>
  <c r="O1020" i="74"/>
  <c r="O1027" i="74"/>
  <c r="O1025" i="74"/>
  <c r="O1023" i="74"/>
  <c r="O1021" i="74"/>
  <c r="D60" i="74" a="1"/>
  <c r="D60" i="74" s="1"/>
  <c r="D61" i="74" a="1"/>
  <c r="D61" i="74" s="1"/>
  <c r="D59" i="74" a="1"/>
  <c r="D59" i="74" s="1"/>
  <c r="D62" i="74" a="1"/>
  <c r="D62" i="74" s="1"/>
  <c r="AI604" i="74"/>
  <c r="AI606" i="74" s="1"/>
  <c r="BV652" i="74"/>
  <c r="BV654" i="74" s="1"/>
  <c r="AO628" i="74"/>
  <c r="AO630" i="74" s="1"/>
  <c r="AO631" i="74" s="1"/>
  <c r="CF652" i="74"/>
  <c r="CF654" i="74"/>
  <c r="CF655" i="74" s="1"/>
  <c r="CH652" i="74"/>
  <c r="Y676" i="74"/>
  <c r="Y678" i="74" s="1"/>
  <c r="BS607" i="74"/>
  <c r="BS631" i="74"/>
  <c r="BZ676" i="74"/>
  <c r="BZ678" i="74" s="1"/>
  <c r="AM580" i="74"/>
  <c r="AM582" i="74" s="1"/>
  <c r="AM583" i="74" s="1"/>
  <c r="AC652" i="74"/>
  <c r="AC654" i="74" s="1"/>
  <c r="AC655" i="74" s="1"/>
  <c r="AG704" i="74"/>
  <c r="BE582" i="74"/>
  <c r="BE607" i="74" s="1"/>
  <c r="Q651" i="74"/>
  <c r="U606" i="74"/>
  <c r="BB676" i="74"/>
  <c r="BB678" i="74" s="1"/>
  <c r="BB679" i="74" s="1"/>
  <c r="BL628" i="74"/>
  <c r="BL630" i="74" s="1"/>
  <c r="BL631" i="74" s="1"/>
  <c r="Q603" i="74"/>
  <c r="CB676" i="74"/>
  <c r="CB678" i="74" s="1"/>
  <c r="CB679" i="74" s="1"/>
  <c r="BW604" i="74"/>
  <c r="BW606" i="74" s="1"/>
  <c r="BG676" i="74"/>
  <c r="BG678" i="74" s="1"/>
  <c r="BG679" i="74" s="1"/>
  <c r="S603" i="74"/>
  <c r="CC604" i="74"/>
  <c r="S604" i="74" s="1"/>
  <c r="CL652" i="74"/>
  <c r="CL654" i="74" s="1"/>
  <c r="CL655" i="74" s="1"/>
  <c r="AW604" i="74"/>
  <c r="P604" i="74" s="1"/>
  <c r="S623" i="74"/>
  <c r="CC627" i="74"/>
  <c r="AT651" i="74"/>
  <c r="U622" i="74"/>
  <c r="N617" i="74"/>
  <c r="U618" i="74"/>
  <c r="AS606" i="74"/>
  <c r="AS631" i="74" s="1"/>
  <c r="CC580" i="74"/>
  <c r="S580" i="74" s="1"/>
  <c r="S579" i="74"/>
  <c r="BQ654" i="74"/>
  <c r="BO631" i="74"/>
  <c r="AO676" i="74"/>
  <c r="AO678" i="74" s="1"/>
  <c r="AO679" i="74" s="1"/>
  <c r="CL676" i="74"/>
  <c r="CL678" i="74" s="1"/>
  <c r="AU676" i="74"/>
  <c r="AU678" i="74" s="1"/>
  <c r="AU679" i="74" s="1"/>
  <c r="BE751" i="74"/>
  <c r="AR628" i="74"/>
  <c r="AR630" i="74" s="1"/>
  <c r="AR631" i="74" s="1"/>
  <c r="BQ559" i="74"/>
  <c r="R559" i="74" s="1"/>
  <c r="R929" i="74" s="1"/>
  <c r="H34" i="74" s="1"/>
  <c r="G20" i="75" s="1"/>
  <c r="R558" i="74"/>
  <c r="AS671" i="74"/>
  <c r="P671" i="74" s="1"/>
  <c r="P666" i="74"/>
  <c r="O622" i="74"/>
  <c r="BT676" i="74"/>
  <c r="BT678" i="74" s="1"/>
  <c r="BT679" i="74" s="1"/>
  <c r="O874" i="74"/>
  <c r="O947" i="74" s="1"/>
  <c r="E31" i="74" s="1"/>
  <c r="D17" i="75" s="1"/>
  <c r="AP628" i="74"/>
  <c r="AP630" i="74" s="1"/>
  <c r="AP631" i="74" s="1"/>
  <c r="BX652" i="74"/>
  <c r="BX654" i="74" s="1"/>
  <c r="AM604" i="74"/>
  <c r="AM606" i="74" s="1"/>
  <c r="Y647" i="74"/>
  <c r="N647" i="74" s="1"/>
  <c r="N642" i="74"/>
  <c r="CB628" i="74"/>
  <c r="CB630" i="74" s="1"/>
  <c r="BS651" i="74"/>
  <c r="BC676" i="74"/>
  <c r="BC678" i="74" s="1"/>
  <c r="BC679" i="74" s="1"/>
  <c r="V628" i="74"/>
  <c r="V630" i="74" s="1"/>
  <c r="V631" i="74" s="1"/>
  <c r="AW652" i="74"/>
  <c r="AW654" i="74" s="1"/>
  <c r="AJ604" i="74"/>
  <c r="AJ606" i="74" s="1"/>
  <c r="BU628" i="74"/>
  <c r="X725" i="74"/>
  <c r="N725" i="74" s="1"/>
  <c r="N724" i="74"/>
  <c r="CA604" i="74"/>
  <c r="CA606" i="74" s="1"/>
  <c r="AG800" i="74"/>
  <c r="AG825" i="74" s="1"/>
  <c r="O825" i="74" s="1"/>
  <c r="O943" i="74" s="1"/>
  <c r="E28" i="74" s="1"/>
  <c r="D14" i="75" s="1"/>
  <c r="CA676" i="74"/>
  <c r="CA678" i="74" s="1"/>
  <c r="CA679" i="74" s="1"/>
  <c r="BN652" i="74"/>
  <c r="Q652" i="74" s="1"/>
  <c r="BX801" i="74"/>
  <c r="R801" i="74" s="1"/>
  <c r="R942" i="74" s="1"/>
  <c r="H39" i="74" s="1"/>
  <c r="G25" i="75" s="1"/>
  <c r="BX825" i="74"/>
  <c r="R800" i="74"/>
  <c r="BQ630" i="74"/>
  <c r="CI676" i="74"/>
  <c r="CI678" i="74" s="1"/>
  <c r="CI679" i="74" s="1"/>
  <c r="X628" i="74"/>
  <c r="X630" i="74" s="1"/>
  <c r="X631" i="74" s="1"/>
  <c r="BA628" i="74"/>
  <c r="P628" i="74" s="1"/>
  <c r="AE676" i="74"/>
  <c r="AE678" i="74" s="1"/>
  <c r="AE679" i="74" s="1"/>
  <c r="O822" i="74"/>
  <c r="AS582" i="74"/>
  <c r="AS655" i="74" s="1"/>
  <c r="N798" i="74"/>
  <c r="O618" i="74"/>
  <c r="CM631" i="74"/>
  <c r="Q824" i="74" l="1"/>
  <c r="Q958" i="74" s="1"/>
  <c r="P958" i="74"/>
  <c r="CH631" i="74"/>
  <c r="CH607" i="74"/>
  <c r="Q800" i="74"/>
  <c r="CD652" i="74"/>
  <c r="CD654" i="74" s="1"/>
  <c r="CD655" i="74" s="1"/>
  <c r="CC582" i="74"/>
  <c r="CC751" i="74"/>
  <c r="S751" i="74" s="1"/>
  <c r="O627" i="74"/>
  <c r="AL607" i="74"/>
  <c r="AL631" i="74"/>
  <c r="AZ679" i="74"/>
  <c r="AB679" i="74"/>
  <c r="CD607" i="74"/>
  <c r="CD631" i="74"/>
  <c r="Z824" i="74"/>
  <c r="N824" i="74" s="1"/>
  <c r="U675" i="74"/>
  <c r="U676" i="74" s="1"/>
  <c r="N676" i="74" s="1"/>
  <c r="R628" i="74"/>
  <c r="AS675" i="74"/>
  <c r="P675" i="74" s="1"/>
  <c r="AM631" i="74"/>
  <c r="AW606" i="74"/>
  <c r="AW607" i="74" s="1"/>
  <c r="S652" i="74"/>
  <c r="AH583" i="74"/>
  <c r="O583" i="74" s="1"/>
  <c r="O930" i="74" s="1"/>
  <c r="E40" i="74" s="1"/>
  <c r="D26" i="75" s="1"/>
  <c r="AH607" i="74"/>
  <c r="AN655" i="74"/>
  <c r="AN679" i="74"/>
  <c r="Y583" i="74"/>
  <c r="Y607" i="74"/>
  <c r="AG651" i="74"/>
  <c r="O651" i="74" s="1"/>
  <c r="BA630" i="74"/>
  <c r="BA631" i="74" s="1"/>
  <c r="O580" i="74"/>
  <c r="CH654" i="74"/>
  <c r="BE675" i="74"/>
  <c r="Q675" i="74" s="1"/>
  <c r="R959" i="74"/>
  <c r="BZ631" i="74"/>
  <c r="AM607" i="74"/>
  <c r="AI607" i="74"/>
  <c r="AI631" i="74"/>
  <c r="W655" i="74"/>
  <c r="W679" i="74"/>
  <c r="BP607" i="74"/>
  <c r="BP631" i="74"/>
  <c r="BA655" i="74"/>
  <c r="BA679" i="74"/>
  <c r="CA607" i="74"/>
  <c r="CA631" i="74"/>
  <c r="AJ607" i="74"/>
  <c r="AJ631" i="74"/>
  <c r="BH607" i="74"/>
  <c r="BH631" i="74"/>
  <c r="CL679" i="74"/>
  <c r="BW607" i="74"/>
  <c r="BW631" i="74"/>
  <c r="R606" i="74"/>
  <c r="BC607" i="74"/>
  <c r="BC631" i="74"/>
  <c r="D31" i="74"/>
  <c r="C17" i="75" s="1"/>
  <c r="N959" i="74"/>
  <c r="CG655" i="74"/>
  <c r="CG679" i="74"/>
  <c r="O630" i="74"/>
  <c r="AG631" i="74"/>
  <c r="BV655" i="74"/>
  <c r="BV679" i="74"/>
  <c r="AL655" i="74"/>
  <c r="AL679" i="74"/>
  <c r="BN607" i="74"/>
  <c r="BN631" i="74"/>
  <c r="X655" i="74"/>
  <c r="X679" i="74"/>
  <c r="AA655" i="74"/>
  <c r="AA679" i="74"/>
  <c r="BQ631" i="74"/>
  <c r="BU630" i="74"/>
  <c r="BU631" i="74" s="1"/>
  <c r="CB631" i="74"/>
  <c r="BE752" i="74"/>
  <c r="Q752" i="74" s="1"/>
  <c r="Q938" i="74" s="1"/>
  <c r="G27" i="74" s="1"/>
  <c r="F13" i="75" s="1"/>
  <c r="Q751" i="74"/>
  <c r="U623" i="74"/>
  <c r="N623" i="74" s="1"/>
  <c r="N618" i="74"/>
  <c r="O704" i="74"/>
  <c r="O936" i="74" s="1"/>
  <c r="E32" i="74" s="1"/>
  <c r="D18" i="75" s="1"/>
  <c r="AG728" i="74"/>
  <c r="O728" i="74" s="1"/>
  <c r="O937" i="74" s="1"/>
  <c r="E38" i="74" s="1"/>
  <c r="D24" i="75" s="1"/>
  <c r="R957" i="74"/>
  <c r="O582" i="74"/>
  <c r="AY607" i="74"/>
  <c r="AY631" i="74"/>
  <c r="BY655" i="74"/>
  <c r="BY679" i="74"/>
  <c r="BY607" i="74"/>
  <c r="BY631" i="74"/>
  <c r="AV607" i="74"/>
  <c r="AV631" i="74"/>
  <c r="S874" i="74"/>
  <c r="S947" i="74" s="1"/>
  <c r="I31" i="74" s="1"/>
  <c r="H17" i="75" s="1"/>
  <c r="N580" i="74"/>
  <c r="BE676" i="74"/>
  <c r="Q676" i="74" s="1"/>
  <c r="R825" i="74"/>
  <c r="R943" i="74" s="1"/>
  <c r="H28" i="74" s="1"/>
  <c r="G14" i="75" s="1"/>
  <c r="AY679" i="74"/>
  <c r="Z583" i="74"/>
  <c r="Z607" i="74"/>
  <c r="O606" i="74"/>
  <c r="AG607" i="74"/>
  <c r="N599" i="74"/>
  <c r="AE603" i="74"/>
  <c r="AS676" i="74"/>
  <c r="P676" i="74" s="1"/>
  <c r="S627" i="74"/>
  <c r="CC628" i="74"/>
  <c r="S628" i="74" s="1"/>
  <c r="BZ679" i="74"/>
  <c r="O748" i="74"/>
  <c r="AG749" i="74"/>
  <c r="O749" i="74" s="1"/>
  <c r="W607" i="74"/>
  <c r="D34" i="74"/>
  <c r="C20" i="75" s="1"/>
  <c r="AC679" i="74"/>
  <c r="AA607" i="74"/>
  <c r="BD679" i="74"/>
  <c r="O628" i="74"/>
  <c r="BO655" i="74"/>
  <c r="BO679" i="74"/>
  <c r="BE631" i="74"/>
  <c r="Q630" i="74"/>
  <c r="AH655" i="74"/>
  <c r="AM655" i="74"/>
  <c r="AF655" i="74"/>
  <c r="CC583" i="74"/>
  <c r="S583" i="74" s="1"/>
  <c r="S930" i="74" s="1"/>
  <c r="I40" i="74" s="1"/>
  <c r="H26" i="75" s="1"/>
  <c r="S582" i="74"/>
  <c r="BS652" i="74"/>
  <c r="R652" i="74" s="1"/>
  <c r="R651" i="74"/>
  <c r="N622" i="74"/>
  <c r="CC606" i="74"/>
  <c r="P957" i="74"/>
  <c r="BQ676" i="74"/>
  <c r="R676" i="74" s="1"/>
  <c r="R675" i="74"/>
  <c r="O671" i="74"/>
  <c r="AG675" i="74"/>
  <c r="CF679" i="74"/>
  <c r="U582" i="74"/>
  <c r="U751" i="74"/>
  <c r="O604" i="74"/>
  <c r="AW655" i="74"/>
  <c r="AW679" i="74"/>
  <c r="BX655" i="74"/>
  <c r="BX679" i="74"/>
  <c r="R604" i="74"/>
  <c r="AS583" i="74"/>
  <c r="P583" i="74" s="1"/>
  <c r="P930" i="74" s="1"/>
  <c r="F40" i="74" s="1"/>
  <c r="E26" i="75" s="1"/>
  <c r="P582" i="74"/>
  <c r="AG801" i="74"/>
  <c r="O801" i="74" s="1"/>
  <c r="O942" i="74" s="1"/>
  <c r="E39" i="74" s="1"/>
  <c r="D25" i="75" s="1"/>
  <c r="O800" i="74"/>
  <c r="BN654" i="74"/>
  <c r="X727" i="74"/>
  <c r="BQ655" i="74"/>
  <c r="AS607" i="74"/>
  <c r="AT652" i="74"/>
  <c r="P652" i="74" s="1"/>
  <c r="P651" i="74"/>
  <c r="BF606" i="74"/>
  <c r="BE583" i="74"/>
  <c r="Q583" i="74" s="1"/>
  <c r="Q930" i="74" s="1"/>
  <c r="G40" i="74" s="1"/>
  <c r="F26" i="75" s="1"/>
  <c r="Q582" i="74"/>
  <c r="BE655" i="74"/>
  <c r="N801" i="74"/>
  <c r="N942" i="74" s="1"/>
  <c r="D39" i="74" s="1"/>
  <c r="C25" i="75" s="1"/>
  <c r="N675" i="74"/>
  <c r="CC655" i="74"/>
  <c r="S675" i="74"/>
  <c r="CC676" i="74"/>
  <c r="S676" i="74" s="1"/>
  <c r="CC678" i="74"/>
  <c r="S958" i="74"/>
  <c r="AF607" i="74"/>
  <c r="Y651" i="74"/>
  <c r="O959" i="74"/>
  <c r="Q628" i="74"/>
  <c r="CC752" i="74" l="1"/>
  <c r="S752" i="74" s="1"/>
  <c r="S938" i="74" s="1"/>
  <c r="I27" i="74" s="1"/>
  <c r="H13" i="75" s="1"/>
  <c r="P606" i="74"/>
  <c r="P630" i="74"/>
  <c r="CD679" i="74"/>
  <c r="AW631" i="74"/>
  <c r="P631" i="74" s="1"/>
  <c r="P933" i="74" s="1"/>
  <c r="S654" i="74"/>
  <c r="U627" i="74"/>
  <c r="Z825" i="74"/>
  <c r="N825" i="74" s="1"/>
  <c r="N943" i="74" s="1"/>
  <c r="D28" i="74" s="1"/>
  <c r="C14" i="75" s="1"/>
  <c r="CH679" i="74"/>
  <c r="CH655" i="74"/>
  <c r="S655" i="74" s="1"/>
  <c r="S932" i="74" s="1"/>
  <c r="I30" i="74" s="1"/>
  <c r="H16" i="75" s="1"/>
  <c r="BQ678" i="74"/>
  <c r="BQ679" i="74" s="1"/>
  <c r="R679" i="74" s="1"/>
  <c r="R607" i="74"/>
  <c r="R931" i="74" s="1"/>
  <c r="H29" i="74" s="1"/>
  <c r="S959" i="74"/>
  <c r="O607" i="74"/>
  <c r="O931" i="74" s="1"/>
  <c r="E29" i="74" s="1"/>
  <c r="AG652" i="74"/>
  <c r="O652" i="74" s="1"/>
  <c r="BS654" i="74"/>
  <c r="R654" i="74" s="1"/>
  <c r="CC630" i="74"/>
  <c r="CC631" i="74" s="1"/>
  <c r="S631" i="74" s="1"/>
  <c r="S933" i="74" s="1"/>
  <c r="AT654" i="74"/>
  <c r="AT655" i="74" s="1"/>
  <c r="P655" i="74" s="1"/>
  <c r="P932" i="74" s="1"/>
  <c r="F30" i="74" s="1"/>
  <c r="E16" i="75" s="1"/>
  <c r="R958" i="74"/>
  <c r="P607" i="74"/>
  <c r="P931" i="74" s="1"/>
  <c r="F29" i="74" s="1"/>
  <c r="S957" i="74"/>
  <c r="AG751" i="74"/>
  <c r="O751" i="74" s="1"/>
  <c r="U678" i="74"/>
  <c r="U583" i="74"/>
  <c r="N583" i="74" s="1"/>
  <c r="N930" i="74" s="1"/>
  <c r="N582" i="74"/>
  <c r="U655" i="74"/>
  <c r="U607" i="74"/>
  <c r="N958" i="74"/>
  <c r="S630" i="74"/>
  <c r="S606" i="74"/>
  <c r="CC607" i="74"/>
  <c r="S607" i="74" s="1"/>
  <c r="S931" i="74" s="1"/>
  <c r="I29" i="74" s="1"/>
  <c r="BS679" i="74"/>
  <c r="Q957" i="74"/>
  <c r="R630" i="74"/>
  <c r="Y652" i="74"/>
  <c r="N652" i="74" s="1"/>
  <c r="N651" i="74"/>
  <c r="S678" i="74"/>
  <c r="CC679" i="74"/>
  <c r="BF607" i="74"/>
  <c r="Q607" i="74" s="1"/>
  <c r="Q931" i="74" s="1"/>
  <c r="G29" i="74" s="1"/>
  <c r="BF631" i="74"/>
  <c r="Q606" i="74"/>
  <c r="X728" i="74"/>
  <c r="N728" i="74" s="1"/>
  <c r="N937" i="74" s="1"/>
  <c r="D38" i="74" s="1"/>
  <c r="C24" i="75" s="1"/>
  <c r="X752" i="74"/>
  <c r="N727" i="74"/>
  <c r="U628" i="74"/>
  <c r="N628" i="74" s="1"/>
  <c r="N627" i="74"/>
  <c r="AE604" i="74"/>
  <c r="N604" i="74" s="1"/>
  <c r="N603" i="74"/>
  <c r="R631" i="74"/>
  <c r="R933" i="74" s="1"/>
  <c r="O675" i="74"/>
  <c r="AG676" i="74"/>
  <c r="O676" i="74" s="1"/>
  <c r="O958" i="74"/>
  <c r="BN655" i="74"/>
  <c r="Q655" i="74" s="1"/>
  <c r="Q932" i="74" s="1"/>
  <c r="G30" i="74" s="1"/>
  <c r="F16" i="75" s="1"/>
  <c r="BN679" i="74"/>
  <c r="Q654" i="74"/>
  <c r="N751" i="74"/>
  <c r="U752" i="74"/>
  <c r="Q631" i="74"/>
  <c r="Q933" i="74" s="1"/>
  <c r="AS678" i="74"/>
  <c r="BE678" i="74"/>
  <c r="O631" i="74"/>
  <c r="O933" i="74" s="1"/>
  <c r="R678" i="74" l="1"/>
  <c r="S679" i="74"/>
  <c r="P986" i="74"/>
  <c r="P977" i="74"/>
  <c r="P990" i="74"/>
  <c r="P980" i="74"/>
  <c r="P994" i="74"/>
  <c r="P991" i="74"/>
  <c r="P982" i="74"/>
  <c r="P993" i="74"/>
  <c r="P984" i="74"/>
  <c r="P996" i="74"/>
  <c r="P985" i="74"/>
  <c r="P975" i="74"/>
  <c r="P988" i="74"/>
  <c r="P654" i="74"/>
  <c r="BS655" i="74"/>
  <c r="R655" i="74" s="1"/>
  <c r="R932" i="74" s="1"/>
  <c r="H30" i="74" s="1"/>
  <c r="G16" i="75" s="1"/>
  <c r="P1004" i="74"/>
  <c r="P1006" i="74"/>
  <c r="AG752" i="74"/>
  <c r="O752" i="74" s="1"/>
  <c r="O938" i="74" s="1"/>
  <c r="E27" i="74" s="1"/>
  <c r="D13" i="75" s="1"/>
  <c r="P981" i="74"/>
  <c r="AT679" i="74"/>
  <c r="P979" i="74"/>
  <c r="P995" i="74"/>
  <c r="P997" i="74"/>
  <c r="P983" i="74"/>
  <c r="P992" i="74"/>
  <c r="P978" i="74"/>
  <c r="F37" i="74"/>
  <c r="E23" i="75" s="1"/>
  <c r="P956" i="74"/>
  <c r="P987" i="74"/>
  <c r="P1003" i="74"/>
  <c r="P989" i="74"/>
  <c r="P998" i="74"/>
  <c r="P976" i="74"/>
  <c r="P1000" i="74"/>
  <c r="AG654" i="74"/>
  <c r="AE606" i="74"/>
  <c r="AE607" i="74" s="1"/>
  <c r="N607" i="74" s="1"/>
  <c r="N931" i="74" s="1"/>
  <c r="D29" i="74" s="1"/>
  <c r="P1005" i="74"/>
  <c r="P999" i="74"/>
  <c r="P1001" i="74"/>
  <c r="P1002" i="74"/>
  <c r="R956" i="74"/>
  <c r="G37" i="74"/>
  <c r="F23" i="75" s="1"/>
  <c r="Q999" i="74"/>
  <c r="Q991" i="74"/>
  <c r="Q1000" i="74"/>
  <c r="Q992" i="74"/>
  <c r="Q983" i="74"/>
  <c r="Q975" i="74"/>
  <c r="Q984" i="74"/>
  <c r="Q976" i="74"/>
  <c r="Q1005" i="74"/>
  <c r="Q997" i="74"/>
  <c r="Q1006" i="74"/>
  <c r="Q998" i="74"/>
  <c r="Q989" i="74"/>
  <c r="Q981" i="74"/>
  <c r="Q990" i="74"/>
  <c r="Q982" i="74"/>
  <c r="Q1003" i="74"/>
  <c r="Q995" i="74"/>
  <c r="Q1004" i="74"/>
  <c r="Q996" i="74"/>
  <c r="Q987" i="74"/>
  <c r="Q979" i="74"/>
  <c r="Q988" i="74"/>
  <c r="Q980" i="74"/>
  <c r="Q1001" i="74"/>
  <c r="Q993" i="74"/>
  <c r="Q1002" i="74"/>
  <c r="Q994" i="74"/>
  <c r="Q985" i="74"/>
  <c r="Q977" i="74"/>
  <c r="Q986" i="74"/>
  <c r="Q978" i="74"/>
  <c r="Q956" i="74"/>
  <c r="AE631" i="74"/>
  <c r="N606" i="74"/>
  <c r="E37" i="74"/>
  <c r="D23" i="75" s="1"/>
  <c r="O1000" i="74"/>
  <c r="O992" i="74"/>
  <c r="O999" i="74"/>
  <c r="O991" i="74"/>
  <c r="O984" i="74"/>
  <c r="O976" i="74"/>
  <c r="O983" i="74"/>
  <c r="O975" i="74"/>
  <c r="O1006" i="74"/>
  <c r="O998" i="74"/>
  <c r="O1005" i="74"/>
  <c r="O997" i="74"/>
  <c r="O982" i="74"/>
  <c r="O981" i="74"/>
  <c r="O1004" i="74"/>
  <c r="O996" i="74"/>
  <c r="O1003" i="74"/>
  <c r="O995" i="74"/>
  <c r="O988" i="74"/>
  <c r="O980" i="74"/>
  <c r="O979" i="74"/>
  <c r="O1002" i="74"/>
  <c r="O994" i="74"/>
  <c r="O1001" i="74"/>
  <c r="O993" i="74"/>
  <c r="O986" i="74"/>
  <c r="O978" i="74"/>
  <c r="O977" i="74"/>
  <c r="N752" i="74"/>
  <c r="N938" i="74" s="1"/>
  <c r="D27" i="74" s="1"/>
  <c r="C13" i="75" s="1"/>
  <c r="O956" i="74"/>
  <c r="I37" i="74"/>
  <c r="H23" i="75" s="1"/>
  <c r="S1004" i="74"/>
  <c r="S996" i="74"/>
  <c r="S1005" i="74"/>
  <c r="S997" i="74"/>
  <c r="S988" i="74"/>
  <c r="S980" i="74"/>
  <c r="S987" i="74"/>
  <c r="S979" i="74"/>
  <c r="S1002" i="74"/>
  <c r="S994" i="74"/>
  <c r="S1003" i="74"/>
  <c r="S995" i="74"/>
  <c r="S986" i="74"/>
  <c r="S978" i="74"/>
  <c r="S985" i="74"/>
  <c r="S977" i="74"/>
  <c r="S1000" i="74"/>
  <c r="S992" i="74"/>
  <c r="S1001" i="74"/>
  <c r="S993" i="74"/>
  <c r="S984" i="74"/>
  <c r="S976" i="74"/>
  <c r="S983" i="74"/>
  <c r="S975" i="74"/>
  <c r="S1006" i="74"/>
  <c r="S998" i="74"/>
  <c r="S990" i="74"/>
  <c r="S999" i="74"/>
  <c r="S991" i="74"/>
  <c r="S982" i="74"/>
  <c r="S989" i="74"/>
  <c r="S981" i="74"/>
  <c r="D40" i="74"/>
  <c r="C26" i="75" s="1"/>
  <c r="BE679" i="74"/>
  <c r="Q679" i="74" s="1"/>
  <c r="Q678" i="74"/>
  <c r="H37" i="74"/>
  <c r="G23" i="75" s="1"/>
  <c r="R1005" i="74"/>
  <c r="R997" i="74"/>
  <c r="R1006" i="74"/>
  <c r="R998" i="74"/>
  <c r="R990" i="74"/>
  <c r="R983" i="74"/>
  <c r="R975" i="74"/>
  <c r="R982" i="74"/>
  <c r="R1003" i="74"/>
  <c r="R995" i="74"/>
  <c r="R1004" i="74"/>
  <c r="R996" i="74"/>
  <c r="R989" i="74"/>
  <c r="R981" i="74"/>
  <c r="R988" i="74"/>
  <c r="R980" i="74"/>
  <c r="R1001" i="74"/>
  <c r="R993" i="74"/>
  <c r="R1002" i="74"/>
  <c r="R994" i="74"/>
  <c r="R987" i="74"/>
  <c r="R979" i="74"/>
  <c r="R986" i="74"/>
  <c r="R978" i="74"/>
  <c r="R999" i="74"/>
  <c r="R991" i="74"/>
  <c r="R1000" i="74"/>
  <c r="R992" i="74"/>
  <c r="R985" i="74"/>
  <c r="R977" i="74"/>
  <c r="R984" i="74"/>
  <c r="R976" i="74"/>
  <c r="U630" i="74"/>
  <c r="S956" i="74"/>
  <c r="U679" i="74"/>
  <c r="N678" i="74"/>
  <c r="AS679" i="74"/>
  <c r="P679" i="74" s="1"/>
  <c r="P678" i="74"/>
  <c r="AG678" i="74"/>
  <c r="Y654" i="74"/>
  <c r="N957" i="74" l="1"/>
  <c r="O985" i="74"/>
  <c r="O987" i="74"/>
  <c r="O989" i="74"/>
  <c r="O990" i="74"/>
  <c r="O957" i="74"/>
  <c r="O654" i="74"/>
  <c r="AG655" i="74"/>
  <c r="O655" i="74" s="1"/>
  <c r="O932" i="74" s="1"/>
  <c r="E30" i="74" s="1"/>
  <c r="D16" i="75" s="1"/>
  <c r="Y655" i="74"/>
  <c r="N655" i="74" s="1"/>
  <c r="N932" i="74" s="1"/>
  <c r="D30" i="74" s="1"/>
  <c r="C16" i="75" s="1"/>
  <c r="N654" i="74"/>
  <c r="Y679" i="74"/>
  <c r="N679" i="74" s="1"/>
  <c r="O678" i="74"/>
  <c r="AG679" i="74"/>
  <c r="O679" i="74" s="1"/>
  <c r="U631" i="74"/>
  <c r="N631" i="74" s="1"/>
  <c r="N933" i="74" s="1"/>
  <c r="N630" i="74"/>
  <c r="D58" i="74" a="1"/>
  <c r="D58" i="74" s="1"/>
  <c r="M46" i="74" s="1"/>
  <c r="O46" i="74" s="1"/>
  <c r="P46" i="74" s="1"/>
  <c r="Q46" i="74" s="1"/>
  <c r="D53" i="74" l="1" a="1"/>
  <c r="D53" i="74" s="1"/>
  <c r="D57" i="74" a="1"/>
  <c r="D57" i="74" s="1"/>
  <c r="M45" i="74" s="1"/>
  <c r="O45" i="74" s="1"/>
  <c r="P45" i="74" s="1"/>
  <c r="Q45" i="74" s="1"/>
  <c r="D56" i="74" a="1"/>
  <c r="D56" i="74" s="1"/>
  <c r="D55" i="74" a="1"/>
  <c r="D55" i="74" s="1"/>
  <c r="N956" i="74"/>
  <c r="D52" i="74" a="1"/>
  <c r="D52" i="74" s="1"/>
  <c r="D37" i="74"/>
  <c r="C23" i="75" s="1"/>
  <c r="N1003" i="74"/>
  <c r="N995" i="74"/>
  <c r="N1004" i="74"/>
  <c r="N996" i="74"/>
  <c r="N987" i="74"/>
  <c r="N979" i="74"/>
  <c r="N988" i="74"/>
  <c r="N980" i="74"/>
  <c r="N1001" i="74"/>
  <c r="N993" i="74"/>
  <c r="N1002" i="74"/>
  <c r="N994" i="74"/>
  <c r="N985" i="74"/>
  <c r="N977" i="74"/>
  <c r="N986" i="74"/>
  <c r="N978" i="74"/>
  <c r="N999" i="74"/>
  <c r="N991" i="74"/>
  <c r="N1000" i="74"/>
  <c r="N992" i="74"/>
  <c r="N983" i="74"/>
  <c r="N975" i="74"/>
  <c r="N984" i="74"/>
  <c r="N976" i="74"/>
  <c r="N1005" i="74"/>
  <c r="N997" i="74"/>
  <c r="N1006" i="74"/>
  <c r="N998" i="74"/>
  <c r="N989" i="74"/>
  <c r="N981" i="74"/>
  <c r="N990" i="74"/>
  <c r="N982" i="74"/>
  <c r="D54" i="74" a="1"/>
  <c r="D54" i="74" s="1"/>
  <c r="M41" i="74" s="1"/>
  <c r="O41" i="74" s="1"/>
  <c r="P41" i="74" s="1"/>
  <c r="Q41" i="74" s="1"/>
  <c r="L33" i="74" l="1"/>
  <c r="E15" i="75"/>
  <c r="G15" i="75"/>
  <c r="D15" i="75"/>
  <c r="H15" i="75"/>
  <c r="F15" i="75"/>
  <c r="C15" i="75"/>
  <c r="D64" i="74"/>
  <c r="P28" i="50" l="1"/>
  <c r="O28" i="50"/>
  <c r="O23" i="50"/>
  <c r="G50" i="70" l="1"/>
  <c r="G48" i="70"/>
  <c r="G18" i="70"/>
  <c r="E40" i="70"/>
  <c r="E44" i="70" s="1"/>
  <c r="E36" i="70"/>
  <c r="AA37" i="52" l="1"/>
  <c r="AA36" i="52"/>
  <c r="AA35" i="52"/>
  <c r="AA34" i="52"/>
  <c r="AA33" i="52"/>
  <c r="AA32" i="52"/>
  <c r="AA31" i="52"/>
  <c r="AA30" i="52"/>
  <c r="AA29" i="52"/>
  <c r="AA28" i="52"/>
  <c r="AA27" i="52"/>
  <c r="AA26" i="52"/>
  <c r="AA25" i="52"/>
  <c r="AA24" i="52"/>
  <c r="AA23" i="52"/>
  <c r="AA22" i="52"/>
  <c r="AA21" i="52"/>
  <c r="AA20" i="52"/>
  <c r="AA19" i="52"/>
  <c r="AA18" i="52"/>
  <c r="AA17" i="52"/>
  <c r="AA16" i="52"/>
  <c r="AA15" i="52"/>
  <c r="AA14" i="52"/>
  <c r="AA13" i="52"/>
  <c r="AA12" i="52"/>
  <c r="AA11" i="52"/>
  <c r="AA10" i="52"/>
  <c r="AA9" i="52"/>
  <c r="AA8" i="52"/>
  <c r="AA7" i="52"/>
  <c r="Z37" i="52"/>
  <c r="Z36" i="52"/>
  <c r="Z35" i="52"/>
  <c r="Z34" i="52"/>
  <c r="Z33" i="52"/>
  <c r="Z32" i="52"/>
  <c r="Z31" i="52"/>
  <c r="Z30" i="52"/>
  <c r="Z29" i="52"/>
  <c r="Z28" i="52"/>
  <c r="Z27" i="52"/>
  <c r="Z26" i="52"/>
  <c r="Z25" i="52"/>
  <c r="Z24" i="52"/>
  <c r="Z23" i="52"/>
  <c r="Z22" i="52"/>
  <c r="Z21" i="52"/>
  <c r="Z20" i="52"/>
  <c r="Z19" i="52"/>
  <c r="Z18" i="52"/>
  <c r="Z17" i="52"/>
  <c r="AB17" i="52" s="1"/>
  <c r="Z16" i="52"/>
  <c r="Z15" i="52"/>
  <c r="Z14" i="52"/>
  <c r="Z13" i="52"/>
  <c r="Z12" i="52"/>
  <c r="Z11" i="52"/>
  <c r="Z10" i="52"/>
  <c r="Z9" i="52"/>
  <c r="Z8" i="52"/>
  <c r="Z7" i="52"/>
  <c r="AB13" i="52" l="1"/>
  <c r="AB9" i="52"/>
  <c r="AB21" i="52"/>
  <c r="AB25" i="52"/>
  <c r="AB29" i="52"/>
  <c r="AB33" i="52"/>
  <c r="AB37" i="52"/>
  <c r="AB12" i="52"/>
  <c r="AB16" i="52"/>
  <c r="AB20" i="52"/>
  <c r="AB24" i="52"/>
  <c r="AB28" i="52"/>
  <c r="AB23" i="52"/>
  <c r="AB31" i="52"/>
  <c r="AB35" i="52"/>
  <c r="AB15" i="52"/>
  <c r="AB19" i="52"/>
  <c r="AB27" i="52"/>
  <c r="AB32" i="52"/>
  <c r="AB36" i="52"/>
  <c r="AB14" i="52"/>
  <c r="AB18" i="52"/>
  <c r="AB22" i="52"/>
  <c r="AB26" i="52"/>
  <c r="AB30" i="52"/>
  <c r="AB34" i="52"/>
  <c r="AB11" i="52"/>
  <c r="AB10" i="52"/>
  <c r="AB8" i="52"/>
  <c r="AB7" i="52"/>
  <c r="Z38" i="52"/>
  <c r="E51" i="55"/>
  <c r="AB38" i="52" l="1"/>
  <c r="K23" i="50" s="1"/>
  <c r="B33" i="70"/>
  <c r="B30" i="70"/>
  <c r="K28" i="70" s="1"/>
  <c r="F5" i="3"/>
  <c r="B29" i="70"/>
  <c r="E38" i="70" l="1"/>
  <c r="E37" i="70"/>
  <c r="E32" i="70"/>
  <c r="K29" i="70"/>
  <c r="E28" i="70" s="1"/>
  <c r="B2" i="21"/>
  <c r="A110" i="21" l="1"/>
  <c r="A105" i="21"/>
  <c r="A100" i="21"/>
  <c r="A95" i="21"/>
  <c r="A90" i="21"/>
  <c r="A60" i="21"/>
  <c r="B17" i="21" l="1"/>
  <c r="B18" i="21"/>
  <c r="C78" i="55"/>
  <c r="B13" i="21" s="1"/>
  <c r="C79" i="55"/>
  <c r="B14" i="21" s="1"/>
  <c r="E79" i="55"/>
  <c r="D79" i="55"/>
  <c r="E14" i="21" s="1"/>
  <c r="D73" i="55"/>
  <c r="E9" i="21" s="1"/>
  <c r="D72" i="55"/>
  <c r="E8" i="21" s="1"/>
  <c r="D75" i="55"/>
  <c r="F28" i="50" l="1"/>
  <c r="B12" i="62" l="1"/>
  <c r="E48" i="11" l="1"/>
  <c r="E47" i="11"/>
  <c r="E46" i="11"/>
  <c r="E45" i="11"/>
  <c r="E44" i="11"/>
  <c r="M99" i="55"/>
  <c r="A77" i="21"/>
  <c r="A76" i="21"/>
  <c r="K47" i="55"/>
  <c r="K40" i="55"/>
  <c r="K33" i="55"/>
  <c r="A45" i="11" l="1"/>
  <c r="A44" i="11"/>
  <c r="A48" i="11"/>
  <c r="A47" i="11"/>
  <c r="A46" i="11"/>
  <c r="E42" i="11"/>
  <c r="A42" i="11"/>
  <c r="A40" i="11"/>
  <c r="A23" i="64" s="1"/>
  <c r="A41" i="11"/>
  <c r="M57" i="11" l="1"/>
  <c r="C4" i="70" l="1"/>
  <c r="D23" i="70" s="1"/>
  <c r="G23" i="70" s="1"/>
  <c r="D21" i="70" l="1"/>
  <c r="G21" i="70" s="1"/>
  <c r="B12" i="11" l="1"/>
  <c r="A14" i="11"/>
  <c r="A13" i="11"/>
  <c r="A12" i="11"/>
  <c r="F15" i="11"/>
  <c r="F11" i="11"/>
  <c r="F124" i="21"/>
  <c r="F123" i="21"/>
  <c r="F122" i="21"/>
  <c r="I4" i="58"/>
  <c r="I3" i="58"/>
  <c r="O10" i="50"/>
  <c r="I6" i="58" s="1"/>
  <c r="E6" i="58"/>
  <c r="E4" i="58"/>
  <c r="D10" i="70"/>
  <c r="G10" i="70" s="1"/>
  <c r="D73" i="21"/>
  <c r="D74" i="21"/>
  <c r="E38" i="50"/>
  <c r="E51" i="54" s="1"/>
  <c r="K46" i="54"/>
  <c r="K44" i="54"/>
  <c r="K43" i="54"/>
  <c r="K40" i="54"/>
  <c r="K38" i="54"/>
  <c r="E52" i="54"/>
  <c r="K34" i="54"/>
  <c r="K32" i="54"/>
  <c r="E47" i="54"/>
  <c r="E48" i="54" s="1"/>
  <c r="E38" i="54"/>
  <c r="E33" i="54"/>
  <c r="E15" i="54"/>
  <c r="E18" i="54"/>
  <c r="E17" i="54"/>
  <c r="E16" i="54"/>
  <c r="E24" i="54"/>
  <c r="D21" i="54"/>
  <c r="I5" i="58" l="1"/>
  <c r="E53" i="54"/>
  <c r="K37" i="54" s="1"/>
  <c r="K39" i="54" s="1"/>
  <c r="D78" i="21"/>
  <c r="D68" i="21" s="1"/>
  <c r="D71" i="21"/>
  <c r="D63" i="21"/>
  <c r="D60" i="21"/>
  <c r="D59" i="21"/>
  <c r="D58" i="21"/>
  <c r="D38" i="21"/>
  <c r="C63" i="21"/>
  <c r="C71" i="21"/>
  <c r="E19" i="54" l="1"/>
  <c r="D77" i="21"/>
  <c r="D76" i="21"/>
  <c r="D75" i="21"/>
  <c r="D72" i="21"/>
  <c r="B112" i="21"/>
  <c r="B110" i="21"/>
  <c r="F111" i="21" s="1"/>
  <c r="B107" i="21"/>
  <c r="B105" i="21"/>
  <c r="F106" i="21" s="1"/>
  <c r="B102" i="21"/>
  <c r="B97" i="21"/>
  <c r="B92" i="21"/>
  <c r="B87" i="21"/>
  <c r="D79" i="21" l="1"/>
  <c r="B76" i="21"/>
  <c r="B77" i="21"/>
  <c r="G106" i="21"/>
  <c r="G111" i="21"/>
  <c r="F112" i="21"/>
  <c r="F107" i="21"/>
  <c r="B55" i="21"/>
  <c r="C55" i="21" s="1"/>
  <c r="A55" i="21"/>
  <c r="A53" i="21"/>
  <c r="O40" i="4"/>
  <c r="N40" i="4"/>
  <c r="M40" i="4"/>
  <c r="F40" i="4"/>
  <c r="D10" i="67" s="1"/>
  <c r="L30" i="4"/>
  <c r="C32" i="67"/>
  <c r="C27" i="67"/>
  <c r="AH77" i="21" l="1"/>
  <c r="AD77" i="21"/>
  <c r="Z77" i="21"/>
  <c r="V77" i="21"/>
  <c r="R77" i="21"/>
  <c r="N77" i="21"/>
  <c r="J77" i="21"/>
  <c r="AF77" i="21"/>
  <c r="AB77" i="21"/>
  <c r="X77" i="21"/>
  <c r="P77" i="21"/>
  <c r="L77" i="21"/>
  <c r="H77" i="21"/>
  <c r="F77" i="21"/>
  <c r="AI77" i="21"/>
  <c r="AE77" i="21"/>
  <c r="AA77" i="21"/>
  <c r="W77" i="21"/>
  <c r="S77" i="21"/>
  <c r="O77" i="21"/>
  <c r="K77" i="21"/>
  <c r="G77" i="21"/>
  <c r="AG77" i="21"/>
  <c r="AC77" i="21"/>
  <c r="Y77" i="21"/>
  <c r="U77" i="21"/>
  <c r="Q77" i="21"/>
  <c r="M77" i="21"/>
  <c r="I77" i="21"/>
  <c r="T77" i="21"/>
  <c r="AI76" i="21"/>
  <c r="AE76" i="21"/>
  <c r="AA76" i="21"/>
  <c r="W76" i="21"/>
  <c r="S76" i="21"/>
  <c r="O76" i="21"/>
  <c r="K76" i="21"/>
  <c r="G76" i="21"/>
  <c r="AG76" i="21"/>
  <c r="Y76" i="21"/>
  <c r="U76" i="21"/>
  <c r="Q76" i="21"/>
  <c r="I76" i="21"/>
  <c r="AF76" i="21"/>
  <c r="AB76" i="21"/>
  <c r="X76" i="21"/>
  <c r="P76" i="21"/>
  <c r="L76" i="21"/>
  <c r="H76" i="21"/>
  <c r="AH76" i="21"/>
  <c r="AD76" i="21"/>
  <c r="Z76" i="21"/>
  <c r="V76" i="21"/>
  <c r="R76" i="21"/>
  <c r="N76" i="21"/>
  <c r="J76" i="21"/>
  <c r="T76" i="21"/>
  <c r="F76" i="21"/>
  <c r="AC76" i="21"/>
  <c r="M76" i="21"/>
  <c r="H106" i="21"/>
  <c r="G107" i="21"/>
  <c r="H111" i="21"/>
  <c r="G112" i="21"/>
  <c r="B90" i="21"/>
  <c r="B73" i="21" s="1"/>
  <c r="A75" i="21"/>
  <c r="A74" i="21"/>
  <c r="A73" i="21"/>
  <c r="A85" i="21"/>
  <c r="A72" i="21" s="1"/>
  <c r="B85" i="21"/>
  <c r="A51" i="21"/>
  <c r="F86" i="21" l="1"/>
  <c r="B72" i="21"/>
  <c r="F91" i="21"/>
  <c r="I106" i="21"/>
  <c r="H107" i="21"/>
  <c r="I111" i="21"/>
  <c r="H112" i="21"/>
  <c r="G39" i="67"/>
  <c r="E39" i="67"/>
  <c r="I39" i="67"/>
  <c r="M39" i="67"/>
  <c r="B51" i="21"/>
  <c r="AP37" i="52"/>
  <c r="AO37" i="52"/>
  <c r="AP36" i="52"/>
  <c r="AO36" i="52"/>
  <c r="AP35" i="52"/>
  <c r="AO35" i="52"/>
  <c r="AP34" i="52"/>
  <c r="AO34" i="52"/>
  <c r="AP33" i="52"/>
  <c r="AO33" i="52"/>
  <c r="AP32" i="52"/>
  <c r="AO32" i="52"/>
  <c r="AP31" i="52"/>
  <c r="AO31" i="52"/>
  <c r="AP30" i="52"/>
  <c r="AO30" i="52"/>
  <c r="AP29" i="52"/>
  <c r="AO29" i="52"/>
  <c r="AP28" i="52"/>
  <c r="AO28" i="52"/>
  <c r="AP27" i="52"/>
  <c r="AO27" i="52"/>
  <c r="AP26" i="52"/>
  <c r="AO26" i="52"/>
  <c r="AP25" i="52"/>
  <c r="AO25" i="52"/>
  <c r="AP24" i="52"/>
  <c r="AO24" i="52"/>
  <c r="AP23" i="52"/>
  <c r="AO23" i="52"/>
  <c r="AP22" i="52"/>
  <c r="AO22" i="52"/>
  <c r="AP21" i="52"/>
  <c r="AO21" i="52"/>
  <c r="AP20" i="52"/>
  <c r="AO20" i="52"/>
  <c r="AP19" i="52"/>
  <c r="AO19" i="52"/>
  <c r="AP18" i="52"/>
  <c r="AO18" i="52"/>
  <c r="AP17" i="52"/>
  <c r="AO17" i="52"/>
  <c r="AP16" i="52"/>
  <c r="AO16" i="52"/>
  <c r="AP15" i="52"/>
  <c r="AO15" i="52"/>
  <c r="AP14" i="52"/>
  <c r="AO14" i="52"/>
  <c r="AP13" i="52"/>
  <c r="AO13" i="52"/>
  <c r="AP12" i="52"/>
  <c r="AO12" i="52"/>
  <c r="AP11" i="52"/>
  <c r="AO11" i="52"/>
  <c r="AP10" i="52"/>
  <c r="AO10" i="52"/>
  <c r="AP9" i="52"/>
  <c r="AO9" i="52"/>
  <c r="AO8" i="52"/>
  <c r="AP7" i="52"/>
  <c r="V38" i="52"/>
  <c r="U38" i="52"/>
  <c r="AH37" i="52"/>
  <c r="AH36" i="52"/>
  <c r="AH35" i="52"/>
  <c r="AH34" i="52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G7" i="52"/>
  <c r="AG37" i="52"/>
  <c r="AG36" i="52"/>
  <c r="AG35" i="52"/>
  <c r="AG34" i="52"/>
  <c r="AG33" i="52"/>
  <c r="AG32" i="52"/>
  <c r="AG31" i="52"/>
  <c r="AG30" i="52"/>
  <c r="AG29" i="52"/>
  <c r="AG28" i="52"/>
  <c r="AG27" i="52"/>
  <c r="AG26" i="52"/>
  <c r="AG25" i="52"/>
  <c r="AG24" i="52"/>
  <c r="AG23" i="52"/>
  <c r="AG22" i="52"/>
  <c r="AG21" i="52"/>
  <c r="AG20" i="52"/>
  <c r="AG19" i="52"/>
  <c r="AG18" i="52"/>
  <c r="AG17" i="52"/>
  <c r="AG16" i="52"/>
  <c r="AG15" i="52"/>
  <c r="AG14" i="52"/>
  <c r="AG13" i="52"/>
  <c r="AG12" i="52"/>
  <c r="AG11" i="52"/>
  <c r="AG10" i="52"/>
  <c r="AG9" i="52"/>
  <c r="AG8" i="52"/>
  <c r="AH38" i="52" l="1"/>
  <c r="J111" i="21"/>
  <c r="I112" i="21"/>
  <c r="J106" i="21"/>
  <c r="I107" i="21"/>
  <c r="K39" i="67"/>
  <c r="AG38" i="52"/>
  <c r="F72" i="55" s="1"/>
  <c r="H38" i="52" l="1"/>
  <c r="I38" i="52"/>
  <c r="K111" i="21"/>
  <c r="J112" i="21"/>
  <c r="K106" i="21"/>
  <c r="J107" i="21"/>
  <c r="L106" i="21" l="1"/>
  <c r="K107" i="21"/>
  <c r="L111" i="21"/>
  <c r="K112" i="21"/>
  <c r="M111" i="21" l="1"/>
  <c r="L112" i="21"/>
  <c r="M106" i="21"/>
  <c r="L107" i="21"/>
  <c r="G53" i="11"/>
  <c r="H44" i="11"/>
  <c r="H43" i="11"/>
  <c r="H41" i="11"/>
  <c r="H40" i="11"/>
  <c r="G33" i="11"/>
  <c r="J43" i="11"/>
  <c r="J42" i="11"/>
  <c r="J41" i="11"/>
  <c r="J40" i="11"/>
  <c r="J39" i="11"/>
  <c r="J38" i="11"/>
  <c r="J37" i="11"/>
  <c r="J36" i="11"/>
  <c r="G54" i="11"/>
  <c r="E43" i="11"/>
  <c r="T102" i="4"/>
  <c r="S102" i="4"/>
  <c r="P102" i="4"/>
  <c r="O102" i="4"/>
  <c r="N102" i="4"/>
  <c r="M102" i="4"/>
  <c r="O81" i="4"/>
  <c r="L53" i="4"/>
  <c r="L73" i="4"/>
  <c r="E73" i="4" s="1"/>
  <c r="G35" i="11" l="1"/>
  <c r="H54" i="11"/>
  <c r="N111" i="21"/>
  <c r="M112" i="21"/>
  <c r="N106" i="21"/>
  <c r="M107" i="21"/>
  <c r="E5" i="3"/>
  <c r="L87" i="4"/>
  <c r="L86" i="4"/>
  <c r="L85" i="4"/>
  <c r="L84" i="4"/>
  <c r="L83" i="4"/>
  <c r="L81" i="4"/>
  <c r="E81" i="4" s="1"/>
  <c r="L77" i="4"/>
  <c r="L76" i="4"/>
  <c r="L75" i="4"/>
  <c r="L74" i="4"/>
  <c r="E27" i="50"/>
  <c r="E26" i="50"/>
  <c r="E25" i="50"/>
  <c r="E24" i="50"/>
  <c r="E23" i="50"/>
  <c r="O10" i="52"/>
  <c r="O9" i="52"/>
  <c r="O7" i="52"/>
  <c r="O8" i="52"/>
  <c r="O11" i="52"/>
  <c r="O12" i="52"/>
  <c r="O13" i="52"/>
  <c r="O14" i="52"/>
  <c r="O15" i="52"/>
  <c r="O16" i="52"/>
  <c r="O17" i="52"/>
  <c r="E77" i="4" l="1"/>
  <c r="E74" i="4"/>
  <c r="E75" i="4"/>
  <c r="E83" i="4"/>
  <c r="E87" i="4"/>
  <c r="E76" i="4"/>
  <c r="E84" i="4"/>
  <c r="O111" i="21"/>
  <c r="N112" i="21"/>
  <c r="O106" i="21"/>
  <c r="N107" i="21"/>
  <c r="E85" i="4"/>
  <c r="E86" i="4"/>
  <c r="E28" i="50"/>
  <c r="C6" i="65"/>
  <c r="C5" i="65"/>
  <c r="L10" i="65" s="1"/>
  <c r="C3" i="65"/>
  <c r="C4" i="65" s="1"/>
  <c r="M17" i="65"/>
  <c r="U81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2" i="4"/>
  <c r="L51" i="4"/>
  <c r="L50" i="4"/>
  <c r="G25" i="64"/>
  <c r="E27" i="64"/>
  <c r="E26" i="64"/>
  <c r="B100" i="21"/>
  <c r="F101" i="21" s="1"/>
  <c r="L11" i="65" l="1"/>
  <c r="C7" i="65"/>
  <c r="C14" i="65" s="1"/>
  <c r="F102" i="21"/>
  <c r="B75" i="21"/>
  <c r="P106" i="21"/>
  <c r="O107" i="21"/>
  <c r="P111" i="21"/>
  <c r="O112" i="21"/>
  <c r="D14" i="65"/>
  <c r="L9" i="65"/>
  <c r="L17" i="65" s="1"/>
  <c r="G101" i="21"/>
  <c r="E14" i="65" l="1"/>
  <c r="F14" i="65" s="1"/>
  <c r="AF75" i="21"/>
  <c r="AB75" i="21"/>
  <c r="X75" i="21"/>
  <c r="T75" i="21"/>
  <c r="P75" i="21"/>
  <c r="L75" i="21"/>
  <c r="H75" i="21"/>
  <c r="F75" i="21"/>
  <c r="AD75" i="21"/>
  <c r="Z75" i="21"/>
  <c r="R75" i="21"/>
  <c r="AG75" i="21"/>
  <c r="Y75" i="21"/>
  <c r="Q75" i="21"/>
  <c r="I75" i="21"/>
  <c r="AI75" i="21"/>
  <c r="AE75" i="21"/>
  <c r="AA75" i="21"/>
  <c r="W75" i="21"/>
  <c r="S75" i="21"/>
  <c r="O75" i="21"/>
  <c r="K75" i="21"/>
  <c r="G75" i="21"/>
  <c r="AC75" i="21"/>
  <c r="M75" i="21"/>
  <c r="AH75" i="21"/>
  <c r="V75" i="21"/>
  <c r="N75" i="21"/>
  <c r="J75" i="21"/>
  <c r="U75" i="21"/>
  <c r="Q111" i="21"/>
  <c r="P112" i="21"/>
  <c r="Q106" i="21"/>
  <c r="P107" i="21"/>
  <c r="H101" i="21"/>
  <c r="G102" i="21"/>
  <c r="D15" i="65"/>
  <c r="A34" i="64"/>
  <c r="A33" i="64"/>
  <c r="A32" i="64"/>
  <c r="A31" i="64"/>
  <c r="A30" i="64"/>
  <c r="A29" i="64"/>
  <c r="A28" i="64"/>
  <c r="A27" i="64"/>
  <c r="A46" i="64"/>
  <c r="A45" i="64"/>
  <c r="A44" i="64"/>
  <c r="A43" i="64"/>
  <c r="A42" i="64"/>
  <c r="A41" i="64"/>
  <c r="A40" i="64"/>
  <c r="A39" i="64"/>
  <c r="R111" i="21" l="1"/>
  <c r="Q112" i="21"/>
  <c r="R106" i="21"/>
  <c r="Q107" i="21"/>
  <c r="I101" i="21"/>
  <c r="H102" i="21"/>
  <c r="C15" i="65"/>
  <c r="E15" i="65" s="1"/>
  <c r="F60" i="21"/>
  <c r="F59" i="21"/>
  <c r="F58" i="21"/>
  <c r="S106" i="21" l="1"/>
  <c r="R107" i="21"/>
  <c r="S111" i="21"/>
  <c r="R112" i="21"/>
  <c r="I102" i="21"/>
  <c r="J101" i="21"/>
  <c r="F15" i="65"/>
  <c r="E15" i="64"/>
  <c r="G15" i="64"/>
  <c r="B9" i="11"/>
  <c r="B8" i="11"/>
  <c r="B7" i="11"/>
  <c r="A19" i="64"/>
  <c r="A18" i="64"/>
  <c r="A17" i="64"/>
  <c r="A16" i="64"/>
  <c r="A15" i="64"/>
  <c r="A14" i="64"/>
  <c r="T111" i="21" l="1"/>
  <c r="S112" i="21"/>
  <c r="T106" i="21"/>
  <c r="S107" i="21"/>
  <c r="J102" i="21"/>
  <c r="K101" i="21"/>
  <c r="D16" i="65"/>
  <c r="C16" i="65" s="1"/>
  <c r="E16" i="65" s="1"/>
  <c r="C3" i="63"/>
  <c r="C4" i="63" l="1"/>
  <c r="U106" i="21"/>
  <c r="T107" i="21"/>
  <c r="U111" i="21"/>
  <c r="T112" i="21"/>
  <c r="K102" i="21"/>
  <c r="L101" i="21"/>
  <c r="F16" i="65"/>
  <c r="O11" i="50"/>
  <c r="E5" i="58"/>
  <c r="N21" i="55"/>
  <c r="B53" i="21"/>
  <c r="AH53" i="21" s="1"/>
  <c r="AI51" i="21"/>
  <c r="B49" i="21"/>
  <c r="I8" i="58" l="1"/>
  <c r="I7" i="58"/>
  <c r="I17" i="65" s="1"/>
  <c r="I18" i="65" s="1"/>
  <c r="I19" i="65" s="1"/>
  <c r="I20" i="65" s="1"/>
  <c r="I21" i="65" s="1"/>
  <c r="I22" i="65" s="1"/>
  <c r="I23" i="65" s="1"/>
  <c r="I24" i="65" s="1"/>
  <c r="I25" i="65" s="1"/>
  <c r="I26" i="65" s="1"/>
  <c r="I27" i="65" s="1"/>
  <c r="I28" i="65" s="1"/>
  <c r="I29" i="65" s="1"/>
  <c r="I30" i="65" s="1"/>
  <c r="I31" i="65" s="1"/>
  <c r="I32" i="65" s="1"/>
  <c r="I33" i="65" s="1"/>
  <c r="I34" i="65" s="1"/>
  <c r="I35" i="65" s="1"/>
  <c r="I36" i="65" s="1"/>
  <c r="I37" i="65" s="1"/>
  <c r="I38" i="65" s="1"/>
  <c r="I39" i="65" s="1"/>
  <c r="I40" i="65" s="1"/>
  <c r="I41" i="65" s="1"/>
  <c r="I42" i="65" s="1"/>
  <c r="I43" i="65" s="1"/>
  <c r="I44" i="65" s="1"/>
  <c r="I45" i="65" s="1"/>
  <c r="I46" i="65" s="1"/>
  <c r="I47" i="65" s="1"/>
  <c r="I48" i="65" s="1"/>
  <c r="I49" i="65" s="1"/>
  <c r="I50" i="65" s="1"/>
  <c r="I51" i="65" s="1"/>
  <c r="I52" i="65" s="1"/>
  <c r="I53" i="65" s="1"/>
  <c r="I54" i="65" s="1"/>
  <c r="I55" i="65" s="1"/>
  <c r="I56" i="65" s="1"/>
  <c r="I57" i="65" s="1"/>
  <c r="I58" i="65" s="1"/>
  <c r="I59" i="65" s="1"/>
  <c r="I60" i="65" s="1"/>
  <c r="I61" i="65" s="1"/>
  <c r="I62" i="65" s="1"/>
  <c r="I63" i="65" s="1"/>
  <c r="I64" i="65" s="1"/>
  <c r="I65" i="65" s="1"/>
  <c r="I66" i="65" s="1"/>
  <c r="I67" i="65" s="1"/>
  <c r="I68" i="65" s="1"/>
  <c r="I69" i="65" s="1"/>
  <c r="I70" i="65" s="1"/>
  <c r="I71" i="65" s="1"/>
  <c r="I72" i="65" s="1"/>
  <c r="I73" i="65" s="1"/>
  <c r="I74" i="65" s="1"/>
  <c r="I75" i="65" s="1"/>
  <c r="I76" i="65" s="1"/>
  <c r="I77" i="65" s="1"/>
  <c r="V111" i="21"/>
  <c r="U112" i="21"/>
  <c r="V106" i="21"/>
  <c r="U107" i="21"/>
  <c r="L102" i="21"/>
  <c r="M101" i="21"/>
  <c r="D17" i="65"/>
  <c r="C17" i="65" s="1"/>
  <c r="P51" i="21"/>
  <c r="X51" i="21"/>
  <c r="AF51" i="21"/>
  <c r="I51" i="21"/>
  <c r="Q51" i="21"/>
  <c r="Y51" i="21"/>
  <c r="AG51" i="21"/>
  <c r="L51" i="21"/>
  <c r="T51" i="21"/>
  <c r="AB51" i="21"/>
  <c r="M51" i="21"/>
  <c r="U51" i="21"/>
  <c r="AC51" i="21"/>
  <c r="L53" i="21"/>
  <c r="P53" i="21"/>
  <c r="T53" i="21"/>
  <c r="X53" i="21"/>
  <c r="AB53" i="21"/>
  <c r="AF53" i="21"/>
  <c r="K53" i="21"/>
  <c r="S53" i="21"/>
  <c r="AA53" i="21"/>
  <c r="AI53" i="21"/>
  <c r="Y53" i="21"/>
  <c r="O53" i="21"/>
  <c r="W53" i="21"/>
  <c r="AE53" i="21"/>
  <c r="I53" i="21"/>
  <c r="M53" i="21"/>
  <c r="Q53" i="21"/>
  <c r="U53" i="21"/>
  <c r="AC53" i="21"/>
  <c r="AG53" i="21"/>
  <c r="J53" i="21"/>
  <c r="N53" i="21"/>
  <c r="R53" i="21"/>
  <c r="V53" i="21"/>
  <c r="Z53" i="21"/>
  <c r="AD53" i="21"/>
  <c r="J51" i="21"/>
  <c r="N51" i="21"/>
  <c r="R51" i="21"/>
  <c r="V51" i="21"/>
  <c r="Z51" i="21"/>
  <c r="AD51" i="21"/>
  <c r="AH51" i="21"/>
  <c r="K51" i="21"/>
  <c r="O51" i="21"/>
  <c r="S51" i="21"/>
  <c r="W51" i="21"/>
  <c r="AA51" i="21"/>
  <c r="AE51" i="21"/>
  <c r="B13" i="58" l="1"/>
  <c r="H18" i="65"/>
  <c r="W111" i="21"/>
  <c r="V112" i="21"/>
  <c r="W106" i="21"/>
  <c r="V107" i="21"/>
  <c r="M102" i="21"/>
  <c r="N101" i="21"/>
  <c r="E17" i="65"/>
  <c r="F17" i="65" s="1"/>
  <c r="D18" i="65" s="1"/>
  <c r="M50" i="11"/>
  <c r="T18" i="65" l="1"/>
  <c r="H19" i="65"/>
  <c r="X111" i="21"/>
  <c r="W112" i="21"/>
  <c r="X106" i="21"/>
  <c r="W107" i="21"/>
  <c r="N102" i="21"/>
  <c r="O101" i="21"/>
  <c r="C18" i="65"/>
  <c r="E18" i="65" s="1"/>
  <c r="H20" i="65" l="1"/>
  <c r="T19" i="65"/>
  <c r="Y111" i="21"/>
  <c r="X112" i="21"/>
  <c r="Y106" i="21"/>
  <c r="X107" i="21"/>
  <c r="O102" i="21"/>
  <c r="P101" i="21"/>
  <c r="F18" i="65"/>
  <c r="E34" i="54"/>
  <c r="C45" i="54"/>
  <c r="H21" i="65" l="1"/>
  <c r="T20" i="65"/>
  <c r="Z106" i="21"/>
  <c r="Y107" i="21"/>
  <c r="Z111" i="21"/>
  <c r="Y112" i="21"/>
  <c r="P102" i="21"/>
  <c r="Q101" i="21"/>
  <c r="D19" i="65"/>
  <c r="F50" i="11"/>
  <c r="F49" i="11"/>
  <c r="F48" i="11"/>
  <c r="F47" i="11"/>
  <c r="F44" i="11"/>
  <c r="A11" i="11"/>
  <c r="A13" i="64" s="1"/>
  <c r="A10" i="11"/>
  <c r="A12" i="64" s="1"/>
  <c r="T27" i="4"/>
  <c r="S27" i="4"/>
  <c r="R27" i="4"/>
  <c r="P27" i="4"/>
  <c r="O27" i="4"/>
  <c r="N27" i="4"/>
  <c r="F27" i="4"/>
  <c r="E57" i="11" s="1"/>
  <c r="A31" i="11"/>
  <c r="A30" i="11"/>
  <c r="A29" i="11"/>
  <c r="A28" i="11"/>
  <c r="A27" i="11"/>
  <c r="A26" i="11"/>
  <c r="A25" i="11"/>
  <c r="F119" i="4"/>
  <c r="E63" i="11" s="1"/>
  <c r="E10" i="11"/>
  <c r="F10" i="11" s="1"/>
  <c r="E18" i="11"/>
  <c r="F18" i="11" s="1"/>
  <c r="B18" i="11"/>
  <c r="O14" i="11"/>
  <c r="O21" i="11"/>
  <c r="O20" i="11"/>
  <c r="O13" i="11"/>
  <c r="M22" i="11"/>
  <c r="O22" i="11" s="1"/>
  <c r="M15" i="11"/>
  <c r="O15" i="11" s="1"/>
  <c r="M8" i="11"/>
  <c r="T21" i="4"/>
  <c r="S21" i="4"/>
  <c r="R21" i="4"/>
  <c r="Q21" i="4"/>
  <c r="O21" i="4"/>
  <c r="N21" i="4"/>
  <c r="M82" i="4"/>
  <c r="T21" i="65" l="1"/>
  <c r="H22" i="65"/>
  <c r="AA111" i="21"/>
  <c r="Z112" i="21"/>
  <c r="AA106" i="21"/>
  <c r="Z107" i="21"/>
  <c r="Q102" i="21"/>
  <c r="R101" i="21"/>
  <c r="E40" i="64"/>
  <c r="E26" i="11"/>
  <c r="F33" i="11"/>
  <c r="E33" i="11"/>
  <c r="E46" i="64"/>
  <c r="L82" i="4"/>
  <c r="C19" i="65"/>
  <c r="E19" i="65" s="1"/>
  <c r="J119" i="4"/>
  <c r="G63" i="11" s="1"/>
  <c r="J112" i="4"/>
  <c r="G62" i="11" s="1"/>
  <c r="J102" i="4"/>
  <c r="G61" i="11" s="1"/>
  <c r="AB49" i="52"/>
  <c r="O51" i="52" l="1"/>
  <c r="S6" i="50"/>
  <c r="J39" i="64" s="1"/>
  <c r="M37" i="11"/>
  <c r="T22" i="65"/>
  <c r="H23" i="65"/>
  <c r="AB106" i="21"/>
  <c r="AA107" i="21"/>
  <c r="AB111" i="21"/>
  <c r="AA112" i="21"/>
  <c r="R102" i="21"/>
  <c r="S101" i="21"/>
  <c r="E82" i="4"/>
  <c r="F19" i="65"/>
  <c r="K112" i="4"/>
  <c r="H62" i="11" s="1"/>
  <c r="Q51" i="52"/>
  <c r="H24" i="65" l="1"/>
  <c r="T23" i="65"/>
  <c r="AC106" i="21"/>
  <c r="AB107" i="21"/>
  <c r="AC111" i="21"/>
  <c r="AB112" i="21"/>
  <c r="S102" i="21"/>
  <c r="T101" i="21"/>
  <c r="D20" i="65"/>
  <c r="D52" i="55"/>
  <c r="F32" i="21"/>
  <c r="E32" i="21"/>
  <c r="D63" i="55"/>
  <c r="D62" i="55"/>
  <c r="D61" i="55"/>
  <c r="D60" i="55"/>
  <c r="E39" i="11"/>
  <c r="F39" i="11" s="1"/>
  <c r="E40" i="11"/>
  <c r="D24" i="64" s="1"/>
  <c r="E41" i="11"/>
  <c r="Q18" i="11"/>
  <c r="E6" i="11"/>
  <c r="F6" i="11" s="1"/>
  <c r="E16" i="11"/>
  <c r="F16" i="11" s="1"/>
  <c r="A6" i="11"/>
  <c r="A8" i="64" s="1"/>
  <c r="A5" i="11"/>
  <c r="A7" i="64" s="1"/>
  <c r="A43" i="11"/>
  <c r="B66" i="64"/>
  <c r="B65" i="64"/>
  <c r="B64" i="64"/>
  <c r="E78" i="55"/>
  <c r="E84" i="55"/>
  <c r="B20" i="21"/>
  <c r="B22" i="21"/>
  <c r="E46" i="55"/>
  <c r="C31" i="67"/>
  <c r="E56" i="55"/>
  <c r="C33" i="67" s="1"/>
  <c r="F6" i="21"/>
  <c r="E63" i="21"/>
  <c r="E11" i="21"/>
  <c r="D76" i="55"/>
  <c r="E12" i="21" s="1"/>
  <c r="D77" i="55"/>
  <c r="D81" i="55"/>
  <c r="E16" i="21" s="1"/>
  <c r="D86" i="55"/>
  <c r="E21" i="21" s="1"/>
  <c r="D15" i="55"/>
  <c r="E26" i="21" s="1"/>
  <c r="D23" i="55"/>
  <c r="E27" i="21" s="1"/>
  <c r="D25" i="55"/>
  <c r="E28" i="21" s="1"/>
  <c r="D31" i="55"/>
  <c r="E29" i="21" s="1"/>
  <c r="D37" i="55"/>
  <c r="E30" i="21" s="1"/>
  <c r="D47" i="55"/>
  <c r="E31" i="21" s="1"/>
  <c r="D53" i="55"/>
  <c r="E33" i="21" s="1"/>
  <c r="E38" i="21"/>
  <c r="E42" i="21"/>
  <c r="E43" i="21"/>
  <c r="E44" i="21"/>
  <c r="C3" i="57"/>
  <c r="L7" i="57" s="1"/>
  <c r="M15" i="57" s="1"/>
  <c r="E23" i="64"/>
  <c r="C5" i="57"/>
  <c r="L9" i="57" s="1"/>
  <c r="L10" i="57"/>
  <c r="C51" i="21"/>
  <c r="E41" i="21"/>
  <c r="H41" i="21" s="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T41" i="21" s="1"/>
  <c r="U41" i="21" s="1"/>
  <c r="V41" i="21" s="1"/>
  <c r="W41" i="21" s="1"/>
  <c r="X41" i="21" s="1"/>
  <c r="Y41" i="21" s="1"/>
  <c r="Z41" i="21" s="1"/>
  <c r="AA41" i="21" s="1"/>
  <c r="AB41" i="21" s="1"/>
  <c r="AC41" i="21" s="1"/>
  <c r="AD41" i="21" s="1"/>
  <c r="AE41" i="21" s="1"/>
  <c r="AF41" i="21" s="1"/>
  <c r="AG41" i="21" s="1"/>
  <c r="AH41" i="21" s="1"/>
  <c r="AI41" i="21" s="1"/>
  <c r="D78" i="55"/>
  <c r="E13" i="21" s="1"/>
  <c r="B95" i="21"/>
  <c r="F96" i="21" s="1"/>
  <c r="C6" i="63"/>
  <c r="C5" i="63"/>
  <c r="L10" i="63" s="1"/>
  <c r="E88" i="55"/>
  <c r="E64" i="55"/>
  <c r="C37" i="67" s="1"/>
  <c r="B58" i="64"/>
  <c r="B56" i="64"/>
  <c r="B53" i="64"/>
  <c r="I57" i="64"/>
  <c r="I54" i="64"/>
  <c r="J24" i="64"/>
  <c r="J23" i="64"/>
  <c r="J22" i="64"/>
  <c r="J21" i="64"/>
  <c r="G24" i="64"/>
  <c r="G23" i="64"/>
  <c r="E11" i="64"/>
  <c r="E25" i="64"/>
  <c r="E10" i="64" s="1"/>
  <c r="E24" i="64"/>
  <c r="E9" i="64" s="1"/>
  <c r="D33" i="64"/>
  <c r="D31" i="64"/>
  <c r="D30" i="64"/>
  <c r="D29" i="64"/>
  <c r="D28" i="64"/>
  <c r="D27" i="64"/>
  <c r="D17" i="64"/>
  <c r="D14" i="64"/>
  <c r="D13" i="64"/>
  <c r="D12" i="64"/>
  <c r="G8" i="64"/>
  <c r="E8" i="64"/>
  <c r="D8" i="64"/>
  <c r="G7" i="64"/>
  <c r="E7" i="64"/>
  <c r="B3" i="64"/>
  <c r="B13" i="62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G5" i="21"/>
  <c r="H5" i="21" s="1"/>
  <c r="I5" i="21" s="1"/>
  <c r="J5" i="21" s="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O37" i="52"/>
  <c r="O36" i="52"/>
  <c r="W36" i="52" s="1"/>
  <c r="O35" i="52"/>
  <c r="W35" i="52" s="1"/>
  <c r="O34" i="52"/>
  <c r="W34" i="52" s="1"/>
  <c r="O33" i="52"/>
  <c r="W33" i="52" s="1"/>
  <c r="O32" i="52"/>
  <c r="W32" i="52" s="1"/>
  <c r="O31" i="52"/>
  <c r="W31" i="52" s="1"/>
  <c r="O30" i="52"/>
  <c r="W30" i="52" s="1"/>
  <c r="O29" i="52"/>
  <c r="W29" i="52" s="1"/>
  <c r="O28" i="52"/>
  <c r="W28" i="52" s="1"/>
  <c r="O27" i="52"/>
  <c r="W27" i="52" s="1"/>
  <c r="O26" i="52"/>
  <c r="W26" i="52" s="1"/>
  <c r="O25" i="52"/>
  <c r="O24" i="52"/>
  <c r="W24" i="52" s="1"/>
  <c r="O23" i="52"/>
  <c r="W23" i="52" s="1"/>
  <c r="O22" i="52"/>
  <c r="W22" i="52" s="1"/>
  <c r="O21" i="52"/>
  <c r="W21" i="52" s="1"/>
  <c r="O20" i="52"/>
  <c r="W20" i="52" s="1"/>
  <c r="O19" i="52"/>
  <c r="W19" i="52" s="1"/>
  <c r="O18" i="52"/>
  <c r="W18" i="52" s="1"/>
  <c r="K51" i="52"/>
  <c r="K52" i="52"/>
  <c r="C24" i="50" s="1"/>
  <c r="K53" i="52"/>
  <c r="K54" i="52"/>
  <c r="K55" i="52"/>
  <c r="F9" i="4"/>
  <c r="F17" i="4"/>
  <c r="D17" i="4" s="1"/>
  <c r="F68" i="4"/>
  <c r="E59" i="11" s="1"/>
  <c r="F112" i="4"/>
  <c r="E62" i="11" s="1"/>
  <c r="M20" i="4"/>
  <c r="M24" i="4"/>
  <c r="M19" i="4"/>
  <c r="M119" i="4"/>
  <c r="M106" i="4"/>
  <c r="U106" i="4" s="1"/>
  <c r="M107" i="4"/>
  <c r="U107" i="4" s="1"/>
  <c r="M108" i="4"/>
  <c r="M109" i="4"/>
  <c r="M110" i="4"/>
  <c r="M111" i="4"/>
  <c r="U111" i="4" s="1"/>
  <c r="M68" i="4"/>
  <c r="O119" i="4"/>
  <c r="O112" i="4"/>
  <c r="O68" i="4"/>
  <c r="N119" i="4"/>
  <c r="N112" i="4"/>
  <c r="N90" i="4"/>
  <c r="N68" i="4"/>
  <c r="P119" i="4"/>
  <c r="D52" i="52"/>
  <c r="AD58" i="52"/>
  <c r="AB58" i="52"/>
  <c r="AD59" i="52"/>
  <c r="AB59" i="52"/>
  <c r="AD56" i="52"/>
  <c r="AB56" i="52"/>
  <c r="AD57" i="52"/>
  <c r="AB57" i="52"/>
  <c r="AD52" i="52"/>
  <c r="AB52" i="52"/>
  <c r="AD53" i="52"/>
  <c r="AB53" i="52"/>
  <c r="AD54" i="52"/>
  <c r="AB54" i="52"/>
  <c r="AD55" i="52"/>
  <c r="AB55" i="52"/>
  <c r="AD50" i="52"/>
  <c r="AB50" i="52"/>
  <c r="AD51" i="52"/>
  <c r="AB51" i="52"/>
  <c r="AD62" i="52"/>
  <c r="AB62" i="52"/>
  <c r="AD60" i="52"/>
  <c r="AB60" i="52"/>
  <c r="AD61" i="52"/>
  <c r="AB61" i="52"/>
  <c r="B52" i="52"/>
  <c r="F81" i="21"/>
  <c r="G81" i="21" s="1"/>
  <c r="H81" i="21" s="1"/>
  <c r="I81" i="21" s="1"/>
  <c r="J81" i="21" s="1"/>
  <c r="K81" i="21" s="1"/>
  <c r="L81" i="21" s="1"/>
  <c r="M81" i="21" s="1"/>
  <c r="N81" i="21" s="1"/>
  <c r="O81" i="21" s="1"/>
  <c r="P81" i="21" s="1"/>
  <c r="Q81" i="21" s="1"/>
  <c r="R81" i="21" s="1"/>
  <c r="S81" i="21" s="1"/>
  <c r="T81" i="21" s="1"/>
  <c r="U81" i="21" s="1"/>
  <c r="V81" i="21" s="1"/>
  <c r="W81" i="21" s="1"/>
  <c r="X81" i="21" s="1"/>
  <c r="Y81" i="21" s="1"/>
  <c r="Z81" i="21" s="1"/>
  <c r="AA81" i="21" s="1"/>
  <c r="AB81" i="21" s="1"/>
  <c r="AC81" i="21" s="1"/>
  <c r="AD81" i="21" s="1"/>
  <c r="AE81" i="21" s="1"/>
  <c r="AF81" i="21" s="1"/>
  <c r="AG81" i="21" s="1"/>
  <c r="AH81" i="21" s="1"/>
  <c r="AI81" i="21" s="1"/>
  <c r="S18" i="52"/>
  <c r="AN18" i="52" s="1"/>
  <c r="S19" i="52"/>
  <c r="AN19" i="52" s="1"/>
  <c r="S20" i="52"/>
  <c r="AN20" i="52" s="1"/>
  <c r="S21" i="52"/>
  <c r="AN21" i="52" s="1"/>
  <c r="S22" i="52"/>
  <c r="AN22" i="52" s="1"/>
  <c r="S23" i="52"/>
  <c r="AN23" i="52" s="1"/>
  <c r="S24" i="52"/>
  <c r="AN24" i="52" s="1"/>
  <c r="S25" i="52"/>
  <c r="AN25" i="52" s="1"/>
  <c r="S26" i="52"/>
  <c r="AN26" i="52" s="1"/>
  <c r="S27" i="52"/>
  <c r="AN27" i="52" s="1"/>
  <c r="S28" i="52"/>
  <c r="AN28" i="52" s="1"/>
  <c r="S29" i="52"/>
  <c r="AN29" i="52" s="1"/>
  <c r="S30" i="52"/>
  <c r="AN30" i="52" s="1"/>
  <c r="S31" i="52"/>
  <c r="AN31" i="52" s="1"/>
  <c r="S32" i="52"/>
  <c r="AN32" i="52" s="1"/>
  <c r="S33" i="52"/>
  <c r="AN33" i="52" s="1"/>
  <c r="S34" i="52"/>
  <c r="AN34" i="52" s="1"/>
  <c r="S35" i="52"/>
  <c r="AN35" i="52" s="1"/>
  <c r="S36" i="52"/>
  <c r="AN36" i="52" s="1"/>
  <c r="S37" i="52"/>
  <c r="AN37" i="52" s="1"/>
  <c r="O45" i="52"/>
  <c r="O44" i="52"/>
  <c r="F44" i="52"/>
  <c r="F45" i="52"/>
  <c r="F46" i="52"/>
  <c r="F47" i="52"/>
  <c r="F48" i="52"/>
  <c r="F49" i="52"/>
  <c r="F50" i="52"/>
  <c r="F51" i="52"/>
  <c r="E71" i="21"/>
  <c r="A12" i="58"/>
  <c r="A28" i="58" s="1"/>
  <c r="A24" i="58"/>
  <c r="A23" i="58"/>
  <c r="A22" i="58"/>
  <c r="A21" i="58"/>
  <c r="A20" i="58"/>
  <c r="A19" i="58"/>
  <c r="A18" i="58"/>
  <c r="A17" i="58"/>
  <c r="A16" i="58"/>
  <c r="A15" i="58"/>
  <c r="A14" i="58"/>
  <c r="F72" i="21"/>
  <c r="N31" i="55"/>
  <c r="N38" i="55" s="1"/>
  <c r="E49" i="21"/>
  <c r="C53" i="21"/>
  <c r="F78" i="21"/>
  <c r="C49" i="21"/>
  <c r="H18" i="63"/>
  <c r="H19" i="63" s="1"/>
  <c r="M17" i="63"/>
  <c r="I17" i="63"/>
  <c r="I18" i="63" s="1"/>
  <c r="I19" i="63" s="1"/>
  <c r="I20" i="63" s="1"/>
  <c r="I21" i="63" s="1"/>
  <c r="I22" i="63" s="1"/>
  <c r="I23" i="63" s="1"/>
  <c r="I24" i="63" s="1"/>
  <c r="I25" i="63" s="1"/>
  <c r="I26" i="63" s="1"/>
  <c r="I27" i="63" s="1"/>
  <c r="I28" i="63" s="1"/>
  <c r="I29" i="63" s="1"/>
  <c r="I30" i="63" s="1"/>
  <c r="I31" i="63" s="1"/>
  <c r="I32" i="63" s="1"/>
  <c r="I33" i="63" s="1"/>
  <c r="I34" i="63" s="1"/>
  <c r="I35" i="63" s="1"/>
  <c r="I36" i="63" s="1"/>
  <c r="I37" i="63" s="1"/>
  <c r="I38" i="63" s="1"/>
  <c r="I39" i="63" s="1"/>
  <c r="I40" i="63" s="1"/>
  <c r="I41" i="63" s="1"/>
  <c r="I42" i="63" s="1"/>
  <c r="I43" i="63" s="1"/>
  <c r="I44" i="63" s="1"/>
  <c r="I45" i="63" s="1"/>
  <c r="I46" i="63" s="1"/>
  <c r="I47" i="63" s="1"/>
  <c r="I48" i="63" s="1"/>
  <c r="I49" i="63" s="1"/>
  <c r="I50" i="63" s="1"/>
  <c r="I51" i="63" s="1"/>
  <c r="I52" i="63" s="1"/>
  <c r="I53" i="63" s="1"/>
  <c r="I54" i="63" s="1"/>
  <c r="I55" i="63" s="1"/>
  <c r="I56" i="63" s="1"/>
  <c r="I57" i="63" s="1"/>
  <c r="I58" i="63" s="1"/>
  <c r="I59" i="63" s="1"/>
  <c r="I60" i="63" s="1"/>
  <c r="I61" i="63" s="1"/>
  <c r="I62" i="63" s="1"/>
  <c r="I63" i="63" s="1"/>
  <c r="I64" i="63" s="1"/>
  <c r="I65" i="63" s="1"/>
  <c r="I66" i="63" s="1"/>
  <c r="I67" i="63" s="1"/>
  <c r="I68" i="63" s="1"/>
  <c r="I69" i="63" s="1"/>
  <c r="I70" i="63" s="1"/>
  <c r="I71" i="63" s="1"/>
  <c r="I72" i="63" s="1"/>
  <c r="I73" i="63" s="1"/>
  <c r="I74" i="63" s="1"/>
  <c r="I75" i="63" s="1"/>
  <c r="I76" i="63" s="1"/>
  <c r="I77" i="63" s="1"/>
  <c r="K46" i="52"/>
  <c r="R15" i="50"/>
  <c r="AF8" i="52"/>
  <c r="AF9" i="52"/>
  <c r="AF10" i="52"/>
  <c r="AF11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L17" i="52"/>
  <c r="L14" i="52"/>
  <c r="L11" i="52"/>
  <c r="AD37" i="52"/>
  <c r="AC37" i="52"/>
  <c r="AD36" i="52"/>
  <c r="AC36" i="52"/>
  <c r="AD35" i="52"/>
  <c r="AC35" i="52"/>
  <c r="AD34" i="52"/>
  <c r="AC34" i="52"/>
  <c r="AD33" i="52"/>
  <c r="AC33" i="52"/>
  <c r="AD32" i="52"/>
  <c r="AC32" i="52"/>
  <c r="AD31" i="52"/>
  <c r="AC31" i="52"/>
  <c r="AD30" i="52"/>
  <c r="AC30" i="52"/>
  <c r="AD29" i="52"/>
  <c r="AC29" i="52"/>
  <c r="AD28" i="52"/>
  <c r="AC28" i="52"/>
  <c r="AD27" i="52"/>
  <c r="AC27" i="52"/>
  <c r="AD26" i="52"/>
  <c r="AC26" i="52"/>
  <c r="AD25" i="52"/>
  <c r="AC25" i="52"/>
  <c r="AD24" i="52"/>
  <c r="AC24" i="52"/>
  <c r="AD23" i="52"/>
  <c r="AC23" i="52"/>
  <c r="AD22" i="52"/>
  <c r="AC22" i="52"/>
  <c r="AD21" i="52"/>
  <c r="AC21" i="52"/>
  <c r="AD20" i="52"/>
  <c r="AC20" i="52"/>
  <c r="AD19" i="52"/>
  <c r="AC19" i="52"/>
  <c r="AD18" i="52"/>
  <c r="AC18" i="52"/>
  <c r="AD17" i="52"/>
  <c r="AC17" i="52"/>
  <c r="AD16" i="52"/>
  <c r="AC16" i="52"/>
  <c r="AD15" i="52"/>
  <c r="AC15" i="52"/>
  <c r="AD14" i="52"/>
  <c r="AC14" i="52"/>
  <c r="AD13" i="52"/>
  <c r="AC13" i="52"/>
  <c r="AD12" i="52"/>
  <c r="AD11" i="52"/>
  <c r="AD10" i="52"/>
  <c r="AD9" i="52"/>
  <c r="AD8" i="52"/>
  <c r="AD7" i="52"/>
  <c r="AC12" i="52"/>
  <c r="AC11" i="52"/>
  <c r="AC10" i="52"/>
  <c r="AC9" i="52"/>
  <c r="AC8" i="52"/>
  <c r="AC7" i="52"/>
  <c r="N15" i="57"/>
  <c r="E21" i="54"/>
  <c r="C9" i="4"/>
  <c r="L118" i="4"/>
  <c r="L117" i="4"/>
  <c r="L116" i="4"/>
  <c r="Q116" i="4" s="1"/>
  <c r="L101" i="4"/>
  <c r="E101" i="4" s="1"/>
  <c r="L100" i="4"/>
  <c r="E100" i="4" s="1"/>
  <c r="L99" i="4"/>
  <c r="E99" i="4" s="1"/>
  <c r="L98" i="4"/>
  <c r="E98" i="4" s="1"/>
  <c r="L97" i="4"/>
  <c r="E97" i="4" s="1"/>
  <c r="L88" i="4"/>
  <c r="L67" i="4"/>
  <c r="L49" i="4"/>
  <c r="L48" i="4"/>
  <c r="L47" i="4"/>
  <c r="L46" i="4"/>
  <c r="L45" i="4"/>
  <c r="L44" i="4"/>
  <c r="L43" i="4"/>
  <c r="L39" i="4"/>
  <c r="L38" i="4"/>
  <c r="L37" i="4"/>
  <c r="L36" i="4"/>
  <c r="L35" i="4"/>
  <c r="L34" i="4"/>
  <c r="L33" i="4"/>
  <c r="L26" i="4"/>
  <c r="L25" i="4"/>
  <c r="Q25" i="4" s="1"/>
  <c r="T119" i="4"/>
  <c r="T112" i="4"/>
  <c r="T90" i="4"/>
  <c r="S119" i="4"/>
  <c r="S112" i="4"/>
  <c r="S90" i="4"/>
  <c r="T68" i="4"/>
  <c r="S68" i="4"/>
  <c r="T40" i="4"/>
  <c r="S40" i="4"/>
  <c r="F13" i="4"/>
  <c r="E13" i="4" s="1"/>
  <c r="U26" i="4"/>
  <c r="U118" i="4"/>
  <c r="U117" i="4"/>
  <c r="R119" i="4"/>
  <c r="P112" i="4"/>
  <c r="Q112" i="4"/>
  <c r="R112" i="4"/>
  <c r="L112" i="4"/>
  <c r="U110" i="4"/>
  <c r="P90" i="4"/>
  <c r="U108" i="4"/>
  <c r="U109" i="4"/>
  <c r="L89" i="4"/>
  <c r="E89" i="4" s="1"/>
  <c r="L32" i="4"/>
  <c r="D41" i="4"/>
  <c r="D16" i="70"/>
  <c r="G16" i="70" s="1"/>
  <c r="E38" i="52"/>
  <c r="M46" i="52"/>
  <c r="K24" i="50" s="1"/>
  <c r="P15" i="57"/>
  <c r="O15" i="57"/>
  <c r="A13" i="58"/>
  <c r="F12" i="3"/>
  <c r="G12" i="3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L15" i="52"/>
  <c r="AD63" i="52"/>
  <c r="W13" i="52"/>
  <c r="W14" i="52"/>
  <c r="W15" i="52"/>
  <c r="W16" i="52"/>
  <c r="W17" i="52"/>
  <c r="W25" i="52"/>
  <c r="W37" i="52"/>
  <c r="L13" i="52"/>
  <c r="L16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C38" i="52"/>
  <c r="A32" i="11"/>
  <c r="K45" i="54"/>
  <c r="K47" i="54" s="1"/>
  <c r="K41" i="54"/>
  <c r="AF38" i="52" l="1"/>
  <c r="F18" i="4"/>
  <c r="E9" i="4"/>
  <c r="L11" i="63"/>
  <c r="C7" i="63"/>
  <c r="L40" i="4"/>
  <c r="T120" i="4"/>
  <c r="S120" i="4"/>
  <c r="N120" i="4"/>
  <c r="L119" i="4"/>
  <c r="AE8" i="52"/>
  <c r="AE12" i="52"/>
  <c r="H9" i="54"/>
  <c r="K9" i="54" s="1"/>
  <c r="H8" i="54"/>
  <c r="K8" i="54" s="1"/>
  <c r="H11" i="54"/>
  <c r="K11" i="54" s="1"/>
  <c r="H7" i="54"/>
  <c r="K7" i="54" s="1"/>
  <c r="AB63" i="52"/>
  <c r="F76" i="55"/>
  <c r="K22" i="50"/>
  <c r="Q58" i="52"/>
  <c r="K26" i="50"/>
  <c r="K28" i="50" s="1"/>
  <c r="C26" i="50"/>
  <c r="B26" i="50" s="1"/>
  <c r="H10" i="54"/>
  <c r="K10" i="54" s="1"/>
  <c r="L8" i="52"/>
  <c r="N45" i="55"/>
  <c r="N52" i="55"/>
  <c r="J14" i="64"/>
  <c r="B24" i="50"/>
  <c r="G64" i="52"/>
  <c r="C30" i="67"/>
  <c r="O52" i="52"/>
  <c r="C24" i="58"/>
  <c r="H25" i="65"/>
  <c r="T24" i="65"/>
  <c r="C16" i="58"/>
  <c r="C13" i="58"/>
  <c r="D13" i="58" s="1"/>
  <c r="C20" i="58"/>
  <c r="F97" i="21"/>
  <c r="B74" i="21"/>
  <c r="AD111" i="21"/>
  <c r="AC112" i="21"/>
  <c r="AD106" i="21"/>
  <c r="AC107" i="21"/>
  <c r="J29" i="11"/>
  <c r="J30" i="11" s="1"/>
  <c r="J31" i="11" s="1"/>
  <c r="J32" i="11" s="1"/>
  <c r="D23" i="64"/>
  <c r="E53" i="21"/>
  <c r="E55" i="21"/>
  <c r="E30" i="55"/>
  <c r="I55" i="64" s="1"/>
  <c r="C28" i="67"/>
  <c r="I60" i="64"/>
  <c r="I59" i="64"/>
  <c r="I58" i="64"/>
  <c r="E22" i="55"/>
  <c r="C26" i="67" s="1"/>
  <c r="N77" i="55"/>
  <c r="N57" i="55"/>
  <c r="N72" i="55"/>
  <c r="N67" i="55"/>
  <c r="N82" i="55"/>
  <c r="N62" i="55"/>
  <c r="F87" i="21"/>
  <c r="O56" i="52"/>
  <c r="AE24" i="52"/>
  <c r="AE26" i="52"/>
  <c r="AE28" i="52"/>
  <c r="AE30" i="52"/>
  <c r="C4" i="57"/>
  <c r="L72" i="21"/>
  <c r="T102" i="21"/>
  <c r="U101" i="21"/>
  <c r="F92" i="21"/>
  <c r="D15" i="64"/>
  <c r="E31" i="11"/>
  <c r="M42" i="11" s="1"/>
  <c r="E28" i="11"/>
  <c r="Q119" i="4"/>
  <c r="U116" i="4"/>
  <c r="L27" i="4"/>
  <c r="E45" i="64"/>
  <c r="F62" i="11"/>
  <c r="U25" i="4"/>
  <c r="Q27" i="4"/>
  <c r="E88" i="4"/>
  <c r="E42" i="64"/>
  <c r="U24" i="4"/>
  <c r="M27" i="4"/>
  <c r="E58" i="11"/>
  <c r="F42" i="4"/>
  <c r="M17" i="4"/>
  <c r="U17" i="4" s="1"/>
  <c r="L10" i="52"/>
  <c r="L9" i="52"/>
  <c r="AE36" i="52"/>
  <c r="S14" i="50"/>
  <c r="J47" i="64" s="1"/>
  <c r="AE35" i="52"/>
  <c r="N13" i="52"/>
  <c r="L7" i="52"/>
  <c r="N17" i="52"/>
  <c r="L12" i="52"/>
  <c r="C20" i="65"/>
  <c r="E20" i="65" s="1"/>
  <c r="AB72" i="21"/>
  <c r="X72" i="21"/>
  <c r="T72" i="21"/>
  <c r="AF72" i="21"/>
  <c r="P72" i="21"/>
  <c r="A8" i="11"/>
  <c r="A10" i="64" s="1"/>
  <c r="A25" i="64"/>
  <c r="A9" i="11"/>
  <c r="A11" i="64" s="1"/>
  <c r="A26" i="64"/>
  <c r="A24" i="64"/>
  <c r="A7" i="11"/>
  <c r="A9" i="64" s="1"/>
  <c r="AH72" i="21"/>
  <c r="AD72" i="21"/>
  <c r="Z72" i="21"/>
  <c r="V72" i="21"/>
  <c r="R72" i="21"/>
  <c r="N72" i="21"/>
  <c r="J72" i="21"/>
  <c r="AG72" i="21"/>
  <c r="AC72" i="21"/>
  <c r="Y72" i="21"/>
  <c r="U72" i="21"/>
  <c r="Q72" i="21"/>
  <c r="M72" i="21"/>
  <c r="I72" i="21"/>
  <c r="AI72" i="21"/>
  <c r="AE72" i="21"/>
  <c r="AA72" i="21"/>
  <c r="W72" i="21"/>
  <c r="S72" i="21"/>
  <c r="O72" i="21"/>
  <c r="K72" i="21"/>
  <c r="A40" i="58"/>
  <c r="C37" i="58"/>
  <c r="C34" i="58"/>
  <c r="C32" i="58"/>
  <c r="C30" i="58"/>
  <c r="A39" i="58"/>
  <c r="A35" i="58"/>
  <c r="A33" i="58"/>
  <c r="A31" i="58"/>
  <c r="A29" i="58"/>
  <c r="C39" i="58"/>
  <c r="C35" i="58"/>
  <c r="C33" i="58"/>
  <c r="C31" i="58"/>
  <c r="C29" i="58"/>
  <c r="A44" i="58"/>
  <c r="C56" i="58" s="1"/>
  <c r="A37" i="58"/>
  <c r="A34" i="58"/>
  <c r="A32" i="58"/>
  <c r="A30" i="58"/>
  <c r="C17" i="58"/>
  <c r="C21" i="58"/>
  <c r="C14" i="58"/>
  <c r="C18" i="58"/>
  <c r="C22" i="58"/>
  <c r="C15" i="58"/>
  <c r="C19" i="58"/>
  <c r="C23" i="58"/>
  <c r="F51" i="21"/>
  <c r="C36" i="58"/>
  <c r="C38" i="58"/>
  <c r="C40" i="58"/>
  <c r="G6" i="2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A36" i="58"/>
  <c r="A38" i="58"/>
  <c r="F82" i="21"/>
  <c r="G82" i="21" s="1"/>
  <c r="H82" i="21" s="1"/>
  <c r="I82" i="21" s="1"/>
  <c r="J82" i="21" s="1"/>
  <c r="K82" i="21" s="1"/>
  <c r="L82" i="21" s="1"/>
  <c r="M82" i="21" s="1"/>
  <c r="N82" i="21" s="1"/>
  <c r="O82" i="21" s="1"/>
  <c r="P82" i="21" s="1"/>
  <c r="Q82" i="21" s="1"/>
  <c r="R82" i="21" s="1"/>
  <c r="S82" i="21" s="1"/>
  <c r="T82" i="21" s="1"/>
  <c r="U82" i="21" s="1"/>
  <c r="V82" i="21" s="1"/>
  <c r="W82" i="21" s="1"/>
  <c r="X82" i="21" s="1"/>
  <c r="Y82" i="21" s="1"/>
  <c r="Z82" i="21" s="1"/>
  <c r="AA82" i="21" s="1"/>
  <c r="AB82" i="21" s="1"/>
  <c r="AC82" i="21" s="1"/>
  <c r="AD82" i="21" s="1"/>
  <c r="AE82" i="21" s="1"/>
  <c r="AF82" i="21" s="1"/>
  <c r="AG82" i="21" s="1"/>
  <c r="AH82" i="21" s="1"/>
  <c r="AI82" i="21" s="1"/>
  <c r="T18" i="63"/>
  <c r="I8" i="57"/>
  <c r="E51" i="21"/>
  <c r="L9" i="63"/>
  <c r="L17" i="63" s="1"/>
  <c r="H20" i="63"/>
  <c r="T19" i="63"/>
  <c r="H72" i="21"/>
  <c r="G72" i="21"/>
  <c r="G32" i="21"/>
  <c r="H32" i="21" s="1"/>
  <c r="I32" i="21" s="1"/>
  <c r="J32" i="21" s="1"/>
  <c r="K32" i="21" s="1"/>
  <c r="L32" i="21" s="1"/>
  <c r="M32" i="21" s="1"/>
  <c r="N32" i="21" s="1"/>
  <c r="O32" i="21" s="1"/>
  <c r="P32" i="21" s="1"/>
  <c r="Q32" i="21" s="1"/>
  <c r="R32" i="21" s="1"/>
  <c r="S32" i="21" s="1"/>
  <c r="T32" i="21" s="1"/>
  <c r="U32" i="21" s="1"/>
  <c r="V32" i="21" s="1"/>
  <c r="W32" i="21" s="1"/>
  <c r="X32" i="21" s="1"/>
  <c r="Y32" i="21" s="1"/>
  <c r="Z32" i="21" s="1"/>
  <c r="AA32" i="21" s="1"/>
  <c r="AB32" i="21" s="1"/>
  <c r="AC32" i="21" s="1"/>
  <c r="AD32" i="21" s="1"/>
  <c r="AE32" i="21" s="1"/>
  <c r="AF32" i="21" s="1"/>
  <c r="AG32" i="21" s="1"/>
  <c r="AH32" i="21" s="1"/>
  <c r="AI32" i="21" s="1"/>
  <c r="E9" i="11"/>
  <c r="F9" i="11" s="1"/>
  <c r="F43" i="11"/>
  <c r="E8" i="11"/>
  <c r="F8" i="11" s="1"/>
  <c r="F41" i="11"/>
  <c r="E7" i="11"/>
  <c r="F7" i="11" s="1"/>
  <c r="F40" i="11"/>
  <c r="D25" i="64"/>
  <c r="D26" i="64"/>
  <c r="E32" i="54"/>
  <c r="M21" i="4"/>
  <c r="F21" i="4"/>
  <c r="M55" i="11" s="1"/>
  <c r="L68" i="4"/>
  <c r="U119" i="4"/>
  <c r="E8" i="54"/>
  <c r="L18" i="4"/>
  <c r="M112" i="4"/>
  <c r="U112" i="4" s="1"/>
  <c r="AE19" i="52"/>
  <c r="AE23" i="52"/>
  <c r="AE7" i="52"/>
  <c r="AE11" i="52"/>
  <c r="F52" i="52"/>
  <c r="AE18" i="52"/>
  <c r="AE25" i="52"/>
  <c r="AE27" i="52"/>
  <c r="AE29" i="52"/>
  <c r="AE31" i="52"/>
  <c r="AE9" i="52"/>
  <c r="AE10" i="52"/>
  <c r="N22" i="52"/>
  <c r="R22" i="52" s="1"/>
  <c r="N19" i="52"/>
  <c r="R19" i="52" s="1"/>
  <c r="O46" i="52"/>
  <c r="O58" i="52"/>
  <c r="S13" i="50" s="1"/>
  <c r="J46" i="64" s="1"/>
  <c r="AC38" i="52"/>
  <c r="N33" i="52"/>
  <c r="R33" i="52" s="1"/>
  <c r="AE21" i="52"/>
  <c r="AE32" i="52"/>
  <c r="AE34" i="52"/>
  <c r="AE37" i="52"/>
  <c r="N26" i="52"/>
  <c r="R26" i="52" s="1"/>
  <c r="N18" i="52"/>
  <c r="R18" i="52" s="1"/>
  <c r="N24" i="52"/>
  <c r="R24" i="52" s="1"/>
  <c r="N20" i="52"/>
  <c r="R20" i="52" s="1"/>
  <c r="AE20" i="52"/>
  <c r="AE22" i="52"/>
  <c r="O57" i="52"/>
  <c r="AE33" i="52"/>
  <c r="U20" i="4"/>
  <c r="N21" i="52"/>
  <c r="R21" i="52" s="1"/>
  <c r="N25" i="52"/>
  <c r="R25" i="52" s="1"/>
  <c r="N35" i="52"/>
  <c r="R35" i="52" s="1"/>
  <c r="N31" i="52"/>
  <c r="R31" i="52" s="1"/>
  <c r="N27" i="52"/>
  <c r="R27" i="52" s="1"/>
  <c r="N23" i="52"/>
  <c r="R23" i="52" s="1"/>
  <c r="N36" i="52"/>
  <c r="R36" i="52" s="1"/>
  <c r="N32" i="52"/>
  <c r="R32" i="52" s="1"/>
  <c r="N28" i="52"/>
  <c r="R28" i="52" s="1"/>
  <c r="N37" i="52"/>
  <c r="R37" i="52" s="1"/>
  <c r="N34" i="52"/>
  <c r="R34" i="52" s="1"/>
  <c r="N30" i="52"/>
  <c r="R30" i="52" s="1"/>
  <c r="N11" i="52"/>
  <c r="P13" i="52"/>
  <c r="P15" i="52"/>
  <c r="P16" i="52"/>
  <c r="AE14" i="52"/>
  <c r="AE16" i="52"/>
  <c r="AE13" i="52"/>
  <c r="AE15" i="52"/>
  <c r="AE17" i="52"/>
  <c r="O54" i="52"/>
  <c r="O55" i="52"/>
  <c r="C25" i="50"/>
  <c r="G38" i="52"/>
  <c r="Q57" i="52"/>
  <c r="C23" i="50"/>
  <c r="C27" i="50"/>
  <c r="AD64" i="52"/>
  <c r="O53" i="52"/>
  <c r="N29" i="52"/>
  <c r="R29" i="52" s="1"/>
  <c r="J16" i="64" l="1"/>
  <c r="L8" i="57"/>
  <c r="C6" i="57"/>
  <c r="L27" i="50"/>
  <c r="K5" i="4" s="1"/>
  <c r="L22" i="50"/>
  <c r="L28" i="50"/>
  <c r="L26" i="50" s="1"/>
  <c r="J5" i="4" s="1"/>
  <c r="N15" i="52"/>
  <c r="S15" i="52" s="1"/>
  <c r="AN15" i="52" s="1"/>
  <c r="N16" i="52"/>
  <c r="S16" i="52" s="1"/>
  <c r="AN16" i="52" s="1"/>
  <c r="N14" i="52"/>
  <c r="S14" i="52" s="1"/>
  <c r="AN14" i="52" s="1"/>
  <c r="N8" i="52"/>
  <c r="S8" i="52" s="1"/>
  <c r="AL8" i="52" s="1"/>
  <c r="S9" i="50"/>
  <c r="J42" i="64" s="1"/>
  <c r="S12" i="50"/>
  <c r="J45" i="64" s="1"/>
  <c r="S8" i="50"/>
  <c r="J41" i="64" s="1"/>
  <c r="S10" i="50"/>
  <c r="J43" i="64" s="1"/>
  <c r="S11" i="50"/>
  <c r="J44" i="64" s="1"/>
  <c r="C39" i="52"/>
  <c r="F38" i="52"/>
  <c r="K12" i="54"/>
  <c r="C7" i="70"/>
  <c r="D44" i="70" s="1"/>
  <c r="G44" i="70" s="1"/>
  <c r="C4" i="4"/>
  <c r="H12" i="54"/>
  <c r="J17" i="64"/>
  <c r="B27" i="50"/>
  <c r="Q52" i="52"/>
  <c r="J15" i="64"/>
  <c r="B25" i="50"/>
  <c r="J13" i="64"/>
  <c r="B23" i="50"/>
  <c r="T32" i="52"/>
  <c r="AR32" i="52" s="1"/>
  <c r="T31" i="52"/>
  <c r="AR31" i="52" s="1"/>
  <c r="T18" i="52"/>
  <c r="AR18" i="52" s="1"/>
  <c r="T22" i="52"/>
  <c r="AR22" i="52" s="1"/>
  <c r="T37" i="52"/>
  <c r="AR37" i="52" s="1"/>
  <c r="T36" i="52"/>
  <c r="AR36" i="52" s="1"/>
  <c r="T35" i="52"/>
  <c r="AR35" i="52" s="1"/>
  <c r="T26" i="52"/>
  <c r="AR26" i="52" s="1"/>
  <c r="T30" i="52"/>
  <c r="AR30" i="52" s="1"/>
  <c r="T23" i="52"/>
  <c r="AR23" i="52" s="1"/>
  <c r="T25" i="52"/>
  <c r="AR25" i="52" s="1"/>
  <c r="T20" i="52"/>
  <c r="AR20" i="52" s="1"/>
  <c r="T29" i="52"/>
  <c r="AR29" i="52" s="1"/>
  <c r="T34" i="52"/>
  <c r="AR34" i="52" s="1"/>
  <c r="T28" i="52"/>
  <c r="AR28" i="52" s="1"/>
  <c r="T27" i="52"/>
  <c r="AR27" i="52" s="1"/>
  <c r="T21" i="52"/>
  <c r="AR21" i="52" s="1"/>
  <c r="T24" i="52"/>
  <c r="AR24" i="52" s="1"/>
  <c r="T33" i="52"/>
  <c r="AR33" i="52" s="1"/>
  <c r="T19" i="52"/>
  <c r="AR19" i="52" s="1"/>
  <c r="O33" i="50"/>
  <c r="O37" i="50" s="1"/>
  <c r="S7" i="50"/>
  <c r="I53" i="64"/>
  <c r="M39" i="11"/>
  <c r="N10" i="52"/>
  <c r="R10" i="52" s="1"/>
  <c r="T25" i="65"/>
  <c r="H26" i="65"/>
  <c r="AE111" i="21"/>
  <c r="AD112" i="21"/>
  <c r="AE106" i="21"/>
  <c r="AD107" i="21"/>
  <c r="N9" i="52"/>
  <c r="S9" i="52" s="1"/>
  <c r="D12" i="57"/>
  <c r="C12" i="57"/>
  <c r="S13" i="52"/>
  <c r="AN13" i="52" s="1"/>
  <c r="R13" i="52"/>
  <c r="S11" i="52"/>
  <c r="AN11" i="52" s="1"/>
  <c r="R11" i="52"/>
  <c r="S17" i="52"/>
  <c r="AN17" i="52" s="1"/>
  <c r="R17" i="52"/>
  <c r="U102" i="21"/>
  <c r="V101" i="21"/>
  <c r="U6" i="2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I6" i="21" s="1"/>
  <c r="E27" i="11"/>
  <c r="E56" i="11"/>
  <c r="E30" i="54"/>
  <c r="E35" i="54" s="1"/>
  <c r="E41" i="64"/>
  <c r="N12" i="52"/>
  <c r="S12" i="52" s="1"/>
  <c r="AN12" i="52" s="1"/>
  <c r="N7" i="52"/>
  <c r="S7" i="52" s="1"/>
  <c r="AK7" i="52" s="1"/>
  <c r="AN7" i="52" s="1"/>
  <c r="P17" i="52"/>
  <c r="P11" i="52"/>
  <c r="P10" i="52"/>
  <c r="P14" i="52"/>
  <c r="F20" i="65"/>
  <c r="F53" i="21"/>
  <c r="D14" i="63"/>
  <c r="C14" i="63"/>
  <c r="A45" i="58"/>
  <c r="C53" i="58"/>
  <c r="C49" i="58"/>
  <c r="C45" i="58"/>
  <c r="A53" i="58"/>
  <c r="A56" i="58"/>
  <c r="A48" i="58"/>
  <c r="A49" i="58"/>
  <c r="A50" i="58"/>
  <c r="C52" i="58"/>
  <c r="C48" i="58"/>
  <c r="A51" i="58"/>
  <c r="A54" i="58"/>
  <c r="A46" i="58"/>
  <c r="A52" i="58"/>
  <c r="A55" i="58"/>
  <c r="C51" i="58"/>
  <c r="C47" i="58"/>
  <c r="A47" i="58"/>
  <c r="C54" i="58"/>
  <c r="C50" i="58"/>
  <c r="C46" i="58"/>
  <c r="C55" i="58"/>
  <c r="H21" i="63"/>
  <c r="T20" i="63"/>
  <c r="D10" i="64"/>
  <c r="D9" i="64"/>
  <c r="D11" i="64"/>
  <c r="E10" i="54"/>
  <c r="E7" i="54"/>
  <c r="G57" i="52"/>
  <c r="E76" i="55" s="1"/>
  <c r="AE38" i="52"/>
  <c r="E39" i="52" s="1"/>
  <c r="L20" i="4"/>
  <c r="L21" i="4" s="1"/>
  <c r="X14" i="52"/>
  <c r="X16" i="52"/>
  <c r="X13" i="52"/>
  <c r="P12" i="52"/>
  <c r="P9" i="52"/>
  <c r="W12" i="52"/>
  <c r="X12" i="52"/>
  <c r="P8" i="52"/>
  <c r="X9" i="52"/>
  <c r="W9" i="52"/>
  <c r="W11" i="52"/>
  <c r="X11" i="52"/>
  <c r="X8" i="52"/>
  <c r="W8" i="52"/>
  <c r="P7" i="52"/>
  <c r="X7" i="52"/>
  <c r="W7" i="52"/>
  <c r="X15" i="52"/>
  <c r="X10" i="52"/>
  <c r="X17" i="52"/>
  <c r="Q55" i="52"/>
  <c r="Q54" i="52"/>
  <c r="W10" i="52"/>
  <c r="Q56" i="52"/>
  <c r="Q53" i="52"/>
  <c r="R7" i="52" l="1"/>
  <c r="R16" i="52"/>
  <c r="R14" i="52"/>
  <c r="AN8" i="52"/>
  <c r="AL38" i="52"/>
  <c r="R15" i="52"/>
  <c r="T15" i="52" s="1"/>
  <c r="AR15" i="52" s="1"/>
  <c r="D32" i="4"/>
  <c r="D68" i="4"/>
  <c r="D31" i="4"/>
  <c r="D18" i="4"/>
  <c r="D30" i="4"/>
  <c r="D40" i="4"/>
  <c r="D36" i="70" s="1"/>
  <c r="G36" i="70" s="1"/>
  <c r="R12" i="52"/>
  <c r="T12" i="52" s="1"/>
  <c r="AR12" i="52" s="1"/>
  <c r="R9" i="52"/>
  <c r="R8" i="52"/>
  <c r="T8" i="52" s="1"/>
  <c r="S15" i="50"/>
  <c r="AM9" i="52"/>
  <c r="AM38" i="52" s="1"/>
  <c r="K20" i="54"/>
  <c r="K21" i="54"/>
  <c r="K23" i="54"/>
  <c r="K15" i="54"/>
  <c r="K24" i="54"/>
  <c r="K17" i="54"/>
  <c r="K18" i="54"/>
  <c r="K16" i="54"/>
  <c r="K19" i="54"/>
  <c r="G30" i="4"/>
  <c r="G53" i="4"/>
  <c r="G88" i="4"/>
  <c r="G84" i="4"/>
  <c r="G76" i="4"/>
  <c r="G66" i="4"/>
  <c r="G62" i="4"/>
  <c r="G58" i="4"/>
  <c r="G54" i="4"/>
  <c r="G60" i="4"/>
  <c r="G50" i="4"/>
  <c r="G87" i="4"/>
  <c r="G83" i="4"/>
  <c r="G75" i="4"/>
  <c r="G65" i="4"/>
  <c r="G61" i="4"/>
  <c r="G57" i="4"/>
  <c r="G52" i="4"/>
  <c r="G64" i="4"/>
  <c r="G51" i="4"/>
  <c r="G86" i="4"/>
  <c r="G81" i="4"/>
  <c r="G74" i="4"/>
  <c r="G56" i="4"/>
  <c r="G85" i="4"/>
  <c r="G77" i="4"/>
  <c r="G73" i="4"/>
  <c r="G63" i="4"/>
  <c r="G59" i="4"/>
  <c r="G55" i="4"/>
  <c r="G111" i="4"/>
  <c r="G107" i="4"/>
  <c r="G99" i="4"/>
  <c r="G67" i="4"/>
  <c r="G46" i="4"/>
  <c r="G39" i="4"/>
  <c r="G35" i="4"/>
  <c r="G26" i="4"/>
  <c r="G19" i="4"/>
  <c r="G118" i="4"/>
  <c r="G110" i="4"/>
  <c r="G106" i="4"/>
  <c r="G98" i="4"/>
  <c r="G49" i="4"/>
  <c r="G45" i="4"/>
  <c r="G38" i="4"/>
  <c r="G34" i="4"/>
  <c r="G25" i="4"/>
  <c r="Q4" i="4"/>
  <c r="P18" i="4" s="1"/>
  <c r="U18" i="4" s="1"/>
  <c r="G82" i="4"/>
  <c r="G108" i="4"/>
  <c r="G47" i="4"/>
  <c r="G36" i="4"/>
  <c r="G20" i="4"/>
  <c r="G117" i="4"/>
  <c r="G109" i="4"/>
  <c r="G101" i="4"/>
  <c r="G97" i="4"/>
  <c r="G48" i="4"/>
  <c r="G44" i="4"/>
  <c r="G37" i="4"/>
  <c r="G33" i="4"/>
  <c r="G24" i="4"/>
  <c r="G116" i="4"/>
  <c r="G100" i="4"/>
  <c r="G89" i="4"/>
  <c r="G43" i="4"/>
  <c r="G32" i="4"/>
  <c r="G17" i="4"/>
  <c r="G18" i="4"/>
  <c r="D25" i="70"/>
  <c r="G25" i="70" s="1"/>
  <c r="J30" i="4"/>
  <c r="J53" i="4"/>
  <c r="J87" i="4"/>
  <c r="J83" i="4"/>
  <c r="J75" i="4"/>
  <c r="J66" i="4"/>
  <c r="J62" i="4"/>
  <c r="J58" i="4"/>
  <c r="J54" i="4"/>
  <c r="J49" i="4"/>
  <c r="J45" i="4"/>
  <c r="J38" i="4"/>
  <c r="J34" i="4"/>
  <c r="J25" i="4"/>
  <c r="J86" i="4"/>
  <c r="J81" i="4"/>
  <c r="J74" i="4"/>
  <c r="J65" i="4"/>
  <c r="J61" i="4"/>
  <c r="J57" i="4"/>
  <c r="J52" i="4"/>
  <c r="J48" i="4"/>
  <c r="J44" i="4"/>
  <c r="J37" i="4"/>
  <c r="J33" i="4"/>
  <c r="J24" i="4"/>
  <c r="J89" i="4"/>
  <c r="J85" i="4"/>
  <c r="J77" i="4"/>
  <c r="J73" i="4"/>
  <c r="J64" i="4"/>
  <c r="J60" i="4"/>
  <c r="J56" i="4"/>
  <c r="J51" i="4"/>
  <c r="J47" i="4"/>
  <c r="J43" i="4"/>
  <c r="J36" i="4"/>
  <c r="J32" i="4"/>
  <c r="J20" i="4"/>
  <c r="J88" i="4"/>
  <c r="J84" i="4"/>
  <c r="J76" i="4"/>
  <c r="J67" i="4"/>
  <c r="J63" i="4"/>
  <c r="J59" i="4"/>
  <c r="J55" i="4"/>
  <c r="J50" i="4"/>
  <c r="J46" i="4"/>
  <c r="J39" i="4"/>
  <c r="J35" i="4"/>
  <c r="J26" i="4"/>
  <c r="J19" i="4"/>
  <c r="J82" i="4"/>
  <c r="J18" i="4"/>
  <c r="J17" i="4"/>
  <c r="R30" i="4"/>
  <c r="R89" i="4"/>
  <c r="R53" i="4"/>
  <c r="Q53" i="4" s="1"/>
  <c r="U53" i="4" s="1"/>
  <c r="R77" i="4"/>
  <c r="Q77" i="4" s="1"/>
  <c r="U77" i="4" s="1"/>
  <c r="R74" i="4"/>
  <c r="Q74" i="4" s="1"/>
  <c r="U74" i="4" s="1"/>
  <c r="R65" i="4"/>
  <c r="Q65" i="4" s="1"/>
  <c r="U65" i="4" s="1"/>
  <c r="R64" i="4"/>
  <c r="Q64" i="4" s="1"/>
  <c r="U64" i="4" s="1"/>
  <c r="R63" i="4"/>
  <c r="Q63" i="4" s="1"/>
  <c r="U63" i="4" s="1"/>
  <c r="R66" i="4"/>
  <c r="Q66" i="4" s="1"/>
  <c r="U66" i="4" s="1"/>
  <c r="R43" i="4"/>
  <c r="R50" i="4"/>
  <c r="Q50" i="4" s="1"/>
  <c r="U50" i="4" s="1"/>
  <c r="R98" i="4"/>
  <c r="Q98" i="4" s="1"/>
  <c r="U98" i="4" s="1"/>
  <c r="R101" i="4"/>
  <c r="Q101" i="4" s="1"/>
  <c r="U101" i="4" s="1"/>
  <c r="R73" i="4"/>
  <c r="R75" i="4"/>
  <c r="Q75" i="4" s="1"/>
  <c r="U75" i="4" s="1"/>
  <c r="R86" i="4"/>
  <c r="Q86" i="4" s="1"/>
  <c r="U86" i="4" s="1"/>
  <c r="R61" i="4"/>
  <c r="Q61" i="4" s="1"/>
  <c r="U61" i="4" s="1"/>
  <c r="R60" i="4"/>
  <c r="Q60" i="4" s="1"/>
  <c r="U60" i="4" s="1"/>
  <c r="R59" i="4"/>
  <c r="Q59" i="4" s="1"/>
  <c r="U59" i="4" s="1"/>
  <c r="R62" i="4"/>
  <c r="Q62" i="4" s="1"/>
  <c r="U62" i="4" s="1"/>
  <c r="R97" i="4"/>
  <c r="Q97" i="4" s="1"/>
  <c r="U97" i="4" s="1"/>
  <c r="R100" i="4"/>
  <c r="Q100" i="4" s="1"/>
  <c r="U100" i="4" s="1"/>
  <c r="R85" i="4"/>
  <c r="Q85" i="4" s="1"/>
  <c r="U85" i="4" s="1"/>
  <c r="R87" i="4"/>
  <c r="Q87" i="4" s="1"/>
  <c r="U87" i="4" s="1"/>
  <c r="R76" i="4"/>
  <c r="Q76" i="4" s="1"/>
  <c r="U76" i="4" s="1"/>
  <c r="R57" i="4"/>
  <c r="Q57" i="4" s="1"/>
  <c r="U57" i="4" s="1"/>
  <c r="R56" i="4"/>
  <c r="Q56" i="4" s="1"/>
  <c r="U56" i="4" s="1"/>
  <c r="R55" i="4"/>
  <c r="Q55" i="4" s="1"/>
  <c r="U55" i="4" s="1"/>
  <c r="R58" i="4"/>
  <c r="Q58" i="4" s="1"/>
  <c r="U58" i="4" s="1"/>
  <c r="R99" i="4"/>
  <c r="Q99" i="4" s="1"/>
  <c r="U99" i="4" s="1"/>
  <c r="R83" i="4"/>
  <c r="Q83" i="4" s="1"/>
  <c r="U83" i="4" s="1"/>
  <c r="R84" i="4"/>
  <c r="Q84" i="4" s="1"/>
  <c r="U84" i="4" s="1"/>
  <c r="R52" i="4"/>
  <c r="Q52" i="4" s="1"/>
  <c r="U52" i="4" s="1"/>
  <c r="R51" i="4"/>
  <c r="Q51" i="4" s="1"/>
  <c r="U51" i="4" s="1"/>
  <c r="R54" i="4"/>
  <c r="U54" i="4" s="1"/>
  <c r="R88" i="4"/>
  <c r="Q88" i="4" s="1"/>
  <c r="U88" i="4" s="1"/>
  <c r="R48" i="4"/>
  <c r="Q48" i="4" s="1"/>
  <c r="U48" i="4" s="1"/>
  <c r="R45" i="4"/>
  <c r="Q45" i="4" s="1"/>
  <c r="U45" i="4" s="1"/>
  <c r="R67" i="4"/>
  <c r="Q67" i="4" s="1"/>
  <c r="U67" i="4" s="1"/>
  <c r="R34" i="4"/>
  <c r="Q34" i="4" s="1"/>
  <c r="U34" i="4" s="1"/>
  <c r="R33" i="4"/>
  <c r="R35" i="4"/>
  <c r="Q35" i="4" s="1"/>
  <c r="U35" i="4" s="1"/>
  <c r="R38" i="4"/>
  <c r="Q38" i="4" s="1"/>
  <c r="U38" i="4" s="1"/>
  <c r="R36" i="4"/>
  <c r="Q36" i="4" s="1"/>
  <c r="U36" i="4" s="1"/>
  <c r="R37" i="4"/>
  <c r="Q37" i="4" s="1"/>
  <c r="U37" i="4" s="1"/>
  <c r="R39" i="4"/>
  <c r="Q39" i="4" s="1"/>
  <c r="U39" i="4" s="1"/>
  <c r="R32" i="4"/>
  <c r="R47" i="4"/>
  <c r="Q47" i="4" s="1"/>
  <c r="U47" i="4" s="1"/>
  <c r="R44" i="4"/>
  <c r="Q44" i="4" s="1"/>
  <c r="U44" i="4" s="1"/>
  <c r="R49" i="4"/>
  <c r="Q49" i="4" s="1"/>
  <c r="U49" i="4" s="1"/>
  <c r="R46" i="4"/>
  <c r="Q46" i="4" s="1"/>
  <c r="U46" i="4" s="1"/>
  <c r="J18" i="64"/>
  <c r="B28" i="50"/>
  <c r="C6" i="70" s="1"/>
  <c r="D46" i="70" s="1"/>
  <c r="J40" i="64"/>
  <c r="J48" i="64" s="1"/>
  <c r="AK38" i="52"/>
  <c r="E72" i="55" s="1"/>
  <c r="E36" i="55"/>
  <c r="E58" i="55" s="1"/>
  <c r="S10" i="52"/>
  <c r="P38" i="52"/>
  <c r="M38" i="11"/>
  <c r="E12" i="57"/>
  <c r="F12" i="57" s="1"/>
  <c r="D13" i="57" s="1"/>
  <c r="T26" i="65"/>
  <c r="H27" i="65"/>
  <c r="AF111" i="21"/>
  <c r="AE112" i="21"/>
  <c r="AF106" i="21"/>
  <c r="AE107" i="21"/>
  <c r="V102" i="21"/>
  <c r="W101" i="21"/>
  <c r="T14" i="52"/>
  <c r="AR14" i="52" s="1"/>
  <c r="T16" i="52"/>
  <c r="AR16" i="52" s="1"/>
  <c r="T13" i="52"/>
  <c r="AR13" i="52" s="1"/>
  <c r="T17" i="52"/>
  <c r="AR17" i="52" s="1"/>
  <c r="D21" i="65"/>
  <c r="C21" i="65" s="1"/>
  <c r="E21" i="65" s="1"/>
  <c r="E14" i="63"/>
  <c r="F14" i="63" s="1"/>
  <c r="D15" i="63" s="1"/>
  <c r="H22" i="63"/>
  <c r="T21" i="63"/>
  <c r="E39" i="64"/>
  <c r="E25" i="11"/>
  <c r="T9" i="52"/>
  <c r="T11" i="52"/>
  <c r="AR11" i="52" s="1"/>
  <c r="AN9" i="52" l="1"/>
  <c r="P19" i="4"/>
  <c r="U19" i="4" s="1"/>
  <c r="E74" i="55"/>
  <c r="F74" i="55" s="1"/>
  <c r="S38" i="52"/>
  <c r="G56" i="52" s="1"/>
  <c r="AN10" i="52"/>
  <c r="AQ9" i="52"/>
  <c r="AQ38" i="52" s="1"/>
  <c r="AP8" i="52"/>
  <c r="AP38" i="52" s="1"/>
  <c r="Q33" i="4"/>
  <c r="U33" i="4" s="1"/>
  <c r="Q30" i="4"/>
  <c r="R40" i="4"/>
  <c r="J68" i="4"/>
  <c r="G59" i="11" s="1"/>
  <c r="K17" i="4"/>
  <c r="G21" i="4"/>
  <c r="K37" i="4"/>
  <c r="K36" i="4"/>
  <c r="K45" i="4"/>
  <c r="K35" i="4"/>
  <c r="K59" i="4"/>
  <c r="K85" i="4"/>
  <c r="K86" i="4"/>
  <c r="K57" i="4"/>
  <c r="K83" i="4"/>
  <c r="K54" i="4"/>
  <c r="K76" i="4"/>
  <c r="K30" i="4"/>
  <c r="G40" i="4"/>
  <c r="D38" i="70" s="1"/>
  <c r="G38" i="70" s="1"/>
  <c r="K26" i="54"/>
  <c r="J21" i="4"/>
  <c r="G56" i="11" s="1"/>
  <c r="K32" i="4"/>
  <c r="K116" i="4"/>
  <c r="G119" i="4"/>
  <c r="K44" i="4"/>
  <c r="K47" i="4"/>
  <c r="K25" i="4"/>
  <c r="K49" i="4"/>
  <c r="K118" i="4"/>
  <c r="K39" i="4"/>
  <c r="K63" i="4"/>
  <c r="K56" i="4"/>
  <c r="K51" i="4"/>
  <c r="K61" i="4"/>
  <c r="K87" i="4"/>
  <c r="K58" i="4"/>
  <c r="K84" i="4"/>
  <c r="Q32" i="4"/>
  <c r="U32" i="4" s="1"/>
  <c r="Q43" i="4"/>
  <c r="R68" i="4"/>
  <c r="Q89" i="4"/>
  <c r="U89" i="4" s="1"/>
  <c r="J27" i="4"/>
  <c r="G57" i="11" s="1"/>
  <c r="K43" i="4"/>
  <c r="G68" i="4"/>
  <c r="G27" i="4"/>
  <c r="K24" i="4"/>
  <c r="K48" i="4"/>
  <c r="K117" i="4"/>
  <c r="K34" i="4"/>
  <c r="K19" i="4"/>
  <c r="K46" i="4"/>
  <c r="K73" i="4"/>
  <c r="K74" i="4"/>
  <c r="K64" i="4"/>
  <c r="K65" i="4"/>
  <c r="K50" i="4"/>
  <c r="K62" i="4"/>
  <c r="K88" i="4"/>
  <c r="J40" i="4"/>
  <c r="G58" i="11" s="1"/>
  <c r="K18" i="4"/>
  <c r="K89" i="4"/>
  <c r="K33" i="4"/>
  <c r="K20" i="4"/>
  <c r="K82" i="4"/>
  <c r="K38" i="4"/>
  <c r="G112" i="4"/>
  <c r="K26" i="4"/>
  <c r="K67" i="4"/>
  <c r="K55" i="4"/>
  <c r="K77" i="4"/>
  <c r="K81" i="4"/>
  <c r="K52" i="4"/>
  <c r="K75" i="4"/>
  <c r="K60" i="4"/>
  <c r="K66" i="4"/>
  <c r="K53" i="4"/>
  <c r="C13" i="57"/>
  <c r="E13" i="57" s="1"/>
  <c r="F13" i="57" s="1"/>
  <c r="D14" i="57" s="1"/>
  <c r="T10" i="52"/>
  <c r="AR10" i="52" s="1"/>
  <c r="I56" i="64"/>
  <c r="C29" i="67"/>
  <c r="T27" i="65"/>
  <c r="H28" i="65"/>
  <c r="AG111" i="21"/>
  <c r="AF112" i="21"/>
  <c r="AG106" i="21"/>
  <c r="AF107" i="21"/>
  <c r="W102" i="21"/>
  <c r="X101" i="21"/>
  <c r="T7" i="52"/>
  <c r="R38" i="52"/>
  <c r="S39" i="52" s="1"/>
  <c r="F21" i="65"/>
  <c r="C15" i="63"/>
  <c r="E15" i="63" s="1"/>
  <c r="F15" i="63" s="1"/>
  <c r="H23" i="63"/>
  <c r="T22" i="63"/>
  <c r="M36" i="11"/>
  <c r="U27" i="4"/>
  <c r="C36" i="67" l="1"/>
  <c r="C43" i="67" s="1"/>
  <c r="AR9" i="52"/>
  <c r="P21" i="4"/>
  <c r="P120" i="4" s="1"/>
  <c r="E73" i="55"/>
  <c r="F73" i="55" s="1"/>
  <c r="AR8" i="52"/>
  <c r="AO7" i="52"/>
  <c r="AO38" i="52" s="1"/>
  <c r="K119" i="4"/>
  <c r="H63" i="11" s="1"/>
  <c r="F63" i="11" s="1"/>
  <c r="K27" i="4"/>
  <c r="H57" i="11" s="1"/>
  <c r="F57" i="11" s="1"/>
  <c r="K68" i="4"/>
  <c r="H59" i="11" s="1"/>
  <c r="F59" i="11" s="1"/>
  <c r="U30" i="4"/>
  <c r="Q40" i="4"/>
  <c r="U40" i="4" s="1"/>
  <c r="U43" i="4"/>
  <c r="Q68" i="4"/>
  <c r="U68" i="4" s="1"/>
  <c r="K40" i="4"/>
  <c r="H58" i="11" s="1"/>
  <c r="F58" i="11" s="1"/>
  <c r="K21" i="4"/>
  <c r="H56" i="11" s="1"/>
  <c r="F56" i="11" s="1"/>
  <c r="AN38" i="52"/>
  <c r="E67" i="55"/>
  <c r="T28" i="65"/>
  <c r="H29" i="65"/>
  <c r="AH106" i="21"/>
  <c r="AG107" i="21"/>
  <c r="AH111" i="21"/>
  <c r="AG112" i="21"/>
  <c r="T38" i="52"/>
  <c r="C14" i="57"/>
  <c r="E14" i="57" s="1"/>
  <c r="F14" i="57" s="1"/>
  <c r="D15" i="57" s="1"/>
  <c r="X102" i="21"/>
  <c r="Y101" i="21"/>
  <c r="D22" i="65"/>
  <c r="D16" i="63"/>
  <c r="C16" i="63" s="1"/>
  <c r="E16" i="63" s="1"/>
  <c r="F16" i="63" s="1"/>
  <c r="H24" i="63"/>
  <c r="T23" i="63"/>
  <c r="U21" i="4" l="1"/>
  <c r="AR7" i="52"/>
  <c r="AR38" i="52" s="1"/>
  <c r="AS39" i="52" s="1"/>
  <c r="AO39" i="52"/>
  <c r="E75" i="55"/>
  <c r="C39" i="67"/>
  <c r="I61" i="64"/>
  <c r="E56" i="64" s="1"/>
  <c r="G58" i="52"/>
  <c r="G62" i="52" s="1"/>
  <c r="E58" i="64"/>
  <c r="E59" i="64" s="1"/>
  <c r="H30" i="65"/>
  <c r="T29" i="65"/>
  <c r="AI111" i="21"/>
  <c r="AH112" i="21"/>
  <c r="AI106" i="21"/>
  <c r="AH107" i="21"/>
  <c r="C15" i="57"/>
  <c r="E15" i="57" s="1"/>
  <c r="F15" i="57" s="1"/>
  <c r="Y102" i="21"/>
  <c r="Z101" i="21"/>
  <c r="F121" i="4"/>
  <c r="C22" i="65"/>
  <c r="E22" i="65" s="1"/>
  <c r="H25" i="63"/>
  <c r="T24" i="63"/>
  <c r="D17" i="63"/>
  <c r="E85" i="55" l="1"/>
  <c r="E77" i="55"/>
  <c r="E53" i="64" s="1"/>
  <c r="AT39" i="52"/>
  <c r="E52" i="64"/>
  <c r="H31" i="65"/>
  <c r="T30" i="65"/>
  <c r="AI112" i="21"/>
  <c r="AI107" i="21"/>
  <c r="E43" i="54"/>
  <c r="Z102" i="21"/>
  <c r="AA101" i="21"/>
  <c r="F22" i="65"/>
  <c r="C17" i="63"/>
  <c r="E17" i="63" s="1"/>
  <c r="F17" i="63" s="1"/>
  <c r="H26" i="63"/>
  <c r="T25" i="63"/>
  <c r="D16" i="57"/>
  <c r="C16" i="57" s="1"/>
  <c r="F77" i="55" l="1"/>
  <c r="E80" i="55"/>
  <c r="T31" i="65"/>
  <c r="H32" i="65"/>
  <c r="AA102" i="21"/>
  <c r="AB101" i="21"/>
  <c r="D23" i="65"/>
  <c r="H27" i="63"/>
  <c r="T26" i="63"/>
  <c r="E16" i="57"/>
  <c r="F16" i="57" s="1"/>
  <c r="D18" i="63"/>
  <c r="C18" i="63" s="1"/>
  <c r="AT40" i="52" l="1"/>
  <c r="T32" i="65"/>
  <c r="H33" i="65"/>
  <c r="E89" i="55"/>
  <c r="E54" i="64"/>
  <c r="AB102" i="21"/>
  <c r="AC101" i="21"/>
  <c r="C23" i="65"/>
  <c r="E23" i="65" s="1"/>
  <c r="H28" i="63"/>
  <c r="T27" i="63"/>
  <c r="E18" i="63"/>
  <c r="D17" i="57"/>
  <c r="C17" i="57" s="1"/>
  <c r="H34" i="65" l="1"/>
  <c r="T33" i="65"/>
  <c r="E55" i="64"/>
  <c r="E90" i="55"/>
  <c r="AC102" i="21"/>
  <c r="AD101" i="21"/>
  <c r="F23" i="65"/>
  <c r="E17" i="57"/>
  <c r="F17" i="57" s="1"/>
  <c r="H29" i="63"/>
  <c r="T28" i="63"/>
  <c r="F18" i="63"/>
  <c r="O14" i="4" l="1"/>
  <c r="L47" i="55"/>
  <c r="L24" i="55"/>
  <c r="L33" i="55"/>
  <c r="L40" i="55"/>
  <c r="H35" i="65"/>
  <c r="T34" i="65"/>
  <c r="M15" i="55"/>
  <c r="E57" i="64"/>
  <c r="AD102" i="21"/>
  <c r="AE101" i="21"/>
  <c r="D24" i="65"/>
  <c r="H30" i="63"/>
  <c r="T29" i="63"/>
  <c r="D19" i="63"/>
  <c r="C19" i="63" s="1"/>
  <c r="D18" i="57"/>
  <c r="C18" i="57" s="1"/>
  <c r="H36" i="65" l="1"/>
  <c r="T35" i="65"/>
  <c r="AE102" i="21"/>
  <c r="AF101" i="21"/>
  <c r="C24" i="65"/>
  <c r="E24" i="65" s="1"/>
  <c r="H31" i="63"/>
  <c r="T30" i="63"/>
  <c r="E19" i="63"/>
  <c r="E18" i="57"/>
  <c r="F18" i="57" s="1"/>
  <c r="T36" i="65" l="1"/>
  <c r="H37" i="65"/>
  <c r="AF102" i="21"/>
  <c r="AG101" i="21"/>
  <c r="F24" i="65"/>
  <c r="H32" i="63"/>
  <c r="T31" i="63"/>
  <c r="F19" i="63"/>
  <c r="D19" i="57"/>
  <c r="C19" i="57" s="1"/>
  <c r="H38" i="65" l="1"/>
  <c r="T37" i="65"/>
  <c r="AG102" i="21"/>
  <c r="AH101" i="21"/>
  <c r="D25" i="65"/>
  <c r="E19" i="57"/>
  <c r="F19" i="57" s="1"/>
  <c r="H33" i="63"/>
  <c r="T32" i="63"/>
  <c r="D20" i="63"/>
  <c r="C20" i="63" s="1"/>
  <c r="H39" i="65" l="1"/>
  <c r="T38" i="65"/>
  <c r="D20" i="57"/>
  <c r="AH102" i="21"/>
  <c r="AI101" i="21"/>
  <c r="AI102" i="21" s="1"/>
  <c r="C25" i="65"/>
  <c r="E25" i="65" s="1"/>
  <c r="H34" i="63"/>
  <c r="T33" i="63"/>
  <c r="E20" i="63"/>
  <c r="F20" i="63" s="1"/>
  <c r="C20" i="57" l="1"/>
  <c r="E20" i="57" s="1"/>
  <c r="F20" i="57" s="1"/>
  <c r="T39" i="65"/>
  <c r="H40" i="65"/>
  <c r="F25" i="65"/>
  <c r="H35" i="63"/>
  <c r="T34" i="63"/>
  <c r="D21" i="63"/>
  <c r="C21" i="63" s="1"/>
  <c r="D21" i="57" l="1"/>
  <c r="C21" i="57" s="1"/>
  <c r="E21" i="57" s="1"/>
  <c r="F21" i="57" s="1"/>
  <c r="T40" i="65"/>
  <c r="H41" i="65"/>
  <c r="D26" i="65"/>
  <c r="H36" i="63"/>
  <c r="T35" i="63"/>
  <c r="E21" i="63"/>
  <c r="F21" i="63" s="1"/>
  <c r="H42" i="65" l="1"/>
  <c r="T41" i="65"/>
  <c r="D22" i="57"/>
  <c r="C26" i="65"/>
  <c r="E26" i="65" s="1"/>
  <c r="H37" i="63"/>
  <c r="T36" i="63"/>
  <c r="D22" i="63"/>
  <c r="C22" i="63" s="1"/>
  <c r="C22" i="57" l="1"/>
  <c r="E22" i="57" s="1"/>
  <c r="F22" i="57" s="1"/>
  <c r="H43" i="65"/>
  <c r="T42" i="65"/>
  <c r="F26" i="65"/>
  <c r="H38" i="63"/>
  <c r="T37" i="63"/>
  <c r="E22" i="63"/>
  <c r="F22" i="63" s="1"/>
  <c r="D23" i="57" l="1"/>
  <c r="C23" i="57"/>
  <c r="E23" i="57" s="1"/>
  <c r="F23" i="57" s="1"/>
  <c r="D24" i="57" s="1"/>
  <c r="T43" i="65"/>
  <c r="H44" i="65"/>
  <c r="D27" i="65"/>
  <c r="C27" i="65" s="1"/>
  <c r="H39" i="63"/>
  <c r="T38" i="63"/>
  <c r="D23" i="63"/>
  <c r="C23" i="63" s="1"/>
  <c r="C24" i="57" l="1"/>
  <c r="E24" i="57" s="1"/>
  <c r="F24" i="57" s="1"/>
  <c r="D25" i="57" s="1"/>
  <c r="T44" i="65"/>
  <c r="H45" i="65"/>
  <c r="C25" i="57"/>
  <c r="E25" i="57" s="1"/>
  <c r="F25" i="57" s="1"/>
  <c r="D26" i="57" s="1"/>
  <c r="E27" i="65"/>
  <c r="F27" i="65" s="1"/>
  <c r="H40" i="63"/>
  <c r="T39" i="63"/>
  <c r="E23" i="63"/>
  <c r="F23" i="63" s="1"/>
  <c r="C26" i="57" l="1"/>
  <c r="T45" i="65"/>
  <c r="H46" i="65"/>
  <c r="E26" i="57"/>
  <c r="F26" i="57" s="1"/>
  <c r="D27" i="57" s="1"/>
  <c r="D28" i="65"/>
  <c r="C28" i="65" s="1"/>
  <c r="E28" i="65" s="1"/>
  <c r="H41" i="63"/>
  <c r="T40" i="63"/>
  <c r="D24" i="63"/>
  <c r="C24" i="63" s="1"/>
  <c r="C27" i="57" l="1"/>
  <c r="E27" i="57" s="1"/>
  <c r="F27" i="57" s="1"/>
  <c r="T46" i="65"/>
  <c r="H47" i="65"/>
  <c r="F28" i="65"/>
  <c r="D28" i="57"/>
  <c r="C28" i="57" s="1"/>
  <c r="H42" i="63"/>
  <c r="T41" i="63"/>
  <c r="E24" i="63"/>
  <c r="F24" i="63" s="1"/>
  <c r="H48" i="65" l="1"/>
  <c r="T47" i="65"/>
  <c r="E28" i="57"/>
  <c r="F28" i="57" s="1"/>
  <c r="D29" i="57" s="1"/>
  <c r="D29" i="65"/>
  <c r="H43" i="63"/>
  <c r="T42" i="63"/>
  <c r="D25" i="63"/>
  <c r="C25" i="63" s="1"/>
  <c r="T48" i="65" l="1"/>
  <c r="H49" i="65"/>
  <c r="C29" i="57"/>
  <c r="E29" i="57" s="1"/>
  <c r="F29" i="57" s="1"/>
  <c r="D30" i="57" s="1"/>
  <c r="C29" i="65"/>
  <c r="E29" i="65" s="1"/>
  <c r="H44" i="63"/>
  <c r="T43" i="63"/>
  <c r="E25" i="63"/>
  <c r="F25" i="63" s="1"/>
  <c r="H50" i="65" l="1"/>
  <c r="T49" i="65"/>
  <c r="C30" i="57"/>
  <c r="E30" i="57"/>
  <c r="F30" i="57" s="1"/>
  <c r="D31" i="57" s="1"/>
  <c r="F29" i="65"/>
  <c r="H45" i="63"/>
  <c r="T44" i="63"/>
  <c r="D26" i="63"/>
  <c r="C26" i="63" s="1"/>
  <c r="T50" i="65" l="1"/>
  <c r="H51" i="65"/>
  <c r="C31" i="57"/>
  <c r="E31" i="57" s="1"/>
  <c r="F31" i="57" s="1"/>
  <c r="D32" i="57" s="1"/>
  <c r="D30" i="65"/>
  <c r="H46" i="63"/>
  <c r="T45" i="63"/>
  <c r="E26" i="63"/>
  <c r="F26" i="63" s="1"/>
  <c r="H52" i="65" l="1"/>
  <c r="T51" i="65"/>
  <c r="C32" i="57"/>
  <c r="E32" i="57" s="1"/>
  <c r="F32" i="57" s="1"/>
  <c r="C30" i="65"/>
  <c r="E30" i="65" s="1"/>
  <c r="H47" i="63"/>
  <c r="T46" i="63"/>
  <c r="D27" i="63"/>
  <c r="C27" i="63" s="1"/>
  <c r="D33" i="57" l="1"/>
  <c r="T52" i="65"/>
  <c r="H53" i="65"/>
  <c r="F30" i="65"/>
  <c r="H48" i="63"/>
  <c r="T47" i="63"/>
  <c r="E27" i="63"/>
  <c r="F27" i="63" s="1"/>
  <c r="C33" i="57" l="1"/>
  <c r="E33" i="57" s="1"/>
  <c r="F33" i="57" s="1"/>
  <c r="H54" i="65"/>
  <c r="T53" i="65"/>
  <c r="D31" i="65"/>
  <c r="C31" i="65" s="1"/>
  <c r="E31" i="65" s="1"/>
  <c r="F31" i="65" s="1"/>
  <c r="H49" i="63"/>
  <c r="T48" i="63"/>
  <c r="D28" i="63"/>
  <c r="C28" i="63" s="1"/>
  <c r="D34" i="57" l="1"/>
  <c r="C34" i="57" s="1"/>
  <c r="E34" i="57" s="1"/>
  <c r="F34" i="57" s="1"/>
  <c r="T54" i="65"/>
  <c r="H55" i="65"/>
  <c r="D32" i="65"/>
  <c r="H50" i="63"/>
  <c r="T49" i="63"/>
  <c r="E28" i="63"/>
  <c r="F28" i="63" s="1"/>
  <c r="D35" i="57" l="1"/>
  <c r="C35" i="57"/>
  <c r="H56" i="65"/>
  <c r="T55" i="65"/>
  <c r="C32" i="65"/>
  <c r="E32" i="65" s="1"/>
  <c r="H51" i="63"/>
  <c r="T50" i="63"/>
  <c r="D29" i="63"/>
  <c r="C29" i="63" s="1"/>
  <c r="E35" i="57" l="1"/>
  <c r="F35" i="57" s="1"/>
  <c r="D36" i="57" s="1"/>
  <c r="C36" i="57" s="1"/>
  <c r="T56" i="65"/>
  <c r="H57" i="65"/>
  <c r="F32" i="65"/>
  <c r="H52" i="63"/>
  <c r="T51" i="63"/>
  <c r="E29" i="63"/>
  <c r="F29" i="63" s="1"/>
  <c r="E36" i="57"/>
  <c r="F36" i="57" s="1"/>
  <c r="T57" i="65" l="1"/>
  <c r="H58" i="65"/>
  <c r="D33" i="65"/>
  <c r="C33" i="65" s="1"/>
  <c r="E33" i="65" s="1"/>
  <c r="H53" i="63"/>
  <c r="T52" i="63"/>
  <c r="D30" i="63"/>
  <c r="C30" i="63" s="1"/>
  <c r="D37" i="57"/>
  <c r="C37" i="57" s="1"/>
  <c r="T58" i="65" l="1"/>
  <c r="H59" i="65"/>
  <c r="F33" i="65"/>
  <c r="H54" i="63"/>
  <c r="T53" i="63"/>
  <c r="E30" i="63"/>
  <c r="F30" i="63" s="1"/>
  <c r="E37" i="57"/>
  <c r="F37" i="57" s="1"/>
  <c r="H60" i="65" l="1"/>
  <c r="T59" i="65"/>
  <c r="D34" i="65"/>
  <c r="H55" i="63"/>
  <c r="T54" i="63"/>
  <c r="D31" i="63"/>
  <c r="C31" i="63" s="1"/>
  <c r="D38" i="57"/>
  <c r="C38" i="57" s="1"/>
  <c r="T60" i="65" l="1"/>
  <c r="H61" i="65"/>
  <c r="C34" i="65"/>
  <c r="E34" i="65" s="1"/>
  <c r="H56" i="63"/>
  <c r="T55" i="63"/>
  <c r="E31" i="63"/>
  <c r="F31" i="63" s="1"/>
  <c r="E38" i="57"/>
  <c r="F38" i="57" s="1"/>
  <c r="H62" i="65" l="1"/>
  <c r="T61" i="65"/>
  <c r="F34" i="65"/>
  <c r="H57" i="63"/>
  <c r="T56" i="63"/>
  <c r="D32" i="63"/>
  <c r="C32" i="63" s="1"/>
  <c r="D39" i="57"/>
  <c r="C39" i="57" s="1"/>
  <c r="T62" i="65" l="1"/>
  <c r="H63" i="65"/>
  <c r="D35" i="65"/>
  <c r="C35" i="65" s="1"/>
  <c r="E35" i="65" s="1"/>
  <c r="H58" i="63"/>
  <c r="T57" i="63"/>
  <c r="E32" i="63"/>
  <c r="F32" i="63" s="1"/>
  <c r="E39" i="57"/>
  <c r="F39" i="57" s="1"/>
  <c r="T63" i="65" l="1"/>
  <c r="H64" i="65"/>
  <c r="F35" i="65"/>
  <c r="H59" i="63"/>
  <c r="T58" i="63"/>
  <c r="D33" i="63"/>
  <c r="C33" i="63" s="1"/>
  <c r="D40" i="57"/>
  <c r="C40" i="57" s="1"/>
  <c r="T64" i="65" l="1"/>
  <c r="H65" i="65"/>
  <c r="D36" i="65"/>
  <c r="H60" i="63"/>
  <c r="T59" i="63"/>
  <c r="E40" i="57"/>
  <c r="F40" i="57" s="1"/>
  <c r="E33" i="63"/>
  <c r="F33" i="63" s="1"/>
  <c r="H66" i="65" l="1"/>
  <c r="T65" i="65"/>
  <c r="C36" i="65"/>
  <c r="E36" i="65" s="1"/>
  <c r="D41" i="57"/>
  <c r="H61" i="63"/>
  <c r="T60" i="63"/>
  <c r="D34" i="63"/>
  <c r="C34" i="63" s="1"/>
  <c r="C41" i="57" l="1"/>
  <c r="E41" i="57" s="1"/>
  <c r="F41" i="57" s="1"/>
  <c r="H67" i="65"/>
  <c r="T66" i="65"/>
  <c r="F36" i="65"/>
  <c r="H62" i="63"/>
  <c r="T61" i="63"/>
  <c r="E34" i="63"/>
  <c r="F34" i="63" s="1"/>
  <c r="D42" i="57" l="1"/>
  <c r="C42" i="57"/>
  <c r="E42" i="57" s="1"/>
  <c r="F42" i="57" s="1"/>
  <c r="H68" i="65"/>
  <c r="T67" i="65"/>
  <c r="D37" i="65"/>
  <c r="H63" i="63"/>
  <c r="T62" i="63"/>
  <c r="D35" i="63"/>
  <c r="C35" i="63" s="1"/>
  <c r="H69" i="65" l="1"/>
  <c r="T68" i="65"/>
  <c r="C37" i="65"/>
  <c r="E37" i="65" s="1"/>
  <c r="H64" i="63"/>
  <c r="T63" i="63"/>
  <c r="E35" i="63"/>
  <c r="F35" i="63" s="1"/>
  <c r="D43" i="57"/>
  <c r="C43" i="57" s="1"/>
  <c r="H70" i="65" l="1"/>
  <c r="T69" i="65"/>
  <c r="F37" i="65"/>
  <c r="H65" i="63"/>
  <c r="T64" i="63"/>
  <c r="D36" i="63"/>
  <c r="C36" i="63" s="1"/>
  <c r="E43" i="57"/>
  <c r="F43" i="57" s="1"/>
  <c r="T70" i="65" l="1"/>
  <c r="H71" i="65"/>
  <c r="D38" i="65"/>
  <c r="H66" i="63"/>
  <c r="T65" i="63"/>
  <c r="E36" i="63"/>
  <c r="F36" i="63" s="1"/>
  <c r="D44" i="57"/>
  <c r="C44" i="57" s="1"/>
  <c r="H72" i="65" l="1"/>
  <c r="T71" i="65"/>
  <c r="C38" i="65"/>
  <c r="E38" i="65" s="1"/>
  <c r="H67" i="63"/>
  <c r="T66" i="63"/>
  <c r="D37" i="63"/>
  <c r="C37" i="63" s="1"/>
  <c r="E44" i="57"/>
  <c r="F44" i="57" s="1"/>
  <c r="H73" i="65" l="1"/>
  <c r="T72" i="65"/>
  <c r="F38" i="65"/>
  <c r="H68" i="63"/>
  <c r="T67" i="63"/>
  <c r="E37" i="63"/>
  <c r="F37" i="63" s="1"/>
  <c r="D45" i="57"/>
  <c r="C45" i="57" s="1"/>
  <c r="T73" i="65" l="1"/>
  <c r="H74" i="65"/>
  <c r="D39" i="65"/>
  <c r="C39" i="65" s="1"/>
  <c r="H69" i="63"/>
  <c r="T68" i="63"/>
  <c r="D38" i="63"/>
  <c r="C38" i="63" s="1"/>
  <c r="E45" i="57"/>
  <c r="F45" i="57" s="1"/>
  <c r="H75" i="65" l="1"/>
  <c r="T74" i="65"/>
  <c r="E39" i="65"/>
  <c r="F39" i="65" s="1"/>
  <c r="H70" i="63"/>
  <c r="T69" i="63"/>
  <c r="E38" i="63"/>
  <c r="F38" i="63" s="1"/>
  <c r="D46" i="57"/>
  <c r="C46" i="57" s="1"/>
  <c r="T75" i="65" l="1"/>
  <c r="H76" i="65"/>
  <c r="D40" i="65"/>
  <c r="C40" i="65" s="1"/>
  <c r="E40" i="65" s="1"/>
  <c r="H71" i="63"/>
  <c r="T70" i="63"/>
  <c r="D39" i="63"/>
  <c r="C39" i="63" s="1"/>
  <c r="E46" i="57"/>
  <c r="F46" i="57" s="1"/>
  <c r="H77" i="65" l="1"/>
  <c r="T77" i="65" s="1"/>
  <c r="T76" i="65"/>
  <c r="F40" i="65"/>
  <c r="H72" i="63"/>
  <c r="T71" i="63"/>
  <c r="E39" i="63"/>
  <c r="F39" i="63" s="1"/>
  <c r="D47" i="57"/>
  <c r="C47" i="57" s="1"/>
  <c r="D41" i="65" l="1"/>
  <c r="C41" i="65" s="1"/>
  <c r="E41" i="65" s="1"/>
  <c r="F41" i="65" s="1"/>
  <c r="H73" i="63"/>
  <c r="T72" i="63"/>
  <c r="D40" i="63"/>
  <c r="C40" i="63" s="1"/>
  <c r="E47" i="57"/>
  <c r="F47" i="57" s="1"/>
  <c r="D42" i="65" l="1"/>
  <c r="C42" i="65" s="1"/>
  <c r="E42" i="65" s="1"/>
  <c r="F42" i="65" s="1"/>
  <c r="H74" i="63"/>
  <c r="T73" i="63"/>
  <c r="E40" i="63"/>
  <c r="F40" i="63" s="1"/>
  <c r="D48" i="57"/>
  <c r="C48" i="57" s="1"/>
  <c r="D43" i="65" l="1"/>
  <c r="C43" i="65" s="1"/>
  <c r="E43" i="65" s="1"/>
  <c r="F43" i="65" s="1"/>
  <c r="H75" i="63"/>
  <c r="T74" i="63"/>
  <c r="E48" i="57"/>
  <c r="F48" i="57" s="1"/>
  <c r="D41" i="63"/>
  <c r="C41" i="63" s="1"/>
  <c r="D44" i="65" l="1"/>
  <c r="C44" i="65" s="1"/>
  <c r="E44" i="65" s="1"/>
  <c r="F44" i="65" s="1"/>
  <c r="D49" i="57"/>
  <c r="H76" i="63"/>
  <c r="T75" i="63"/>
  <c r="E41" i="63"/>
  <c r="F41" i="63" s="1"/>
  <c r="C49" i="57" l="1"/>
  <c r="E49" i="57" s="1"/>
  <c r="F49" i="57" s="1"/>
  <c r="D45" i="65"/>
  <c r="C45" i="65" s="1"/>
  <c r="E45" i="65" s="1"/>
  <c r="F45" i="65" s="1"/>
  <c r="H77" i="63"/>
  <c r="T77" i="63" s="1"/>
  <c r="T76" i="63"/>
  <c r="D42" i="63"/>
  <c r="C42" i="63" s="1"/>
  <c r="D50" i="57" l="1"/>
  <c r="C50" i="57" s="1"/>
  <c r="E50" i="57" s="1"/>
  <c r="F50" i="57" s="1"/>
  <c r="D46" i="65"/>
  <c r="C46" i="65" s="1"/>
  <c r="E46" i="65" s="1"/>
  <c r="F46" i="65" s="1"/>
  <c r="E42" i="63"/>
  <c r="F42" i="63" s="1"/>
  <c r="D47" i="65" l="1"/>
  <c r="C47" i="65" s="1"/>
  <c r="E47" i="65" s="1"/>
  <c r="F47" i="65" s="1"/>
  <c r="D43" i="63"/>
  <c r="C43" i="63" s="1"/>
  <c r="D51" i="57"/>
  <c r="C51" i="57" s="1"/>
  <c r="D48" i="65" l="1"/>
  <c r="C48" i="65" s="1"/>
  <c r="E48" i="65" s="1"/>
  <c r="F48" i="65" s="1"/>
  <c r="E43" i="63"/>
  <c r="F43" i="63" s="1"/>
  <c r="E51" i="57"/>
  <c r="F51" i="57" s="1"/>
  <c r="D49" i="65" l="1"/>
  <c r="C49" i="65" s="1"/>
  <c r="E49" i="65" s="1"/>
  <c r="F49" i="65" s="1"/>
  <c r="D44" i="63"/>
  <c r="C44" i="63" s="1"/>
  <c r="D52" i="57"/>
  <c r="C52" i="57" s="1"/>
  <c r="D50" i="65" l="1"/>
  <c r="C50" i="65" s="1"/>
  <c r="E50" i="65" s="1"/>
  <c r="F50" i="65" s="1"/>
  <c r="E44" i="63"/>
  <c r="F44" i="63" s="1"/>
  <c r="E52" i="57"/>
  <c r="F52" i="57" s="1"/>
  <c r="D51" i="65" l="1"/>
  <c r="C51" i="65" s="1"/>
  <c r="E51" i="65" s="1"/>
  <c r="F51" i="65" s="1"/>
  <c r="D45" i="63"/>
  <c r="C45" i="63" s="1"/>
  <c r="D53" i="57"/>
  <c r="C53" i="57" s="1"/>
  <c r="D52" i="65" l="1"/>
  <c r="C52" i="65" s="1"/>
  <c r="E52" i="65" s="1"/>
  <c r="F52" i="65" s="1"/>
  <c r="E45" i="63"/>
  <c r="F45" i="63" s="1"/>
  <c r="E53" i="57"/>
  <c r="F53" i="57" s="1"/>
  <c r="D53" i="65" l="1"/>
  <c r="C53" i="65" s="1"/>
  <c r="E53" i="65" s="1"/>
  <c r="F53" i="65" s="1"/>
  <c r="D46" i="63"/>
  <c r="C46" i="63" s="1"/>
  <c r="D54" i="57"/>
  <c r="C54" i="57" s="1"/>
  <c r="D54" i="65" l="1"/>
  <c r="C54" i="65" s="1"/>
  <c r="E54" i="65" s="1"/>
  <c r="F54" i="65" s="1"/>
  <c r="E46" i="63"/>
  <c r="F46" i="63" s="1"/>
  <c r="E54" i="57"/>
  <c r="F54" i="57" s="1"/>
  <c r="D55" i="65" l="1"/>
  <c r="C55" i="65" s="1"/>
  <c r="E55" i="65" s="1"/>
  <c r="F55" i="65" s="1"/>
  <c r="D47" i="63"/>
  <c r="C47" i="63" s="1"/>
  <c r="D55" i="57"/>
  <c r="C55" i="57" s="1"/>
  <c r="D56" i="65" l="1"/>
  <c r="C56" i="65" s="1"/>
  <c r="E56" i="65" s="1"/>
  <c r="F56" i="65" s="1"/>
  <c r="E47" i="63"/>
  <c r="F47" i="63" s="1"/>
  <c r="E55" i="57"/>
  <c r="F55" i="57" s="1"/>
  <c r="D57" i="65" l="1"/>
  <c r="C57" i="65" s="1"/>
  <c r="E57" i="65" s="1"/>
  <c r="F57" i="65" s="1"/>
  <c r="D48" i="63"/>
  <c r="C48" i="63" s="1"/>
  <c r="D56" i="57"/>
  <c r="C56" i="57" s="1"/>
  <c r="D58" i="65" l="1"/>
  <c r="C58" i="65" s="1"/>
  <c r="E58" i="65" s="1"/>
  <c r="F58" i="65" s="1"/>
  <c r="E48" i="63"/>
  <c r="F48" i="63" s="1"/>
  <c r="E56" i="57"/>
  <c r="F56" i="57" s="1"/>
  <c r="D59" i="65" l="1"/>
  <c r="C59" i="65"/>
  <c r="E59" i="65" s="1"/>
  <c r="F59" i="65" s="1"/>
  <c r="D49" i="63"/>
  <c r="C49" i="63" s="1"/>
  <c r="D57" i="57"/>
  <c r="C57" i="57" s="1"/>
  <c r="D60" i="65" l="1"/>
  <c r="C60" i="65" s="1"/>
  <c r="E60" i="65" s="1"/>
  <c r="F60" i="65" s="1"/>
  <c r="E49" i="63"/>
  <c r="F49" i="63" s="1"/>
  <c r="E57" i="57"/>
  <c r="F57" i="57" s="1"/>
  <c r="D61" i="65" l="1"/>
  <c r="C61" i="65"/>
  <c r="E61" i="65" s="1"/>
  <c r="F61" i="65" s="1"/>
  <c r="D50" i="63"/>
  <c r="C50" i="63" s="1"/>
  <c r="C58" i="57"/>
  <c r="D58" i="57"/>
  <c r="D62" i="65" l="1"/>
  <c r="C62" i="65" s="1"/>
  <c r="E62" i="65" s="1"/>
  <c r="F62" i="65" s="1"/>
  <c r="E58" i="57"/>
  <c r="F58" i="57" s="1"/>
  <c r="E50" i="63"/>
  <c r="F50" i="63" s="1"/>
  <c r="D63" i="65" l="1"/>
  <c r="C63" i="65" s="1"/>
  <c r="E63" i="65" s="1"/>
  <c r="F63" i="65" s="1"/>
  <c r="D59" i="57"/>
  <c r="D51" i="63"/>
  <c r="C51" i="63" s="1"/>
  <c r="C59" i="57" l="1"/>
  <c r="E59" i="57" s="1"/>
  <c r="F59" i="57" s="1"/>
  <c r="D64" i="65"/>
  <c r="C64" i="65" s="1"/>
  <c r="E64" i="65" s="1"/>
  <c r="F64" i="65" s="1"/>
  <c r="E51" i="63"/>
  <c r="F51" i="63" s="1"/>
  <c r="D60" i="57" l="1"/>
  <c r="C60" i="57" s="1"/>
  <c r="E60" i="57" s="1"/>
  <c r="F60" i="57" s="1"/>
  <c r="D65" i="65"/>
  <c r="C65" i="65" s="1"/>
  <c r="E65" i="65" s="1"/>
  <c r="F65" i="65" s="1"/>
  <c r="D52" i="63"/>
  <c r="C52" i="63" s="1"/>
  <c r="D66" i="65" l="1"/>
  <c r="C66" i="65" s="1"/>
  <c r="E66" i="65" s="1"/>
  <c r="F66" i="65" s="1"/>
  <c r="E52" i="63"/>
  <c r="F52" i="63" s="1"/>
  <c r="D61" i="57"/>
  <c r="C61" i="57" s="1"/>
  <c r="D67" i="65" l="1"/>
  <c r="C67" i="65" s="1"/>
  <c r="E67" i="65" s="1"/>
  <c r="F67" i="65" s="1"/>
  <c r="E61" i="57"/>
  <c r="F61" i="57" s="1"/>
  <c r="D53" i="63"/>
  <c r="C53" i="63" s="1"/>
  <c r="D68" i="65" l="1"/>
  <c r="C68" i="65" s="1"/>
  <c r="E68" i="65" s="1"/>
  <c r="F68" i="65" s="1"/>
  <c r="D62" i="57"/>
  <c r="E53" i="63"/>
  <c r="F53" i="63" s="1"/>
  <c r="C62" i="57" l="1"/>
  <c r="E62" i="57" s="1"/>
  <c r="F62" i="57" s="1"/>
  <c r="D69" i="65"/>
  <c r="C69" i="65" s="1"/>
  <c r="D54" i="63"/>
  <c r="C54" i="63" s="1"/>
  <c r="D63" i="57" l="1"/>
  <c r="C63" i="57" s="1"/>
  <c r="E63" i="57" s="1"/>
  <c r="F63" i="57" s="1"/>
  <c r="D64" i="57" s="1"/>
  <c r="E69" i="65"/>
  <c r="F69" i="65" s="1"/>
  <c r="D70" i="65" s="1"/>
  <c r="C70" i="65" s="1"/>
  <c r="E54" i="63"/>
  <c r="F54" i="63" s="1"/>
  <c r="E70" i="65" l="1"/>
  <c r="F70" i="65" s="1"/>
  <c r="D71" i="65" s="1"/>
  <c r="C71" i="65" s="1"/>
  <c r="E71" i="65" s="1"/>
  <c r="F71" i="65" s="1"/>
  <c r="C64" i="57"/>
  <c r="E64" i="57" s="1"/>
  <c r="F64" i="57" s="1"/>
  <c r="D55" i="63"/>
  <c r="C55" i="63" s="1"/>
  <c r="D72" i="65" l="1"/>
  <c r="C72" i="65" s="1"/>
  <c r="E72" i="65" s="1"/>
  <c r="F72" i="65" s="1"/>
  <c r="E55" i="63"/>
  <c r="F55" i="63" s="1"/>
  <c r="D65" i="57"/>
  <c r="C65" i="57" s="1"/>
  <c r="D73" i="65" l="1"/>
  <c r="C73" i="65"/>
  <c r="D56" i="63"/>
  <c r="C56" i="63" s="1"/>
  <c r="E65" i="57"/>
  <c r="F65" i="57" s="1"/>
  <c r="E73" i="65" l="1"/>
  <c r="F73" i="65" s="1"/>
  <c r="D74" i="65"/>
  <c r="C74" i="65" s="1"/>
  <c r="E74" i="65" s="1"/>
  <c r="F74" i="65" s="1"/>
  <c r="E56" i="63"/>
  <c r="F56" i="63" s="1"/>
  <c r="D66" i="57"/>
  <c r="C66" i="57" s="1"/>
  <c r="D75" i="65" l="1"/>
  <c r="C75" i="65"/>
  <c r="E75" i="65" s="1"/>
  <c r="F75" i="65" s="1"/>
  <c r="E66" i="57"/>
  <c r="F66" i="57" s="1"/>
  <c r="D57" i="63"/>
  <c r="C57" i="63" s="1"/>
  <c r="D76" i="65" l="1"/>
  <c r="C76" i="65" s="1"/>
  <c r="E76" i="65" s="1"/>
  <c r="F76" i="65" s="1"/>
  <c r="D67" i="57"/>
  <c r="E57" i="63"/>
  <c r="F57" i="63" s="1"/>
  <c r="C67" i="57" l="1"/>
  <c r="E67" i="57" s="1"/>
  <c r="F67" i="57" s="1"/>
  <c r="D77" i="65"/>
  <c r="C77" i="65"/>
  <c r="E77" i="65" s="1"/>
  <c r="F77" i="65" s="1"/>
  <c r="D58" i="63"/>
  <c r="C58" i="63" s="1"/>
  <c r="D68" i="57" l="1"/>
  <c r="C68" i="57" s="1"/>
  <c r="E68" i="57" s="1"/>
  <c r="F68" i="57" s="1"/>
  <c r="D78" i="65"/>
  <c r="C78" i="65" s="1"/>
  <c r="E78" i="65" s="1"/>
  <c r="F78" i="65" s="1"/>
  <c r="E58" i="63"/>
  <c r="F58" i="63" s="1"/>
  <c r="D79" i="65" l="1"/>
  <c r="C79" i="65" s="1"/>
  <c r="E79" i="65" s="1"/>
  <c r="F79" i="65" s="1"/>
  <c r="D59" i="63"/>
  <c r="C59" i="63" s="1"/>
  <c r="D69" i="57"/>
  <c r="C69" i="57" s="1"/>
  <c r="D80" i="65" l="1"/>
  <c r="C80" i="65"/>
  <c r="E80" i="65" s="1"/>
  <c r="F80" i="65" s="1"/>
  <c r="E59" i="63"/>
  <c r="F59" i="63" s="1"/>
  <c r="E69" i="57"/>
  <c r="F69" i="57" s="1"/>
  <c r="D81" i="65" l="1"/>
  <c r="C81" i="65" s="1"/>
  <c r="E81" i="65" s="1"/>
  <c r="F81" i="65" s="1"/>
  <c r="D60" i="63"/>
  <c r="C60" i="63" s="1"/>
  <c r="D70" i="57"/>
  <c r="C70" i="57" s="1"/>
  <c r="D82" i="65" l="1"/>
  <c r="C82" i="65" s="1"/>
  <c r="E82" i="65" s="1"/>
  <c r="F82" i="65" s="1"/>
  <c r="E60" i="63"/>
  <c r="F60" i="63" s="1"/>
  <c r="E70" i="57"/>
  <c r="F70" i="57" s="1"/>
  <c r="D83" i="65" l="1"/>
  <c r="C83" i="65" s="1"/>
  <c r="E83" i="65" s="1"/>
  <c r="F83" i="65" s="1"/>
  <c r="D61" i="63"/>
  <c r="C61" i="63" s="1"/>
  <c r="D71" i="57"/>
  <c r="C71" i="57" s="1"/>
  <c r="D84" i="65" l="1"/>
  <c r="C84" i="65" s="1"/>
  <c r="E84" i="65" s="1"/>
  <c r="F84" i="65" s="1"/>
  <c r="E61" i="63"/>
  <c r="F61" i="63" s="1"/>
  <c r="E71" i="57"/>
  <c r="F71" i="57" s="1"/>
  <c r="D85" i="65" l="1"/>
  <c r="C85" i="65" s="1"/>
  <c r="E85" i="65" s="1"/>
  <c r="F85" i="65" s="1"/>
  <c r="D62" i="63"/>
  <c r="C62" i="63" s="1"/>
  <c r="D72" i="57"/>
  <c r="C72" i="57" s="1"/>
  <c r="D86" i="65" l="1"/>
  <c r="C86" i="65" s="1"/>
  <c r="E86" i="65" s="1"/>
  <c r="F86" i="65" s="1"/>
  <c r="E62" i="63"/>
  <c r="F62" i="63" s="1"/>
  <c r="E72" i="57"/>
  <c r="F72" i="57" s="1"/>
  <c r="D87" i="65" l="1"/>
  <c r="C87" i="65"/>
  <c r="E87" i="65" s="1"/>
  <c r="F87" i="65" s="1"/>
  <c r="D63" i="63"/>
  <c r="C63" i="63" s="1"/>
  <c r="C73" i="57"/>
  <c r="D73" i="57"/>
  <c r="D88" i="65" l="1"/>
  <c r="C88" i="65"/>
  <c r="E88" i="65" s="1"/>
  <c r="F88" i="65" s="1"/>
  <c r="E63" i="63"/>
  <c r="F63" i="63" s="1"/>
  <c r="E73" i="57"/>
  <c r="F73" i="57" s="1"/>
  <c r="D89" i="65" l="1"/>
  <c r="C89" i="65"/>
  <c r="E89" i="65" s="1"/>
  <c r="F89" i="65" s="1"/>
  <c r="D64" i="63"/>
  <c r="C64" i="63" s="1"/>
  <c r="C74" i="57"/>
  <c r="D74" i="57"/>
  <c r="D90" i="65" l="1"/>
  <c r="C90" i="65" s="1"/>
  <c r="E90" i="65" s="1"/>
  <c r="F90" i="65" s="1"/>
  <c r="E64" i="63"/>
  <c r="F64" i="63" s="1"/>
  <c r="E74" i="57"/>
  <c r="F74" i="57" s="1"/>
  <c r="D91" i="65" l="1"/>
  <c r="C91" i="65" s="1"/>
  <c r="E91" i="65" s="1"/>
  <c r="F91" i="65" s="1"/>
  <c r="D65" i="63"/>
  <c r="C65" i="63" s="1"/>
  <c r="D75" i="57"/>
  <c r="C75" i="57" s="1"/>
  <c r="D92" i="65" l="1"/>
  <c r="C92" i="65" s="1"/>
  <c r="E92" i="65" s="1"/>
  <c r="F92" i="65" s="1"/>
  <c r="E65" i="63"/>
  <c r="F65" i="63" s="1"/>
  <c r="E75" i="57"/>
  <c r="F75" i="57" s="1"/>
  <c r="D93" i="65" l="1"/>
  <c r="C93" i="65" s="1"/>
  <c r="E93" i="65" s="1"/>
  <c r="F93" i="65" s="1"/>
  <c r="D66" i="63"/>
  <c r="C66" i="63" s="1"/>
  <c r="D76" i="57"/>
  <c r="C76" i="57" s="1"/>
  <c r="D94" i="65" l="1"/>
  <c r="C94" i="65" s="1"/>
  <c r="E94" i="65" s="1"/>
  <c r="F94" i="65" s="1"/>
  <c r="E66" i="63"/>
  <c r="F66" i="63" s="1"/>
  <c r="E76" i="57"/>
  <c r="F76" i="57" s="1"/>
  <c r="D95" i="65" l="1"/>
  <c r="C95" i="65"/>
  <c r="E95" i="65" s="1"/>
  <c r="F95" i="65" s="1"/>
  <c r="D67" i="63"/>
  <c r="C67" i="63" s="1"/>
  <c r="D77" i="57"/>
  <c r="C77" i="57" s="1"/>
  <c r="D96" i="65" l="1"/>
  <c r="C96" i="65" s="1"/>
  <c r="E96" i="65" s="1"/>
  <c r="F96" i="65" s="1"/>
  <c r="E67" i="63"/>
  <c r="F67" i="63" s="1"/>
  <c r="E77" i="57"/>
  <c r="F77" i="57" s="1"/>
  <c r="D97" i="65" l="1"/>
  <c r="C97" i="65"/>
  <c r="E97" i="65" s="1"/>
  <c r="F97" i="65" s="1"/>
  <c r="D68" i="63"/>
  <c r="C68" i="63" s="1"/>
  <c r="D78" i="57"/>
  <c r="C78" i="57" s="1"/>
  <c r="D98" i="65" l="1"/>
  <c r="C98" i="65" s="1"/>
  <c r="E98" i="65" s="1"/>
  <c r="F98" i="65" s="1"/>
  <c r="E68" i="63"/>
  <c r="F68" i="63" s="1"/>
  <c r="E78" i="57"/>
  <c r="F78" i="57" s="1"/>
  <c r="D99" i="65" l="1"/>
  <c r="C99" i="65"/>
  <c r="E99" i="65" s="1"/>
  <c r="F99" i="65" s="1"/>
  <c r="D69" i="63"/>
  <c r="C69" i="63" s="1"/>
  <c r="D79" i="57"/>
  <c r="C79" i="57" s="1"/>
  <c r="D100" i="65" l="1"/>
  <c r="C100" i="65" s="1"/>
  <c r="E100" i="65" s="1"/>
  <c r="F100" i="65" s="1"/>
  <c r="E69" i="63"/>
  <c r="F69" i="63" s="1"/>
  <c r="E79" i="57"/>
  <c r="F79" i="57" s="1"/>
  <c r="D101" i="65" l="1"/>
  <c r="C101" i="65" s="1"/>
  <c r="E101" i="65" s="1"/>
  <c r="F101" i="65" s="1"/>
  <c r="D70" i="63"/>
  <c r="C70" i="63" s="1"/>
  <c r="D80" i="57"/>
  <c r="C80" i="57" s="1"/>
  <c r="D102" i="65" l="1"/>
  <c r="C102" i="65" s="1"/>
  <c r="E102" i="65" s="1"/>
  <c r="F102" i="65" s="1"/>
  <c r="E70" i="63"/>
  <c r="F70" i="63" s="1"/>
  <c r="E80" i="57"/>
  <c r="F80" i="57" s="1"/>
  <c r="D103" i="65" l="1"/>
  <c r="C103" i="65"/>
  <c r="E103" i="65" s="1"/>
  <c r="F103" i="65" s="1"/>
  <c r="D71" i="63"/>
  <c r="C71" i="63" s="1"/>
  <c r="D81" i="57"/>
  <c r="C81" i="57" s="1"/>
  <c r="D104" i="65" l="1"/>
  <c r="C104" i="65" s="1"/>
  <c r="E104" i="65" s="1"/>
  <c r="F104" i="65" s="1"/>
  <c r="E71" i="63"/>
  <c r="F71" i="63" s="1"/>
  <c r="E81" i="57"/>
  <c r="F81" i="57" s="1"/>
  <c r="D105" i="65" l="1"/>
  <c r="C105" i="65"/>
  <c r="E105" i="65" s="1"/>
  <c r="F105" i="65" s="1"/>
  <c r="D72" i="63"/>
  <c r="C72" i="63" s="1"/>
  <c r="D82" i="57"/>
  <c r="C82" i="57" s="1"/>
  <c r="D106" i="65" l="1"/>
  <c r="C106" i="65" s="1"/>
  <c r="E106" i="65" s="1"/>
  <c r="F106" i="65" s="1"/>
  <c r="E72" i="63"/>
  <c r="F72" i="63" s="1"/>
  <c r="E82" i="57"/>
  <c r="F82" i="57" s="1"/>
  <c r="D107" i="65" l="1"/>
  <c r="C107" i="65" s="1"/>
  <c r="E107" i="65" s="1"/>
  <c r="F107" i="65" s="1"/>
  <c r="D73" i="63"/>
  <c r="C73" i="63" s="1"/>
  <c r="D83" i="57"/>
  <c r="C83" i="57" s="1"/>
  <c r="D108" i="65" l="1"/>
  <c r="C108" i="65" s="1"/>
  <c r="E108" i="65" s="1"/>
  <c r="F108" i="65" s="1"/>
  <c r="E73" i="63"/>
  <c r="F73" i="63" s="1"/>
  <c r="E83" i="57"/>
  <c r="F83" i="57" s="1"/>
  <c r="D109" i="65" l="1"/>
  <c r="C109" i="65" s="1"/>
  <c r="E109" i="65" s="1"/>
  <c r="F109" i="65" s="1"/>
  <c r="D74" i="63"/>
  <c r="C74" i="63" s="1"/>
  <c r="D84" i="57"/>
  <c r="C84" i="57" s="1"/>
  <c r="D110" i="65" l="1"/>
  <c r="C110" i="65" s="1"/>
  <c r="E110" i="65" s="1"/>
  <c r="F110" i="65" s="1"/>
  <c r="E74" i="63"/>
  <c r="F74" i="63" s="1"/>
  <c r="E84" i="57"/>
  <c r="F84" i="57" s="1"/>
  <c r="D111" i="65" l="1"/>
  <c r="C111" i="65" s="1"/>
  <c r="E111" i="65" s="1"/>
  <c r="F111" i="65" s="1"/>
  <c r="D75" i="63"/>
  <c r="C75" i="63" s="1"/>
  <c r="D85" i="57"/>
  <c r="C85" i="57" s="1"/>
  <c r="D112" i="65" l="1"/>
  <c r="C112" i="65"/>
  <c r="E112" i="65" s="1"/>
  <c r="F112" i="65" s="1"/>
  <c r="E75" i="63"/>
  <c r="F75" i="63" s="1"/>
  <c r="E85" i="57"/>
  <c r="F85" i="57" s="1"/>
  <c r="D113" i="65" l="1"/>
  <c r="C113" i="65"/>
  <c r="E113" i="65" s="1"/>
  <c r="F113" i="65" s="1"/>
  <c r="D76" i="63"/>
  <c r="C76" i="63" s="1"/>
  <c r="D86" i="57"/>
  <c r="C86" i="57" s="1"/>
  <c r="D114" i="65" l="1"/>
  <c r="C114" i="65" s="1"/>
  <c r="E114" i="65" s="1"/>
  <c r="F114" i="65" s="1"/>
  <c r="E76" i="63"/>
  <c r="F76" i="63" s="1"/>
  <c r="E86" i="57"/>
  <c r="F86" i="57" s="1"/>
  <c r="D115" i="65" l="1"/>
  <c r="C115" i="65"/>
  <c r="E115" i="65" s="1"/>
  <c r="F115" i="65" s="1"/>
  <c r="D77" i="63"/>
  <c r="C77" i="63" s="1"/>
  <c r="D87" i="57"/>
  <c r="C87" i="57" s="1"/>
  <c r="D116" i="65" l="1"/>
  <c r="C116" i="65" s="1"/>
  <c r="E116" i="65" s="1"/>
  <c r="F116" i="65" s="1"/>
  <c r="E77" i="63"/>
  <c r="F77" i="63" s="1"/>
  <c r="E87" i="57"/>
  <c r="F87" i="57" s="1"/>
  <c r="D117" i="65" l="1"/>
  <c r="C117" i="65" s="1"/>
  <c r="E117" i="65" s="1"/>
  <c r="F117" i="65" s="1"/>
  <c r="D78" i="63"/>
  <c r="C78" i="63" s="1"/>
  <c r="D88" i="57"/>
  <c r="C88" i="57" s="1"/>
  <c r="D118" i="65" l="1"/>
  <c r="C118" i="65" s="1"/>
  <c r="E118" i="65" s="1"/>
  <c r="F118" i="65" s="1"/>
  <c r="E78" i="63"/>
  <c r="F78" i="63" s="1"/>
  <c r="E88" i="57"/>
  <c r="F88" i="57" s="1"/>
  <c r="D119" i="65" l="1"/>
  <c r="C119" i="65" s="1"/>
  <c r="E119" i="65" s="1"/>
  <c r="F119" i="65" s="1"/>
  <c r="D79" i="63"/>
  <c r="C79" i="63" s="1"/>
  <c r="D89" i="57"/>
  <c r="C89" i="57" s="1"/>
  <c r="D120" i="65" l="1"/>
  <c r="C120" i="65" s="1"/>
  <c r="E120" i="65" s="1"/>
  <c r="F120" i="65" s="1"/>
  <c r="E79" i="63"/>
  <c r="F79" i="63" s="1"/>
  <c r="E89" i="57"/>
  <c r="F89" i="57" s="1"/>
  <c r="D121" i="65" l="1"/>
  <c r="C121" i="65" s="1"/>
  <c r="D80" i="63"/>
  <c r="C80" i="63" s="1"/>
  <c r="D90" i="57"/>
  <c r="C90" i="57" s="1"/>
  <c r="E121" i="65" l="1"/>
  <c r="F121" i="65" s="1"/>
  <c r="D122" i="65" s="1"/>
  <c r="C122" i="65" s="1"/>
  <c r="E122" i="65" s="1"/>
  <c r="F122" i="65" s="1"/>
  <c r="E80" i="63"/>
  <c r="F80" i="63" s="1"/>
  <c r="E90" i="57"/>
  <c r="F90" i="57" s="1"/>
  <c r="D123" i="65" l="1"/>
  <c r="C123" i="65"/>
  <c r="E123" i="65" s="1"/>
  <c r="F123" i="65" s="1"/>
  <c r="D81" i="63"/>
  <c r="C81" i="63" s="1"/>
  <c r="D91" i="57"/>
  <c r="C91" i="57" s="1"/>
  <c r="D124" i="65" l="1"/>
  <c r="C124" i="65"/>
  <c r="E124" i="65" s="1"/>
  <c r="F124" i="65" s="1"/>
  <c r="E81" i="63"/>
  <c r="F81" i="63" s="1"/>
  <c r="E91" i="57"/>
  <c r="F91" i="57" s="1"/>
  <c r="D125" i="65" l="1"/>
  <c r="C125" i="65" s="1"/>
  <c r="E125" i="65" s="1"/>
  <c r="F125" i="65" s="1"/>
  <c r="D82" i="63"/>
  <c r="C82" i="63" s="1"/>
  <c r="D92" i="57"/>
  <c r="C92" i="57" s="1"/>
  <c r="D126" i="65" l="1"/>
  <c r="C126" i="65" s="1"/>
  <c r="E126" i="65" s="1"/>
  <c r="F126" i="65" s="1"/>
  <c r="E82" i="63"/>
  <c r="F82" i="63" s="1"/>
  <c r="E92" i="57"/>
  <c r="F92" i="57" s="1"/>
  <c r="D127" i="65" l="1"/>
  <c r="C127" i="65"/>
  <c r="E127" i="65" s="1"/>
  <c r="F127" i="65" s="1"/>
  <c r="D83" i="63"/>
  <c r="C83" i="63" s="1"/>
  <c r="D93" i="57"/>
  <c r="C93" i="57" s="1"/>
  <c r="D128" i="65" l="1"/>
  <c r="C128" i="65"/>
  <c r="E128" i="65" s="1"/>
  <c r="F128" i="65" s="1"/>
  <c r="E93" i="57"/>
  <c r="F93" i="57" s="1"/>
  <c r="E83" i="63"/>
  <c r="F83" i="63" s="1"/>
  <c r="D129" i="65" l="1"/>
  <c r="C129" i="65"/>
  <c r="E129" i="65" s="1"/>
  <c r="F129" i="65" s="1"/>
  <c r="D94" i="57"/>
  <c r="D84" i="63"/>
  <c r="C84" i="63" s="1"/>
  <c r="C94" i="57" l="1"/>
  <c r="E94" i="57" s="1"/>
  <c r="F94" i="57" s="1"/>
  <c r="D130" i="65"/>
  <c r="C130" i="65" s="1"/>
  <c r="E84" i="63"/>
  <c r="F84" i="63" s="1"/>
  <c r="D95" i="57" l="1"/>
  <c r="E130" i="65"/>
  <c r="F130" i="65" s="1"/>
  <c r="D131" i="65" s="1"/>
  <c r="C131" i="65" s="1"/>
  <c r="E131" i="65" s="1"/>
  <c r="F131" i="65" s="1"/>
  <c r="D85" i="63"/>
  <c r="C85" i="63" s="1"/>
  <c r="C95" i="57" l="1"/>
  <c r="E95" i="57" s="1"/>
  <c r="F95" i="57" s="1"/>
  <c r="D132" i="65"/>
  <c r="C132" i="65" s="1"/>
  <c r="E132" i="65" s="1"/>
  <c r="F132" i="65" s="1"/>
  <c r="E85" i="63"/>
  <c r="F85" i="63" s="1"/>
  <c r="D96" i="57" l="1"/>
  <c r="C96" i="57"/>
  <c r="E96" i="57" s="1"/>
  <c r="F96" i="57" s="1"/>
  <c r="D133" i="65"/>
  <c r="C133" i="65" s="1"/>
  <c r="E133" i="65" s="1"/>
  <c r="F133" i="65" s="1"/>
  <c r="D86" i="63"/>
  <c r="C86" i="63" s="1"/>
  <c r="D97" i="57" l="1"/>
  <c r="C97" i="57" s="1"/>
  <c r="E97" i="57" s="1"/>
  <c r="F97" i="57" s="1"/>
  <c r="D134" i="65"/>
  <c r="C134" i="65" s="1"/>
  <c r="E134" i="65" s="1"/>
  <c r="F134" i="65" s="1"/>
  <c r="E86" i="63"/>
  <c r="F86" i="63" s="1"/>
  <c r="D98" i="57" l="1"/>
  <c r="C98" i="57" s="1"/>
  <c r="E98" i="57" s="1"/>
  <c r="F98" i="57" s="1"/>
  <c r="D135" i="65"/>
  <c r="C135" i="65" s="1"/>
  <c r="E135" i="65" s="1"/>
  <c r="F135" i="65" s="1"/>
  <c r="D87" i="63"/>
  <c r="C87" i="63" s="1"/>
  <c r="D99" i="57" l="1"/>
  <c r="C99" i="57" s="1"/>
  <c r="D136" i="65"/>
  <c r="C136" i="65" s="1"/>
  <c r="E136" i="65" s="1"/>
  <c r="F136" i="65" s="1"/>
  <c r="E87" i="63"/>
  <c r="F87" i="63" s="1"/>
  <c r="D137" i="65" l="1"/>
  <c r="C137" i="65" s="1"/>
  <c r="E137" i="65" s="1"/>
  <c r="F137" i="65" s="1"/>
  <c r="E99" i="57"/>
  <c r="F99" i="57" s="1"/>
  <c r="D88" i="63"/>
  <c r="C88" i="63" s="1"/>
  <c r="D138" i="65" l="1"/>
  <c r="C138" i="65"/>
  <c r="E138" i="65" s="1"/>
  <c r="F138" i="65" s="1"/>
  <c r="D100" i="57"/>
  <c r="C100" i="57" s="1"/>
  <c r="E88" i="63"/>
  <c r="F88" i="63" s="1"/>
  <c r="D139" i="65" l="1"/>
  <c r="C139" i="65" s="1"/>
  <c r="E139" i="65" s="1"/>
  <c r="F139" i="65" s="1"/>
  <c r="E100" i="57"/>
  <c r="F100" i="57" s="1"/>
  <c r="D89" i="63"/>
  <c r="C89" i="63" s="1"/>
  <c r="D140" i="65" l="1"/>
  <c r="C140" i="65" s="1"/>
  <c r="E140" i="65" s="1"/>
  <c r="F140" i="65" s="1"/>
  <c r="D101" i="57"/>
  <c r="C101" i="57" s="1"/>
  <c r="E89" i="63"/>
  <c r="F89" i="63" s="1"/>
  <c r="E101" i="57" l="1"/>
  <c r="F101" i="57" s="1"/>
  <c r="D141" i="65"/>
  <c r="C141" i="65" s="1"/>
  <c r="E141" i="65" s="1"/>
  <c r="F141" i="65" s="1"/>
  <c r="D90" i="63"/>
  <c r="C90" i="63" s="1"/>
  <c r="D102" i="57" l="1"/>
  <c r="C102" i="57" s="1"/>
  <c r="E102" i="57" s="1"/>
  <c r="F102" i="57" s="1"/>
  <c r="D142" i="65"/>
  <c r="C142" i="65" s="1"/>
  <c r="E142" i="65" s="1"/>
  <c r="F142" i="65" s="1"/>
  <c r="E90" i="63"/>
  <c r="F90" i="63" s="1"/>
  <c r="D143" i="65" l="1"/>
  <c r="C143" i="65" s="1"/>
  <c r="E143" i="65" s="1"/>
  <c r="F143" i="65" s="1"/>
  <c r="D103" i="57"/>
  <c r="C103" i="57" s="1"/>
  <c r="D91" i="63"/>
  <c r="C91" i="63" s="1"/>
  <c r="E103" i="57" l="1"/>
  <c r="F103" i="57" s="1"/>
  <c r="D144" i="65"/>
  <c r="C144" i="65" s="1"/>
  <c r="E144" i="65" s="1"/>
  <c r="F144" i="65" s="1"/>
  <c r="D104" i="57"/>
  <c r="C104" i="57"/>
  <c r="E91" i="63"/>
  <c r="F91" i="63" s="1"/>
  <c r="D145" i="65" l="1"/>
  <c r="C145" i="65" s="1"/>
  <c r="E145" i="65" s="1"/>
  <c r="F145" i="65" s="1"/>
  <c r="E104" i="57"/>
  <c r="F104" i="57" s="1"/>
  <c r="D92" i="63"/>
  <c r="C92" i="63" s="1"/>
  <c r="D105" i="57" l="1"/>
  <c r="C105" i="57"/>
  <c r="E105" i="57" s="1"/>
  <c r="F105" i="57" s="1"/>
  <c r="D146" i="65"/>
  <c r="C146" i="65" s="1"/>
  <c r="E146" i="65" s="1"/>
  <c r="F146" i="65" s="1"/>
  <c r="E92" i="63"/>
  <c r="F92" i="63" s="1"/>
  <c r="D147" i="65" l="1"/>
  <c r="C147" i="65" s="1"/>
  <c r="E147" i="65" s="1"/>
  <c r="F147" i="65" s="1"/>
  <c r="D106" i="57"/>
  <c r="C106" i="57" s="1"/>
  <c r="D93" i="63"/>
  <c r="C93" i="63" s="1"/>
  <c r="E106" i="57" l="1"/>
  <c r="F106" i="57" s="1"/>
  <c r="D148" i="65"/>
  <c r="C148" i="65" s="1"/>
  <c r="E148" i="65" s="1"/>
  <c r="F148" i="65" s="1"/>
  <c r="D107" i="57"/>
  <c r="C107" i="57"/>
  <c r="E93" i="63"/>
  <c r="F93" i="63" s="1"/>
  <c r="D149" i="65" l="1"/>
  <c r="C149" i="65"/>
  <c r="E149" i="65" s="1"/>
  <c r="F149" i="65" s="1"/>
  <c r="E107" i="57"/>
  <c r="F107" i="57" s="1"/>
  <c r="D94" i="63"/>
  <c r="C94" i="63" s="1"/>
  <c r="D150" i="65" l="1"/>
  <c r="C150" i="65"/>
  <c r="E150" i="65" s="1"/>
  <c r="F150" i="65" s="1"/>
  <c r="D108" i="57"/>
  <c r="C108" i="57"/>
  <c r="E94" i="63"/>
  <c r="F94" i="63" s="1"/>
  <c r="D151" i="65" l="1"/>
  <c r="C151" i="65" s="1"/>
  <c r="E151" i="65" s="1"/>
  <c r="F151" i="65" s="1"/>
  <c r="E108" i="57"/>
  <c r="F108" i="57" s="1"/>
  <c r="D95" i="63"/>
  <c r="C95" i="63" s="1"/>
  <c r="D152" i="65" l="1"/>
  <c r="C152" i="65"/>
  <c r="E152" i="65" s="1"/>
  <c r="F152" i="65" s="1"/>
  <c r="D109" i="57"/>
  <c r="C109" i="57" s="1"/>
  <c r="E95" i="63"/>
  <c r="F95" i="63" s="1"/>
  <c r="E109" i="57" l="1"/>
  <c r="F109" i="57" s="1"/>
  <c r="D153" i="65"/>
  <c r="C153" i="65" s="1"/>
  <c r="E153" i="65" s="1"/>
  <c r="F153" i="65" s="1"/>
  <c r="D110" i="57"/>
  <c r="C110" i="57"/>
  <c r="D96" i="63"/>
  <c r="C96" i="63" s="1"/>
  <c r="D154" i="65" l="1"/>
  <c r="C154" i="65"/>
  <c r="E154" i="65" s="1"/>
  <c r="F154" i="65" s="1"/>
  <c r="E110" i="57"/>
  <c r="F110" i="57" s="1"/>
  <c r="E96" i="63"/>
  <c r="F96" i="63" s="1"/>
  <c r="D155" i="65" l="1"/>
  <c r="C155" i="65"/>
  <c r="E155" i="65" s="1"/>
  <c r="F155" i="65" s="1"/>
  <c r="D111" i="57"/>
  <c r="C111" i="57" s="1"/>
  <c r="D97" i="63"/>
  <c r="C97" i="63" s="1"/>
  <c r="D156" i="65" l="1"/>
  <c r="C156" i="65"/>
  <c r="E156" i="65" s="1"/>
  <c r="F156" i="65" s="1"/>
  <c r="E111" i="57"/>
  <c r="F111" i="57" s="1"/>
  <c r="E97" i="63"/>
  <c r="F97" i="63" s="1"/>
  <c r="D157" i="65" l="1"/>
  <c r="C157" i="65" s="1"/>
  <c r="E157" i="65" s="1"/>
  <c r="F157" i="65" s="1"/>
  <c r="D112" i="57"/>
  <c r="C112" i="57"/>
  <c r="D98" i="63"/>
  <c r="C98" i="63" s="1"/>
  <c r="D158" i="65" l="1"/>
  <c r="C158" i="65"/>
  <c r="E158" i="65" s="1"/>
  <c r="F158" i="65" s="1"/>
  <c r="E112" i="57"/>
  <c r="F112" i="57" s="1"/>
  <c r="E98" i="63"/>
  <c r="F98" i="63" s="1"/>
  <c r="D159" i="65" l="1"/>
  <c r="C159" i="65" s="1"/>
  <c r="E159" i="65" s="1"/>
  <c r="F159" i="65" s="1"/>
  <c r="D113" i="57"/>
  <c r="C113" i="57" s="1"/>
  <c r="D99" i="63"/>
  <c r="C99" i="63" s="1"/>
  <c r="E113" i="57" l="1"/>
  <c r="F113" i="57" s="1"/>
  <c r="D160" i="65"/>
  <c r="C160" i="65" s="1"/>
  <c r="E160" i="65" s="1"/>
  <c r="F160" i="65" s="1"/>
  <c r="D114" i="57"/>
  <c r="C114" i="57" s="1"/>
  <c r="E99" i="63"/>
  <c r="F99" i="63" s="1"/>
  <c r="E114" i="57" l="1"/>
  <c r="F114" i="57" s="1"/>
  <c r="D161" i="65"/>
  <c r="C161" i="65" s="1"/>
  <c r="E161" i="65" s="1"/>
  <c r="F161" i="65" s="1"/>
  <c r="D115" i="57"/>
  <c r="C115" i="57"/>
  <c r="D100" i="63"/>
  <c r="C100" i="63" s="1"/>
  <c r="D162" i="65" l="1"/>
  <c r="C162" i="65" s="1"/>
  <c r="E162" i="65" s="1"/>
  <c r="F162" i="65" s="1"/>
  <c r="E115" i="57"/>
  <c r="F115" i="57" s="1"/>
  <c r="E100" i="63"/>
  <c r="F100" i="63" s="1"/>
  <c r="D163" i="65" l="1"/>
  <c r="C163" i="65"/>
  <c r="E163" i="65" s="1"/>
  <c r="F163" i="65" s="1"/>
  <c r="D116" i="57"/>
  <c r="C116" i="57" s="1"/>
  <c r="D101" i="63"/>
  <c r="C101" i="63" s="1"/>
  <c r="D164" i="65" l="1"/>
  <c r="C164" i="65" s="1"/>
  <c r="E164" i="65" s="1"/>
  <c r="F164" i="65" s="1"/>
  <c r="E116" i="57"/>
  <c r="F116" i="57" s="1"/>
  <c r="E101" i="63"/>
  <c r="F101" i="63" s="1"/>
  <c r="D165" i="65" l="1"/>
  <c r="C165" i="65" s="1"/>
  <c r="E165" i="65" s="1"/>
  <c r="F165" i="65" s="1"/>
  <c r="D117" i="57"/>
  <c r="C117" i="57" s="1"/>
  <c r="D102" i="63"/>
  <c r="C102" i="63" s="1"/>
  <c r="D166" i="65" l="1"/>
  <c r="C166" i="65"/>
  <c r="E166" i="65" s="1"/>
  <c r="F166" i="65" s="1"/>
  <c r="E117" i="57"/>
  <c r="F117" i="57" s="1"/>
  <c r="E102" i="63"/>
  <c r="F102" i="63" s="1"/>
  <c r="D167" i="65" l="1"/>
  <c r="C167" i="65" s="1"/>
  <c r="E167" i="65" s="1"/>
  <c r="F167" i="65" s="1"/>
  <c r="D118" i="57"/>
  <c r="C118" i="57" s="1"/>
  <c r="D103" i="63"/>
  <c r="C103" i="63" s="1"/>
  <c r="D168" i="65" l="1"/>
  <c r="C168" i="65" s="1"/>
  <c r="E168" i="65" s="1"/>
  <c r="F168" i="65" s="1"/>
  <c r="E118" i="57"/>
  <c r="F118" i="57" s="1"/>
  <c r="E103" i="63"/>
  <c r="F103" i="63" s="1"/>
  <c r="D169" i="65" l="1"/>
  <c r="C169" i="65"/>
  <c r="E169" i="65" s="1"/>
  <c r="F169" i="65" s="1"/>
  <c r="D119" i="57"/>
  <c r="C119" i="57" s="1"/>
  <c r="D104" i="63"/>
  <c r="C104" i="63" s="1"/>
  <c r="E119" i="57" l="1"/>
  <c r="F119" i="57" s="1"/>
  <c r="D120" i="57"/>
  <c r="D170" i="65"/>
  <c r="C170" i="65" s="1"/>
  <c r="E170" i="65" s="1"/>
  <c r="F170" i="65" s="1"/>
  <c r="E104" i="63"/>
  <c r="F104" i="63" s="1"/>
  <c r="C120" i="57" l="1"/>
  <c r="E120" i="57"/>
  <c r="F120" i="57" s="1"/>
  <c r="D171" i="65"/>
  <c r="C171" i="65" s="1"/>
  <c r="E171" i="65" s="1"/>
  <c r="F171" i="65" s="1"/>
  <c r="D105" i="63"/>
  <c r="C105" i="63" s="1"/>
  <c r="D121" i="57" l="1"/>
  <c r="C121" i="57" s="1"/>
  <c r="E121" i="57" s="1"/>
  <c r="F121" i="57" s="1"/>
  <c r="D122" i="57" s="1"/>
  <c r="D172" i="65"/>
  <c r="C172" i="65" s="1"/>
  <c r="E172" i="65" s="1"/>
  <c r="F172" i="65" s="1"/>
  <c r="E105" i="63"/>
  <c r="F105" i="63" s="1"/>
  <c r="C122" i="57" l="1"/>
  <c r="E122" i="57"/>
  <c r="F122" i="57" s="1"/>
  <c r="D123" i="57" s="1"/>
  <c r="D173" i="65"/>
  <c r="C173" i="65" s="1"/>
  <c r="E173" i="65" s="1"/>
  <c r="F173" i="65" s="1"/>
  <c r="D106" i="63"/>
  <c r="C106" i="63" s="1"/>
  <c r="C123" i="57" l="1"/>
  <c r="D174" i="65"/>
  <c r="C174" i="65" s="1"/>
  <c r="E174" i="65" s="1"/>
  <c r="F174" i="65" s="1"/>
  <c r="E123" i="57"/>
  <c r="F123" i="57" s="1"/>
  <c r="E106" i="63"/>
  <c r="F106" i="63" s="1"/>
  <c r="D175" i="65" l="1"/>
  <c r="C175" i="65"/>
  <c r="D124" i="57"/>
  <c r="C124" i="57"/>
  <c r="D107" i="63"/>
  <c r="C107" i="63" s="1"/>
  <c r="E175" i="65" l="1"/>
  <c r="F175" i="65" s="1"/>
  <c r="D176" i="65"/>
  <c r="C176" i="65" s="1"/>
  <c r="E176" i="65" s="1"/>
  <c r="F176" i="65" s="1"/>
  <c r="E124" i="57"/>
  <c r="F124" i="57" s="1"/>
  <c r="E107" i="63"/>
  <c r="F107" i="63" s="1"/>
  <c r="D177" i="65" l="1"/>
  <c r="C177" i="65"/>
  <c r="E177" i="65" s="1"/>
  <c r="F177" i="65" s="1"/>
  <c r="D125" i="57"/>
  <c r="C125" i="57"/>
  <c r="D108" i="63"/>
  <c r="C108" i="63" s="1"/>
  <c r="D178" i="65" l="1"/>
  <c r="C178" i="65" s="1"/>
  <c r="E178" i="65" s="1"/>
  <c r="F178" i="65" s="1"/>
  <c r="E125" i="57"/>
  <c r="F125" i="57" s="1"/>
  <c r="E108" i="63"/>
  <c r="F108" i="63" s="1"/>
  <c r="D179" i="65" l="1"/>
  <c r="C179" i="65"/>
  <c r="E179" i="65" s="1"/>
  <c r="F179" i="65" s="1"/>
  <c r="D126" i="57"/>
  <c r="C126" i="57"/>
  <c r="D109" i="63"/>
  <c r="C109" i="63" s="1"/>
  <c r="D180" i="65" l="1"/>
  <c r="C180" i="65" s="1"/>
  <c r="E180" i="65" s="1"/>
  <c r="F180" i="65" s="1"/>
  <c r="E126" i="57"/>
  <c r="F126" i="57" s="1"/>
  <c r="E109" i="63"/>
  <c r="F109" i="63" s="1"/>
  <c r="D181" i="65" l="1"/>
  <c r="C181" i="65"/>
  <c r="E181" i="65" s="1"/>
  <c r="F181" i="65" s="1"/>
  <c r="D127" i="57"/>
  <c r="C127" i="57" s="1"/>
  <c r="D110" i="63"/>
  <c r="C110" i="63" s="1"/>
  <c r="E127" i="57" l="1"/>
  <c r="F127" i="57" s="1"/>
  <c r="D182" i="65"/>
  <c r="C182" i="65" s="1"/>
  <c r="E182" i="65" s="1"/>
  <c r="F182" i="65" s="1"/>
  <c r="D128" i="57"/>
  <c r="E110" i="63"/>
  <c r="F110" i="63" s="1"/>
  <c r="C128" i="57" l="1"/>
  <c r="D183" i="65"/>
  <c r="C183" i="65" s="1"/>
  <c r="E183" i="65" s="1"/>
  <c r="F183" i="65" s="1"/>
  <c r="E128" i="57"/>
  <c r="F128" i="57" s="1"/>
  <c r="D111" i="63"/>
  <c r="C111" i="63" s="1"/>
  <c r="D184" i="65" l="1"/>
  <c r="C184" i="65" s="1"/>
  <c r="E184" i="65" s="1"/>
  <c r="F184" i="65" s="1"/>
  <c r="D129" i="57"/>
  <c r="C129" i="57" s="1"/>
  <c r="E111" i="63"/>
  <c r="F111" i="63" s="1"/>
  <c r="E129" i="57" l="1"/>
  <c r="F129" i="57" s="1"/>
  <c r="D185" i="65"/>
  <c r="C185" i="65" s="1"/>
  <c r="E185" i="65" s="1"/>
  <c r="F185" i="65" s="1"/>
  <c r="D130" i="57"/>
  <c r="C130" i="57"/>
  <c r="D112" i="63"/>
  <c r="C112" i="63" s="1"/>
  <c r="D186" i="65" l="1"/>
  <c r="C186" i="65" s="1"/>
  <c r="E186" i="65" s="1"/>
  <c r="F186" i="65" s="1"/>
  <c r="E130" i="57"/>
  <c r="F130" i="57" s="1"/>
  <c r="E112" i="63"/>
  <c r="F112" i="63" s="1"/>
  <c r="D187" i="65" l="1"/>
  <c r="C187" i="65" s="1"/>
  <c r="E187" i="65" s="1"/>
  <c r="F187" i="65" s="1"/>
  <c r="D131" i="57"/>
  <c r="C131" i="57" s="1"/>
  <c r="D113" i="63"/>
  <c r="C113" i="63" s="1"/>
  <c r="E131" i="57" l="1"/>
  <c r="F131" i="57" s="1"/>
  <c r="D188" i="65"/>
  <c r="C188" i="65" s="1"/>
  <c r="E188" i="65" s="1"/>
  <c r="F188" i="65" s="1"/>
  <c r="D132" i="57"/>
  <c r="E113" i="63"/>
  <c r="F113" i="63" s="1"/>
  <c r="C132" i="57" l="1"/>
  <c r="D189" i="65"/>
  <c r="C189" i="65" s="1"/>
  <c r="E189" i="65" s="1"/>
  <c r="F189" i="65" s="1"/>
  <c r="E132" i="57"/>
  <c r="F132" i="57" s="1"/>
  <c r="D114" i="63"/>
  <c r="C114" i="63" s="1"/>
  <c r="D190" i="65" l="1"/>
  <c r="C190" i="65" s="1"/>
  <c r="E190" i="65" s="1"/>
  <c r="F190" i="65" s="1"/>
  <c r="D133" i="57"/>
  <c r="C133" i="57"/>
  <c r="E114" i="63"/>
  <c r="F114" i="63" s="1"/>
  <c r="D191" i="65" l="1"/>
  <c r="C191" i="65"/>
  <c r="E191" i="65" s="1"/>
  <c r="F191" i="65" s="1"/>
  <c r="E133" i="57"/>
  <c r="F133" i="57" s="1"/>
  <c r="D115" i="63"/>
  <c r="C115" i="63" s="1"/>
  <c r="D192" i="65" l="1"/>
  <c r="C192" i="65" s="1"/>
  <c r="E192" i="65" s="1"/>
  <c r="F192" i="65" s="1"/>
  <c r="D134" i="57"/>
  <c r="C134" i="57" s="1"/>
  <c r="E115" i="63"/>
  <c r="F115" i="63" s="1"/>
  <c r="D193" i="65" l="1"/>
  <c r="C193" i="65"/>
  <c r="E193" i="65" s="1"/>
  <c r="F193" i="65" s="1"/>
  <c r="E134" i="57"/>
  <c r="F134" i="57" s="1"/>
  <c r="D116" i="63"/>
  <c r="C116" i="63" s="1"/>
  <c r="D194" i="65" l="1"/>
  <c r="C194" i="65" s="1"/>
  <c r="E194" i="65" s="1"/>
  <c r="F194" i="65" s="1"/>
  <c r="D135" i="57"/>
  <c r="C135" i="57" s="1"/>
  <c r="E116" i="63"/>
  <c r="F116" i="63" s="1"/>
  <c r="D195" i="65" l="1"/>
  <c r="C195" i="65"/>
  <c r="E195" i="65" s="1"/>
  <c r="F195" i="65" s="1"/>
  <c r="E135" i="57"/>
  <c r="F135" i="57" s="1"/>
  <c r="D117" i="63"/>
  <c r="C117" i="63" s="1"/>
  <c r="D196" i="65" l="1"/>
  <c r="C196" i="65" s="1"/>
  <c r="E196" i="65" s="1"/>
  <c r="F196" i="65" s="1"/>
  <c r="D136" i="57"/>
  <c r="C136" i="57" s="1"/>
  <c r="E117" i="63"/>
  <c r="F117" i="63" s="1"/>
  <c r="E136" i="57" l="1"/>
  <c r="F136" i="57" s="1"/>
  <c r="D137" i="57" s="1"/>
  <c r="D197" i="65"/>
  <c r="C197" i="65" s="1"/>
  <c r="E197" i="65" s="1"/>
  <c r="F197" i="65" s="1"/>
  <c r="D118" i="63"/>
  <c r="C118" i="63" s="1"/>
  <c r="C137" i="57" l="1"/>
  <c r="D198" i="65"/>
  <c r="C198" i="65" s="1"/>
  <c r="E198" i="65" s="1"/>
  <c r="F198" i="65" s="1"/>
  <c r="E137" i="57"/>
  <c r="F137" i="57" s="1"/>
  <c r="E118" i="63"/>
  <c r="F118" i="63" s="1"/>
  <c r="D199" i="65" l="1"/>
  <c r="C199" i="65" s="1"/>
  <c r="E199" i="65" s="1"/>
  <c r="F199" i="65" s="1"/>
  <c r="D138" i="57"/>
  <c r="C138" i="57" s="1"/>
  <c r="D119" i="63"/>
  <c r="C119" i="63" s="1"/>
  <c r="E138" i="57" l="1"/>
  <c r="F138" i="57" s="1"/>
  <c r="D200" i="65"/>
  <c r="C200" i="65" s="1"/>
  <c r="E200" i="65" s="1"/>
  <c r="F200" i="65" s="1"/>
  <c r="E119" i="63"/>
  <c r="F119" i="63" s="1"/>
  <c r="D139" i="57" l="1"/>
  <c r="C139" i="57" s="1"/>
  <c r="E139" i="57" s="1"/>
  <c r="F139" i="57" s="1"/>
  <c r="D201" i="65"/>
  <c r="C201" i="65" s="1"/>
  <c r="E201" i="65" s="1"/>
  <c r="F201" i="65" s="1"/>
  <c r="D120" i="63"/>
  <c r="C120" i="63" s="1"/>
  <c r="D140" i="57" l="1"/>
  <c r="C140" i="57" s="1"/>
  <c r="E140" i="57" s="1"/>
  <c r="F140" i="57" s="1"/>
  <c r="D202" i="65"/>
  <c r="C202" i="65" s="1"/>
  <c r="E202" i="65" s="1"/>
  <c r="F202" i="65" s="1"/>
  <c r="E120" i="63"/>
  <c r="F120" i="63" s="1"/>
  <c r="D203" i="65" l="1"/>
  <c r="C203" i="65" s="1"/>
  <c r="E203" i="65" s="1"/>
  <c r="F203" i="65" s="1"/>
  <c r="D141" i="57"/>
  <c r="C141" i="57" s="1"/>
  <c r="D121" i="63"/>
  <c r="C121" i="63" s="1"/>
  <c r="E141" i="57" l="1"/>
  <c r="F141" i="57" s="1"/>
  <c r="D204" i="65"/>
  <c r="C204" i="65" s="1"/>
  <c r="E204" i="65" s="1"/>
  <c r="F204" i="65" s="1"/>
  <c r="D142" i="57"/>
  <c r="C142" i="57"/>
  <c r="E121" i="63"/>
  <c r="F121" i="63" s="1"/>
  <c r="D205" i="65" l="1"/>
  <c r="C205" i="65"/>
  <c r="E205" i="65" s="1"/>
  <c r="F205" i="65" s="1"/>
  <c r="E142" i="57"/>
  <c r="F142" i="57" s="1"/>
  <c r="D122" i="63"/>
  <c r="C122" i="63" s="1"/>
  <c r="D206" i="65" l="1"/>
  <c r="C206" i="65"/>
  <c r="E206" i="65" s="1"/>
  <c r="F206" i="65" s="1"/>
  <c r="D143" i="57"/>
  <c r="C143" i="57" s="1"/>
  <c r="E122" i="63"/>
  <c r="F122" i="63" s="1"/>
  <c r="D207" i="65" l="1"/>
  <c r="C207" i="65"/>
  <c r="E207" i="65" s="1"/>
  <c r="F207" i="65" s="1"/>
  <c r="E143" i="57"/>
  <c r="F143" i="57" s="1"/>
  <c r="D123" i="63"/>
  <c r="C123" i="63" s="1"/>
  <c r="D208" i="65" l="1"/>
  <c r="C208" i="65" s="1"/>
  <c r="E208" i="65" s="1"/>
  <c r="F208" i="65" s="1"/>
  <c r="D144" i="57"/>
  <c r="C144" i="57" s="1"/>
  <c r="E123" i="63"/>
  <c r="F123" i="63" s="1"/>
  <c r="D209" i="65" l="1"/>
  <c r="C209" i="65" s="1"/>
  <c r="E209" i="65" s="1"/>
  <c r="F209" i="65" s="1"/>
  <c r="E144" i="57"/>
  <c r="F144" i="57" s="1"/>
  <c r="D124" i="63"/>
  <c r="C124" i="63" s="1"/>
  <c r="D145" i="57" l="1"/>
  <c r="C145" i="57"/>
  <c r="E145" i="57" s="1"/>
  <c r="F145" i="57" s="1"/>
  <c r="D210" i="65"/>
  <c r="C210" i="65" s="1"/>
  <c r="E210" i="65" s="1"/>
  <c r="F210" i="65" s="1"/>
  <c r="E124" i="63"/>
  <c r="F124" i="63" s="1"/>
  <c r="D211" i="65" l="1"/>
  <c r="C211" i="65"/>
  <c r="E211" i="65" s="1"/>
  <c r="F211" i="65" s="1"/>
  <c r="D146" i="57"/>
  <c r="C146" i="57" s="1"/>
  <c r="D125" i="63"/>
  <c r="C125" i="63" s="1"/>
  <c r="E146" i="57" l="1"/>
  <c r="F146" i="57" s="1"/>
  <c r="D147" i="57" s="1"/>
  <c r="D212" i="65"/>
  <c r="C212" i="65" s="1"/>
  <c r="E212" i="65" s="1"/>
  <c r="F212" i="65" s="1"/>
  <c r="E125" i="63"/>
  <c r="F125" i="63" s="1"/>
  <c r="C147" i="57" l="1"/>
  <c r="E147" i="57" s="1"/>
  <c r="F147" i="57" s="1"/>
  <c r="D213" i="65"/>
  <c r="C213" i="65" s="1"/>
  <c r="E213" i="65" s="1"/>
  <c r="F213" i="65" s="1"/>
  <c r="D126" i="63"/>
  <c r="C126" i="63" s="1"/>
  <c r="D148" i="57" l="1"/>
  <c r="C148" i="57"/>
  <c r="E148" i="57" s="1"/>
  <c r="F148" i="57" s="1"/>
  <c r="D149" i="57" s="1"/>
  <c r="D214" i="65"/>
  <c r="C214" i="65" s="1"/>
  <c r="E214" i="65" s="1"/>
  <c r="F214" i="65" s="1"/>
  <c r="E126" i="63"/>
  <c r="F126" i="63" s="1"/>
  <c r="C149" i="57" l="1"/>
  <c r="E149" i="57"/>
  <c r="F149" i="57" s="1"/>
  <c r="D215" i="65"/>
  <c r="C215" i="65" s="1"/>
  <c r="E215" i="65" s="1"/>
  <c r="F215" i="65" s="1"/>
  <c r="D127" i="63"/>
  <c r="C127" i="63" s="1"/>
  <c r="D150" i="57" l="1"/>
  <c r="C150" i="57" s="1"/>
  <c r="E150" i="57" s="1"/>
  <c r="F150" i="57" s="1"/>
  <c r="D216" i="65"/>
  <c r="C216" i="65" s="1"/>
  <c r="E216" i="65" s="1"/>
  <c r="F216" i="65" s="1"/>
  <c r="E127" i="63"/>
  <c r="F127" i="63" s="1"/>
  <c r="D217" i="65" l="1"/>
  <c r="C217" i="65"/>
  <c r="E217" i="65" s="1"/>
  <c r="F217" i="65" s="1"/>
  <c r="D151" i="57"/>
  <c r="C151" i="57"/>
  <c r="D128" i="63"/>
  <c r="C128" i="63" s="1"/>
  <c r="D218" i="65" l="1"/>
  <c r="C218" i="65" s="1"/>
  <c r="E218" i="65" s="1"/>
  <c r="F218" i="65" s="1"/>
  <c r="E151" i="57"/>
  <c r="F151" i="57" s="1"/>
  <c r="E128" i="63"/>
  <c r="F128" i="63" s="1"/>
  <c r="D219" i="65" l="1"/>
  <c r="C219" i="65" s="1"/>
  <c r="E219" i="65" s="1"/>
  <c r="F219" i="65" s="1"/>
  <c r="D152" i="57"/>
  <c r="C152" i="57"/>
  <c r="D129" i="63"/>
  <c r="C129" i="63" s="1"/>
  <c r="D220" i="65" l="1"/>
  <c r="C220" i="65" s="1"/>
  <c r="E220" i="65" s="1"/>
  <c r="F220" i="65" s="1"/>
  <c r="E152" i="57"/>
  <c r="F152" i="57" s="1"/>
  <c r="E129" i="63"/>
  <c r="F129" i="63" s="1"/>
  <c r="D221" i="65" l="1"/>
  <c r="C221" i="65" s="1"/>
  <c r="E221" i="65" s="1"/>
  <c r="F221" i="65" s="1"/>
  <c r="D153" i="57"/>
  <c r="C153" i="57"/>
  <c r="D130" i="63"/>
  <c r="C130" i="63" s="1"/>
  <c r="D222" i="65" l="1"/>
  <c r="C222" i="65"/>
  <c r="E222" i="65" s="1"/>
  <c r="F222" i="65" s="1"/>
  <c r="E153" i="57"/>
  <c r="F153" i="57" s="1"/>
  <c r="E130" i="63"/>
  <c r="F130" i="63" s="1"/>
  <c r="D223" i="65" l="1"/>
  <c r="C223" i="65"/>
  <c r="E223" i="65" s="1"/>
  <c r="F223" i="65" s="1"/>
  <c r="D154" i="57"/>
  <c r="C154" i="57" s="1"/>
  <c r="D131" i="63"/>
  <c r="C131" i="63" s="1"/>
  <c r="D224" i="65" l="1"/>
  <c r="C224" i="65" s="1"/>
  <c r="E224" i="65" s="1"/>
  <c r="F224" i="65" s="1"/>
  <c r="E154" i="57"/>
  <c r="F154" i="57" s="1"/>
  <c r="E131" i="63"/>
  <c r="F131" i="63" s="1"/>
  <c r="D225" i="65" l="1"/>
  <c r="C225" i="65" s="1"/>
  <c r="E225" i="65" s="1"/>
  <c r="F225" i="65" s="1"/>
  <c r="D155" i="57"/>
  <c r="C155" i="57" s="1"/>
  <c r="D132" i="63"/>
  <c r="C132" i="63" s="1"/>
  <c r="E155" i="57" l="1"/>
  <c r="F155" i="57" s="1"/>
  <c r="D226" i="65"/>
  <c r="C226" i="65" s="1"/>
  <c r="E226" i="65" s="1"/>
  <c r="F226" i="65" s="1"/>
  <c r="D156" i="57"/>
  <c r="C156" i="57" s="1"/>
  <c r="E132" i="63"/>
  <c r="F132" i="63" s="1"/>
  <c r="E156" i="57" l="1"/>
  <c r="F156" i="57" s="1"/>
  <c r="D157" i="57" s="1"/>
  <c r="D227" i="65"/>
  <c r="C227" i="65" s="1"/>
  <c r="E227" i="65" s="1"/>
  <c r="F227" i="65" s="1"/>
  <c r="C157" i="57"/>
  <c r="D133" i="63"/>
  <c r="C133" i="63" s="1"/>
  <c r="E157" i="57" l="1"/>
  <c r="F157" i="57" s="1"/>
  <c r="D228" i="65"/>
  <c r="C228" i="65" s="1"/>
  <c r="E228" i="65" s="1"/>
  <c r="F228" i="65" s="1"/>
  <c r="D158" i="57"/>
  <c r="C158" i="57"/>
  <c r="E133" i="63"/>
  <c r="F133" i="63" s="1"/>
  <c r="D229" i="65" l="1"/>
  <c r="C229" i="65"/>
  <c r="E229" i="65" s="1"/>
  <c r="F229" i="65" s="1"/>
  <c r="E158" i="57"/>
  <c r="F158" i="57" s="1"/>
  <c r="D134" i="63"/>
  <c r="C134" i="63" s="1"/>
  <c r="D159" i="57" l="1"/>
  <c r="C159" i="57"/>
  <c r="E159" i="57" s="1"/>
  <c r="F159" i="57" s="1"/>
  <c r="D230" i="65"/>
  <c r="C230" i="65" s="1"/>
  <c r="E230" i="65" s="1"/>
  <c r="F230" i="65" s="1"/>
  <c r="E134" i="63"/>
  <c r="F134" i="63" s="1"/>
  <c r="D231" i="65" l="1"/>
  <c r="C231" i="65"/>
  <c r="E231" i="65" s="1"/>
  <c r="F231" i="65" s="1"/>
  <c r="D160" i="57"/>
  <c r="C160" i="57"/>
  <c r="D135" i="63"/>
  <c r="C135" i="63" s="1"/>
  <c r="D232" i="65" l="1"/>
  <c r="C232" i="65" s="1"/>
  <c r="E232" i="65" s="1"/>
  <c r="F232" i="65" s="1"/>
  <c r="E160" i="57"/>
  <c r="F160" i="57" s="1"/>
  <c r="E135" i="63"/>
  <c r="F135" i="63" s="1"/>
  <c r="D233" i="65" l="1"/>
  <c r="C233" i="65"/>
  <c r="E233" i="65" s="1"/>
  <c r="F233" i="65" s="1"/>
  <c r="D161" i="57"/>
  <c r="C161" i="57" s="1"/>
  <c r="D136" i="63"/>
  <c r="C136" i="63" s="1"/>
  <c r="E161" i="57" l="1"/>
  <c r="F161" i="57" s="1"/>
  <c r="D234" i="65"/>
  <c r="C234" i="65" s="1"/>
  <c r="E234" i="65" s="1"/>
  <c r="F234" i="65" s="1"/>
  <c r="D162" i="57"/>
  <c r="C162" i="57"/>
  <c r="E136" i="63"/>
  <c r="F136" i="63" s="1"/>
  <c r="D235" i="65" l="1"/>
  <c r="C235" i="65" s="1"/>
  <c r="E235" i="65" s="1"/>
  <c r="F235" i="65" s="1"/>
  <c r="E162" i="57"/>
  <c r="F162" i="57" s="1"/>
  <c r="D137" i="63"/>
  <c r="C137" i="63" s="1"/>
  <c r="D236" i="65" l="1"/>
  <c r="C236" i="65" s="1"/>
  <c r="E236" i="65" s="1"/>
  <c r="F236" i="65" s="1"/>
  <c r="D163" i="57"/>
  <c r="C163" i="57" s="1"/>
  <c r="E137" i="63"/>
  <c r="F137" i="63" s="1"/>
  <c r="D237" i="65" l="1"/>
  <c r="C237" i="65"/>
  <c r="E237" i="65" s="1"/>
  <c r="F237" i="65" s="1"/>
  <c r="E163" i="57"/>
  <c r="F163" i="57" s="1"/>
  <c r="D138" i="63"/>
  <c r="C138" i="63" s="1"/>
  <c r="D238" i="65" l="1"/>
  <c r="C238" i="65" s="1"/>
  <c r="E238" i="65" s="1"/>
  <c r="F238" i="65" s="1"/>
  <c r="D164" i="57"/>
  <c r="C164" i="57" s="1"/>
  <c r="E138" i="63"/>
  <c r="F138" i="63" s="1"/>
  <c r="D239" i="65" l="1"/>
  <c r="C239" i="65" s="1"/>
  <c r="E239" i="65" s="1"/>
  <c r="F239" i="65" s="1"/>
  <c r="E164" i="57"/>
  <c r="F164" i="57" s="1"/>
  <c r="D139" i="63"/>
  <c r="C139" i="63" s="1"/>
  <c r="D240" i="65" l="1"/>
  <c r="C240" i="65" s="1"/>
  <c r="E240" i="65" s="1"/>
  <c r="F240" i="65" s="1"/>
  <c r="D165" i="57"/>
  <c r="C165" i="57" s="1"/>
  <c r="E139" i="63"/>
  <c r="F139" i="63" s="1"/>
  <c r="D241" i="65" l="1"/>
  <c r="C241" i="65"/>
  <c r="E241" i="65" s="1"/>
  <c r="F241" i="65" s="1"/>
  <c r="E165" i="57"/>
  <c r="F165" i="57" s="1"/>
  <c r="D140" i="63"/>
  <c r="C140" i="63" s="1"/>
  <c r="D242" i="65" l="1"/>
  <c r="C242" i="65"/>
  <c r="E242" i="65" s="1"/>
  <c r="F242" i="65" s="1"/>
  <c r="D166" i="57"/>
  <c r="C166" i="57" s="1"/>
  <c r="E140" i="63"/>
  <c r="F140" i="63" s="1"/>
  <c r="E166" i="57" l="1"/>
  <c r="F166" i="57" s="1"/>
  <c r="D243" i="65"/>
  <c r="C243" i="65" s="1"/>
  <c r="E243" i="65" s="1"/>
  <c r="F243" i="65" s="1"/>
  <c r="D167" i="57"/>
  <c r="D141" i="63"/>
  <c r="C141" i="63" s="1"/>
  <c r="C167" i="57" l="1"/>
  <c r="D244" i="65"/>
  <c r="C244" i="65" s="1"/>
  <c r="E244" i="65" s="1"/>
  <c r="F244" i="65" s="1"/>
  <c r="E167" i="57"/>
  <c r="F167" i="57" s="1"/>
  <c r="E141" i="63"/>
  <c r="F141" i="63" s="1"/>
  <c r="D245" i="65" l="1"/>
  <c r="C245" i="65"/>
  <c r="E245" i="65" s="1"/>
  <c r="F245" i="65" s="1"/>
  <c r="D168" i="57"/>
  <c r="C168" i="57" s="1"/>
  <c r="D142" i="63"/>
  <c r="C142" i="63" s="1"/>
  <c r="E168" i="57" l="1"/>
  <c r="F168" i="57" s="1"/>
  <c r="D169" i="57"/>
  <c r="C169" i="57" s="1"/>
  <c r="D246" i="65"/>
  <c r="C246" i="65" s="1"/>
  <c r="E246" i="65" s="1"/>
  <c r="F246" i="65" s="1"/>
  <c r="E142" i="63"/>
  <c r="F142" i="63" s="1"/>
  <c r="E169" i="57" l="1"/>
  <c r="F169" i="57" s="1"/>
  <c r="D170" i="57" s="1"/>
  <c r="C170" i="57" s="1"/>
  <c r="D247" i="65"/>
  <c r="C247" i="65" s="1"/>
  <c r="E247" i="65" s="1"/>
  <c r="F247" i="65" s="1"/>
  <c r="D143" i="63"/>
  <c r="C143" i="63" s="1"/>
  <c r="E170" i="57" l="1"/>
  <c r="F170" i="57" s="1"/>
  <c r="D248" i="65"/>
  <c r="C248" i="65" s="1"/>
  <c r="E248" i="65" s="1"/>
  <c r="F248" i="65" s="1"/>
  <c r="D171" i="57"/>
  <c r="C171" i="57"/>
  <c r="E143" i="63"/>
  <c r="F143" i="63" s="1"/>
  <c r="D249" i="65" l="1"/>
  <c r="C249" i="65" s="1"/>
  <c r="E249" i="65" s="1"/>
  <c r="F249" i="65" s="1"/>
  <c r="E171" i="57"/>
  <c r="F171" i="57" s="1"/>
  <c r="D144" i="63"/>
  <c r="C144" i="63" s="1"/>
  <c r="D250" i="65" l="1"/>
  <c r="C250" i="65" s="1"/>
  <c r="E250" i="65" s="1"/>
  <c r="F250" i="65" s="1"/>
  <c r="D172" i="57"/>
  <c r="C172" i="57" s="1"/>
  <c r="E144" i="63"/>
  <c r="F144" i="63" s="1"/>
  <c r="D145" i="63" s="1"/>
  <c r="C145" i="63" s="1"/>
  <c r="D251" i="65" l="1"/>
  <c r="C251" i="65"/>
  <c r="E251" i="65" s="1"/>
  <c r="F251" i="65" s="1"/>
  <c r="E172" i="57"/>
  <c r="F172" i="57" s="1"/>
  <c r="E145" i="63"/>
  <c r="F145" i="63" s="1"/>
  <c r="D252" i="65" l="1"/>
  <c r="C252" i="65" s="1"/>
  <c r="E252" i="65" s="1"/>
  <c r="F252" i="65" s="1"/>
  <c r="D173" i="57"/>
  <c r="C173" i="57" s="1"/>
  <c r="D146" i="63"/>
  <c r="C146" i="63" s="1"/>
  <c r="E173" i="57" l="1"/>
  <c r="F173" i="57" s="1"/>
  <c r="D253" i="65"/>
  <c r="C253" i="65" s="1"/>
  <c r="E253" i="65" s="1"/>
  <c r="F253" i="65" s="1"/>
  <c r="D174" i="57"/>
  <c r="C174" i="57" s="1"/>
  <c r="E146" i="63"/>
  <c r="F146" i="63" s="1"/>
  <c r="E174" i="57" l="1"/>
  <c r="F174" i="57" s="1"/>
  <c r="D175" i="57"/>
  <c r="C175" i="57" s="1"/>
  <c r="D254" i="65"/>
  <c r="C254" i="65" s="1"/>
  <c r="E254" i="65" s="1"/>
  <c r="F254" i="65" s="1"/>
  <c r="D147" i="63"/>
  <c r="C147" i="63" s="1"/>
  <c r="E175" i="57" l="1"/>
  <c r="F175" i="57" s="1"/>
  <c r="D255" i="65"/>
  <c r="C255" i="65" s="1"/>
  <c r="E255" i="65" s="1"/>
  <c r="F255" i="65" s="1"/>
  <c r="D176" i="57"/>
  <c r="C176" i="57" s="1"/>
  <c r="E147" i="63"/>
  <c r="F147" i="63" s="1"/>
  <c r="E176" i="57" l="1"/>
  <c r="F176" i="57" s="1"/>
  <c r="D256" i="65"/>
  <c r="C256" i="65" s="1"/>
  <c r="E256" i="65" s="1"/>
  <c r="F256" i="65" s="1"/>
  <c r="D177" i="57"/>
  <c r="C177" i="57" s="1"/>
  <c r="D148" i="63"/>
  <c r="C148" i="63" s="1"/>
  <c r="E177" i="57" l="1"/>
  <c r="F177" i="57" s="1"/>
  <c r="D257" i="65"/>
  <c r="C257" i="65" s="1"/>
  <c r="E257" i="65" s="1"/>
  <c r="F257" i="65" s="1"/>
  <c r="D178" i="57"/>
  <c r="C178" i="57" s="1"/>
  <c r="E148" i="63"/>
  <c r="F148" i="63" s="1"/>
  <c r="D258" i="65" l="1"/>
  <c r="C258" i="65" s="1"/>
  <c r="E258" i="65" s="1"/>
  <c r="F258" i="65" s="1"/>
  <c r="E178" i="57"/>
  <c r="F178" i="57" s="1"/>
  <c r="D149" i="63"/>
  <c r="C149" i="63" s="1"/>
  <c r="D259" i="65" l="1"/>
  <c r="C259" i="65" s="1"/>
  <c r="E259" i="65" s="1"/>
  <c r="F259" i="65" s="1"/>
  <c r="D179" i="57"/>
  <c r="C179" i="57" s="1"/>
  <c r="E149" i="63"/>
  <c r="F149" i="63" s="1"/>
  <c r="E179" i="57" l="1"/>
  <c r="F179" i="57" s="1"/>
  <c r="D260" i="65"/>
  <c r="C260" i="65" s="1"/>
  <c r="E260" i="65" s="1"/>
  <c r="F260" i="65" s="1"/>
  <c r="D180" i="57"/>
  <c r="C180" i="57" s="1"/>
  <c r="D150" i="63"/>
  <c r="C150" i="63" s="1"/>
  <c r="D261" i="65" l="1"/>
  <c r="C261" i="65" s="1"/>
  <c r="E261" i="65" s="1"/>
  <c r="F261" i="65" s="1"/>
  <c r="E180" i="57"/>
  <c r="F180" i="57" s="1"/>
  <c r="E150" i="63"/>
  <c r="F150" i="63" s="1"/>
  <c r="D262" i="65" l="1"/>
  <c r="C262" i="65" s="1"/>
  <c r="E262" i="65" s="1"/>
  <c r="F262" i="65" s="1"/>
  <c r="D181" i="57"/>
  <c r="C181" i="57" s="1"/>
  <c r="D151" i="63"/>
  <c r="C151" i="63" s="1"/>
  <c r="E181" i="57" l="1"/>
  <c r="F181" i="57" s="1"/>
  <c r="D263" i="65"/>
  <c r="C263" i="65" s="1"/>
  <c r="E263" i="65" s="1"/>
  <c r="F263" i="65" s="1"/>
  <c r="D182" i="57"/>
  <c r="C182" i="57" s="1"/>
  <c r="E151" i="63"/>
  <c r="F151" i="63" s="1"/>
  <c r="E182" i="57" l="1"/>
  <c r="F182" i="57" s="1"/>
  <c r="D264" i="65"/>
  <c r="C264" i="65" s="1"/>
  <c r="E264" i="65" s="1"/>
  <c r="F264" i="65" s="1"/>
  <c r="D183" i="57"/>
  <c r="C183" i="57" s="1"/>
  <c r="D152" i="63"/>
  <c r="C152" i="63" s="1"/>
  <c r="E183" i="57" l="1"/>
  <c r="F183" i="57" s="1"/>
  <c r="D265" i="65"/>
  <c r="C265" i="65" s="1"/>
  <c r="E265" i="65" s="1"/>
  <c r="F265" i="65" s="1"/>
  <c r="D184" i="57"/>
  <c r="C184" i="57"/>
  <c r="E152" i="63"/>
  <c r="F152" i="63" s="1"/>
  <c r="D266" i="65" l="1"/>
  <c r="C266" i="65" s="1"/>
  <c r="E266" i="65" s="1"/>
  <c r="F266" i="65" s="1"/>
  <c r="E184" i="57"/>
  <c r="F184" i="57" s="1"/>
  <c r="D153" i="63"/>
  <c r="C153" i="63" s="1"/>
  <c r="D267" i="65" l="1"/>
  <c r="C267" i="65" s="1"/>
  <c r="E267" i="65" s="1"/>
  <c r="F267" i="65" s="1"/>
  <c r="D185" i="57"/>
  <c r="C185" i="57" s="1"/>
  <c r="E153" i="63"/>
  <c r="F153" i="63" s="1"/>
  <c r="E185" i="57" l="1"/>
  <c r="F185" i="57" s="1"/>
  <c r="D268" i="65"/>
  <c r="C268" i="65" s="1"/>
  <c r="E268" i="65" s="1"/>
  <c r="F268" i="65" s="1"/>
  <c r="D186" i="57"/>
  <c r="C186" i="57"/>
  <c r="D154" i="63"/>
  <c r="C154" i="63" s="1"/>
  <c r="D269" i="65" l="1"/>
  <c r="C269" i="65" s="1"/>
  <c r="E269" i="65" s="1"/>
  <c r="F269" i="65" s="1"/>
  <c r="E186" i="57"/>
  <c r="F186" i="57" s="1"/>
  <c r="E154" i="63"/>
  <c r="F154" i="63" s="1"/>
  <c r="D187" i="57" l="1"/>
  <c r="C187" i="57" s="1"/>
  <c r="D270" i="65"/>
  <c r="C270" i="65" s="1"/>
  <c r="E270" i="65" s="1"/>
  <c r="F270" i="65" s="1"/>
  <c r="D155" i="63"/>
  <c r="C155" i="63" s="1"/>
  <c r="D271" i="65" l="1"/>
  <c r="C271" i="65"/>
  <c r="E271" i="65" s="1"/>
  <c r="F271" i="65" s="1"/>
  <c r="E187" i="57"/>
  <c r="F187" i="57" s="1"/>
  <c r="E155" i="63"/>
  <c r="F155" i="63" s="1"/>
  <c r="D272" i="65" l="1"/>
  <c r="C272" i="65" s="1"/>
  <c r="E272" i="65" s="1"/>
  <c r="F272" i="65" s="1"/>
  <c r="D188" i="57"/>
  <c r="C188" i="57" s="1"/>
  <c r="D156" i="63"/>
  <c r="C156" i="63" s="1"/>
  <c r="D273" i="65" l="1"/>
  <c r="C273" i="65"/>
  <c r="E273" i="65" s="1"/>
  <c r="F273" i="65" s="1"/>
  <c r="E188" i="57"/>
  <c r="F188" i="57" s="1"/>
  <c r="E156" i="63"/>
  <c r="F156" i="63" s="1"/>
  <c r="D274" i="65" l="1"/>
  <c r="C274" i="65"/>
  <c r="E274" i="65" s="1"/>
  <c r="F274" i="65" s="1"/>
  <c r="D189" i="57"/>
  <c r="C189" i="57" s="1"/>
  <c r="D157" i="63"/>
  <c r="C157" i="63" s="1"/>
  <c r="E189" i="57" l="1"/>
  <c r="F189" i="57" s="1"/>
  <c r="D275" i="65"/>
  <c r="C275" i="65" s="1"/>
  <c r="E275" i="65" s="1"/>
  <c r="F275" i="65" s="1"/>
  <c r="D190" i="57"/>
  <c r="C190" i="57" s="1"/>
  <c r="E157" i="63"/>
  <c r="F157" i="63" s="1"/>
  <c r="E190" i="57" l="1"/>
  <c r="F190" i="57" s="1"/>
  <c r="D276" i="65"/>
  <c r="C276" i="65" s="1"/>
  <c r="E276" i="65" s="1"/>
  <c r="F276" i="65" s="1"/>
  <c r="D191" i="57"/>
  <c r="C191" i="57" s="1"/>
  <c r="D158" i="63"/>
  <c r="C158" i="63" s="1"/>
  <c r="E191" i="57" l="1"/>
  <c r="F191" i="57" s="1"/>
  <c r="D277" i="65"/>
  <c r="C277" i="65" s="1"/>
  <c r="E277" i="65" s="1"/>
  <c r="F277" i="65" s="1"/>
  <c r="D192" i="57"/>
  <c r="C192" i="57" s="1"/>
  <c r="E158" i="63"/>
  <c r="F158" i="63" s="1"/>
  <c r="E192" i="57" l="1"/>
  <c r="F192" i="57" s="1"/>
  <c r="D193" i="57"/>
  <c r="C193" i="57" s="1"/>
  <c r="D278" i="65"/>
  <c r="C278" i="65" s="1"/>
  <c r="E278" i="65" s="1"/>
  <c r="F278" i="65" s="1"/>
  <c r="D159" i="63"/>
  <c r="C159" i="63" s="1"/>
  <c r="D279" i="65" l="1"/>
  <c r="C279" i="65"/>
  <c r="E279" i="65" s="1"/>
  <c r="F279" i="65" s="1"/>
  <c r="E193" i="57"/>
  <c r="F193" i="57" s="1"/>
  <c r="E159" i="63"/>
  <c r="F159" i="63" s="1"/>
  <c r="D280" i="65" l="1"/>
  <c r="C280" i="65" s="1"/>
  <c r="E280" i="65" s="1"/>
  <c r="F280" i="65" s="1"/>
  <c r="D194" i="57"/>
  <c r="C194" i="57"/>
  <c r="D160" i="63"/>
  <c r="C160" i="63" s="1"/>
  <c r="D281" i="65" l="1"/>
  <c r="C281" i="65" s="1"/>
  <c r="E281" i="65" s="1"/>
  <c r="F281" i="65" s="1"/>
  <c r="E194" i="57"/>
  <c r="F194" i="57" s="1"/>
  <c r="E160" i="63"/>
  <c r="F160" i="63" s="1"/>
  <c r="D195" i="57" l="1"/>
  <c r="C195" i="57"/>
  <c r="E195" i="57" s="1"/>
  <c r="F195" i="57" s="1"/>
  <c r="D282" i="65"/>
  <c r="C282" i="65" s="1"/>
  <c r="E282" i="65" s="1"/>
  <c r="F282" i="65" s="1"/>
  <c r="D161" i="63"/>
  <c r="C161" i="63" s="1"/>
  <c r="D283" i="65" l="1"/>
  <c r="C283" i="65"/>
  <c r="E283" i="65" s="1"/>
  <c r="F283" i="65" s="1"/>
  <c r="D196" i="57"/>
  <c r="C196" i="57" s="1"/>
  <c r="E161" i="63"/>
  <c r="F161" i="63" s="1"/>
  <c r="E196" i="57" l="1"/>
  <c r="F196" i="57" s="1"/>
  <c r="D284" i="65"/>
  <c r="C284" i="65" s="1"/>
  <c r="E284" i="65" s="1"/>
  <c r="F284" i="65" s="1"/>
  <c r="D162" i="63"/>
  <c r="C162" i="63" s="1"/>
  <c r="D197" i="57" l="1"/>
  <c r="C197" i="57" s="1"/>
  <c r="E197" i="57" s="1"/>
  <c r="F197" i="57" s="1"/>
  <c r="D285" i="65"/>
  <c r="C285" i="65" s="1"/>
  <c r="E285" i="65" s="1"/>
  <c r="F285" i="65" s="1"/>
  <c r="E162" i="63"/>
  <c r="F162" i="63" s="1"/>
  <c r="D198" i="57" l="1"/>
  <c r="C198" i="57"/>
  <c r="E198" i="57" s="1"/>
  <c r="F198" i="57" s="1"/>
  <c r="D199" i="57" s="1"/>
  <c r="D286" i="65"/>
  <c r="C286" i="65" s="1"/>
  <c r="E286" i="65" s="1"/>
  <c r="F286" i="65" s="1"/>
  <c r="D163" i="63"/>
  <c r="C163" i="63" s="1"/>
  <c r="C199" i="57" l="1"/>
  <c r="E199" i="57" s="1"/>
  <c r="F199" i="57" s="1"/>
  <c r="D287" i="65"/>
  <c r="C287" i="65" s="1"/>
  <c r="E287" i="65" s="1"/>
  <c r="F287" i="65" s="1"/>
  <c r="D200" i="57"/>
  <c r="C200" i="57"/>
  <c r="E163" i="63"/>
  <c r="F163" i="63" s="1"/>
  <c r="D288" i="65" l="1"/>
  <c r="C288" i="65" s="1"/>
  <c r="E288" i="65" s="1"/>
  <c r="F288" i="65" s="1"/>
  <c r="E200" i="57"/>
  <c r="F200" i="57" s="1"/>
  <c r="D201" i="57" s="1"/>
  <c r="D164" i="63"/>
  <c r="C164" i="63" s="1"/>
  <c r="D289" i="65" l="1"/>
  <c r="C289" i="65"/>
  <c r="E289" i="65" s="1"/>
  <c r="F289" i="65" s="1"/>
  <c r="C201" i="57"/>
  <c r="E201" i="57" s="1"/>
  <c r="F201" i="57" s="1"/>
  <c r="E164" i="63"/>
  <c r="F164" i="63" s="1"/>
  <c r="D290" i="65" l="1"/>
  <c r="C290" i="65" s="1"/>
  <c r="E290" i="65" s="1"/>
  <c r="F290" i="65" s="1"/>
  <c r="D202" i="57"/>
  <c r="D165" i="63"/>
  <c r="C165" i="63" s="1"/>
  <c r="C202" i="57" l="1"/>
  <c r="E202" i="57" s="1"/>
  <c r="F202" i="57" s="1"/>
  <c r="D291" i="65"/>
  <c r="C291" i="65" s="1"/>
  <c r="E291" i="65" s="1"/>
  <c r="F291" i="65" s="1"/>
  <c r="E165" i="63"/>
  <c r="F165" i="63" s="1"/>
  <c r="D203" i="57" l="1"/>
  <c r="C203" i="57" s="1"/>
  <c r="E203" i="57" s="1"/>
  <c r="F203" i="57" s="1"/>
  <c r="D204" i="57" s="1"/>
  <c r="D292" i="65"/>
  <c r="C292" i="65" s="1"/>
  <c r="E292" i="65" s="1"/>
  <c r="F292" i="65" s="1"/>
  <c r="D166" i="63"/>
  <c r="C166" i="63" s="1"/>
  <c r="D293" i="65" l="1"/>
  <c r="C293" i="65" s="1"/>
  <c r="E293" i="65" s="1"/>
  <c r="F293" i="65" s="1"/>
  <c r="C204" i="57"/>
  <c r="E204" i="57" s="1"/>
  <c r="F204" i="57" s="1"/>
  <c r="D205" i="57" s="1"/>
  <c r="E166" i="63"/>
  <c r="F166" i="63" s="1"/>
  <c r="D294" i="65" l="1"/>
  <c r="C294" i="65"/>
  <c r="E294" i="65" s="1"/>
  <c r="F294" i="65" s="1"/>
  <c r="C205" i="57"/>
  <c r="E205" i="57" s="1"/>
  <c r="F205" i="57" s="1"/>
  <c r="D167" i="63"/>
  <c r="C167" i="63" s="1"/>
  <c r="D295" i="65" l="1"/>
  <c r="C295" i="65"/>
  <c r="E295" i="65" s="1"/>
  <c r="F295" i="65" s="1"/>
  <c r="D206" i="57"/>
  <c r="C206" i="57" s="1"/>
  <c r="E167" i="63"/>
  <c r="F167" i="63" s="1"/>
  <c r="E206" i="57" l="1"/>
  <c r="F206" i="57" s="1"/>
  <c r="D296" i="65"/>
  <c r="C296" i="65" s="1"/>
  <c r="E296" i="65" s="1"/>
  <c r="F296" i="65" s="1"/>
  <c r="D207" i="57"/>
  <c r="C207" i="57" s="1"/>
  <c r="D168" i="63"/>
  <c r="C168" i="63" s="1"/>
  <c r="D297" i="65" l="1"/>
  <c r="C297" i="65"/>
  <c r="E297" i="65" s="1"/>
  <c r="F297" i="65" s="1"/>
  <c r="E207" i="57"/>
  <c r="F207" i="57" s="1"/>
  <c r="E168" i="63"/>
  <c r="F168" i="63" s="1"/>
  <c r="D298" i="65" l="1"/>
  <c r="C298" i="65"/>
  <c r="E298" i="65" s="1"/>
  <c r="F298" i="65" s="1"/>
  <c r="D208" i="57"/>
  <c r="C208" i="57" s="1"/>
  <c r="D169" i="63"/>
  <c r="C169" i="63" s="1"/>
  <c r="D299" i="65" l="1"/>
  <c r="C299" i="65"/>
  <c r="E299" i="65" s="1"/>
  <c r="F299" i="65" s="1"/>
  <c r="E208" i="57"/>
  <c r="F208" i="57" s="1"/>
  <c r="E169" i="63"/>
  <c r="F169" i="63" s="1"/>
  <c r="D300" i="65" l="1"/>
  <c r="C300" i="65" s="1"/>
  <c r="E300" i="65" s="1"/>
  <c r="F300" i="65" s="1"/>
  <c r="D209" i="57"/>
  <c r="C209" i="57" s="1"/>
  <c r="D170" i="63"/>
  <c r="C170" i="63" s="1"/>
  <c r="D301" i="65" l="1"/>
  <c r="C301" i="65" s="1"/>
  <c r="E301" i="65" s="1"/>
  <c r="F301" i="65" s="1"/>
  <c r="E209" i="57"/>
  <c r="F209" i="57" s="1"/>
  <c r="D210" i="57" s="1"/>
  <c r="E170" i="63"/>
  <c r="F170" i="63" s="1"/>
  <c r="D302" i="65" l="1"/>
  <c r="C302" i="65"/>
  <c r="E302" i="65" s="1"/>
  <c r="F302" i="65" s="1"/>
  <c r="C210" i="57"/>
  <c r="E210" i="57" s="1"/>
  <c r="F210" i="57" s="1"/>
  <c r="D211" i="57" s="1"/>
  <c r="D171" i="63"/>
  <c r="C171" i="63" s="1"/>
  <c r="C211" i="57" l="1"/>
  <c r="E211" i="57" s="1"/>
  <c r="F211" i="57" s="1"/>
  <c r="D303" i="65"/>
  <c r="C303" i="65" s="1"/>
  <c r="E303" i="65" s="1"/>
  <c r="F303" i="65" s="1"/>
  <c r="E171" i="63"/>
  <c r="F171" i="63" s="1"/>
  <c r="D304" i="65" l="1"/>
  <c r="C304" i="65" s="1"/>
  <c r="E304" i="65" s="1"/>
  <c r="F304" i="65" s="1"/>
  <c r="D212" i="57"/>
  <c r="D172" i="63"/>
  <c r="C172" i="63" s="1"/>
  <c r="C212" i="57" l="1"/>
  <c r="E212" i="57" s="1"/>
  <c r="F212" i="57" s="1"/>
  <c r="D305" i="65"/>
  <c r="C305" i="65" s="1"/>
  <c r="E305" i="65" s="1"/>
  <c r="F305" i="65" s="1"/>
  <c r="E172" i="63"/>
  <c r="F172" i="63" s="1"/>
  <c r="D213" i="57" l="1"/>
  <c r="C213" i="57" s="1"/>
  <c r="E213" i="57" s="1"/>
  <c r="F213" i="57" s="1"/>
  <c r="D306" i="65"/>
  <c r="C306" i="65" s="1"/>
  <c r="E306" i="65" s="1"/>
  <c r="F306" i="65" s="1"/>
  <c r="D173" i="63"/>
  <c r="C173" i="63" s="1"/>
  <c r="D307" i="65" l="1"/>
  <c r="C307" i="65"/>
  <c r="E307" i="65" s="1"/>
  <c r="F307" i="65" s="1"/>
  <c r="D214" i="57"/>
  <c r="C214" i="57" s="1"/>
  <c r="E173" i="63"/>
  <c r="F173" i="63" s="1"/>
  <c r="D308" i="65" l="1"/>
  <c r="C308" i="65"/>
  <c r="E308" i="65" s="1"/>
  <c r="F308" i="65" s="1"/>
  <c r="E214" i="57"/>
  <c r="F214" i="57" s="1"/>
  <c r="D174" i="63"/>
  <c r="C174" i="63" s="1"/>
  <c r="D309" i="65" l="1"/>
  <c r="C309" i="65"/>
  <c r="E309" i="65" s="1"/>
  <c r="F309" i="65" s="1"/>
  <c r="D215" i="57"/>
  <c r="C215" i="57" s="1"/>
  <c r="E174" i="63"/>
  <c r="F174" i="63" s="1"/>
  <c r="D310" i="65" l="1"/>
  <c r="C310" i="65"/>
  <c r="E310" i="65" s="1"/>
  <c r="F310" i="65" s="1"/>
  <c r="E215" i="57"/>
  <c r="F215" i="57" s="1"/>
  <c r="D175" i="63"/>
  <c r="C175" i="63" s="1"/>
  <c r="D311" i="65" l="1"/>
  <c r="C311" i="65" s="1"/>
  <c r="E311" i="65" s="1"/>
  <c r="F311" i="65" s="1"/>
  <c r="D216" i="57"/>
  <c r="C216" i="57" s="1"/>
  <c r="E175" i="63"/>
  <c r="F175" i="63" s="1"/>
  <c r="D312" i="65" l="1"/>
  <c r="C312" i="65"/>
  <c r="E312" i="65" s="1"/>
  <c r="F312" i="65" s="1"/>
  <c r="E216" i="57"/>
  <c r="F216" i="57" s="1"/>
  <c r="D176" i="63"/>
  <c r="C176" i="63" s="1"/>
  <c r="D313" i="65" l="1"/>
  <c r="C313" i="65"/>
  <c r="E313" i="65" s="1"/>
  <c r="F313" i="65" s="1"/>
  <c r="D217" i="57"/>
  <c r="C217" i="57" s="1"/>
  <c r="E176" i="63"/>
  <c r="F176" i="63" s="1"/>
  <c r="D314" i="65" l="1"/>
  <c r="C314" i="65"/>
  <c r="E314" i="65" s="1"/>
  <c r="F314" i="65" s="1"/>
  <c r="E217" i="57"/>
  <c r="F217" i="57" s="1"/>
  <c r="D177" i="63"/>
  <c r="C177" i="63" s="1"/>
  <c r="D315" i="65" l="1"/>
  <c r="C315" i="65"/>
  <c r="E315" i="65" s="1"/>
  <c r="F315" i="65" s="1"/>
  <c r="D218" i="57"/>
  <c r="C218" i="57" s="1"/>
  <c r="E177" i="63"/>
  <c r="F177" i="63" s="1"/>
  <c r="D316" i="65" l="1"/>
  <c r="C316" i="65"/>
  <c r="E316" i="65" s="1"/>
  <c r="F316" i="65" s="1"/>
  <c r="E218" i="57"/>
  <c r="F218" i="57" s="1"/>
  <c r="D178" i="63"/>
  <c r="C178" i="63" s="1"/>
  <c r="D317" i="65" l="1"/>
  <c r="C317" i="65"/>
  <c r="E317" i="65" s="1"/>
  <c r="F317" i="65" s="1"/>
  <c r="D219" i="57"/>
  <c r="C219" i="57" s="1"/>
  <c r="E178" i="63"/>
  <c r="F178" i="63" s="1"/>
  <c r="D318" i="65" l="1"/>
  <c r="C318" i="65" s="1"/>
  <c r="E318" i="65" s="1"/>
  <c r="F318" i="65" s="1"/>
  <c r="E219" i="57"/>
  <c r="F219" i="57" s="1"/>
  <c r="D179" i="63"/>
  <c r="C179" i="63" s="1"/>
  <c r="D319" i="65" l="1"/>
  <c r="C319" i="65" s="1"/>
  <c r="E319" i="65" s="1"/>
  <c r="F319" i="65" s="1"/>
  <c r="D220" i="57"/>
  <c r="C220" i="57" s="1"/>
  <c r="E179" i="63"/>
  <c r="F179" i="63" s="1"/>
  <c r="D320" i="65" l="1"/>
  <c r="C320" i="65" s="1"/>
  <c r="E320" i="65" s="1"/>
  <c r="F320" i="65" s="1"/>
  <c r="E220" i="57"/>
  <c r="F220" i="57" s="1"/>
  <c r="D180" i="63"/>
  <c r="C180" i="63" s="1"/>
  <c r="D321" i="65" l="1"/>
  <c r="C321" i="65"/>
  <c r="E321" i="65" s="1"/>
  <c r="F321" i="65" s="1"/>
  <c r="D221" i="57"/>
  <c r="C221" i="57" s="1"/>
  <c r="E180" i="63"/>
  <c r="F180" i="63" s="1"/>
  <c r="D322" i="65" l="1"/>
  <c r="C322" i="65"/>
  <c r="E322" i="65" s="1"/>
  <c r="F322" i="65" s="1"/>
  <c r="E221" i="57"/>
  <c r="F221" i="57" s="1"/>
  <c r="D181" i="63"/>
  <c r="C181" i="63" s="1"/>
  <c r="D323" i="65" l="1"/>
  <c r="C323" i="65"/>
  <c r="E323" i="65" s="1"/>
  <c r="F323" i="65" s="1"/>
  <c r="D222" i="57"/>
  <c r="C222" i="57" s="1"/>
  <c r="E181" i="63"/>
  <c r="F181" i="63" s="1"/>
  <c r="D324" i="65" l="1"/>
  <c r="C324" i="65"/>
  <c r="E324" i="65" s="1"/>
  <c r="F324" i="65" s="1"/>
  <c r="E222" i="57"/>
  <c r="F222" i="57" s="1"/>
  <c r="D182" i="63"/>
  <c r="C182" i="63" s="1"/>
  <c r="D325" i="65" l="1"/>
  <c r="C325" i="65"/>
  <c r="E325" i="65" s="1"/>
  <c r="F325" i="65" s="1"/>
  <c r="D223" i="57"/>
  <c r="C223" i="57" s="1"/>
  <c r="E182" i="63"/>
  <c r="F182" i="63" s="1"/>
  <c r="D326" i="65" l="1"/>
  <c r="C326" i="65"/>
  <c r="E326" i="65" s="1"/>
  <c r="F326" i="65" s="1"/>
  <c r="E223" i="57"/>
  <c r="F223" i="57" s="1"/>
  <c r="D183" i="63"/>
  <c r="C183" i="63" s="1"/>
  <c r="D327" i="65" l="1"/>
  <c r="C327" i="65" s="1"/>
  <c r="E327" i="65" s="1"/>
  <c r="F327" i="65" s="1"/>
  <c r="D224" i="57"/>
  <c r="C224" i="57" s="1"/>
  <c r="E183" i="63"/>
  <c r="F183" i="63" s="1"/>
  <c r="D328" i="65" l="1"/>
  <c r="C328" i="65"/>
  <c r="E328" i="65" s="1"/>
  <c r="F328" i="65" s="1"/>
  <c r="E224" i="57"/>
  <c r="F224" i="57" s="1"/>
  <c r="D184" i="63"/>
  <c r="C184" i="63" s="1"/>
  <c r="D329" i="65" l="1"/>
  <c r="C329" i="65"/>
  <c r="E329" i="65" s="1"/>
  <c r="F329" i="65" s="1"/>
  <c r="D225" i="57"/>
  <c r="C225" i="57" s="1"/>
  <c r="E184" i="63"/>
  <c r="F184" i="63" s="1"/>
  <c r="D330" i="65" l="1"/>
  <c r="C330" i="65"/>
  <c r="E330" i="65" s="1"/>
  <c r="F330" i="65" s="1"/>
  <c r="E225" i="57"/>
  <c r="F225" i="57" s="1"/>
  <c r="D185" i="63"/>
  <c r="C185" i="63" s="1"/>
  <c r="D331" i="65" l="1"/>
  <c r="C331" i="65"/>
  <c r="E331" i="65" s="1"/>
  <c r="F331" i="65" s="1"/>
  <c r="D226" i="57"/>
  <c r="C226" i="57" s="1"/>
  <c r="E185" i="63"/>
  <c r="F185" i="63" s="1"/>
  <c r="D332" i="65" l="1"/>
  <c r="C332" i="65" s="1"/>
  <c r="E332" i="65" s="1"/>
  <c r="F332" i="65" s="1"/>
  <c r="E226" i="57"/>
  <c r="F226" i="57" s="1"/>
  <c r="D186" i="63"/>
  <c r="C186" i="63" s="1"/>
  <c r="D333" i="65" l="1"/>
  <c r="C333" i="65"/>
  <c r="E333" i="65" s="1"/>
  <c r="F333" i="65" s="1"/>
  <c r="D227" i="57"/>
  <c r="C227" i="57" s="1"/>
  <c r="E186" i="63"/>
  <c r="F186" i="63" s="1"/>
  <c r="D334" i="65" l="1"/>
  <c r="C334" i="65"/>
  <c r="E334" i="65" s="1"/>
  <c r="F334" i="65" s="1"/>
  <c r="E227" i="57"/>
  <c r="F227" i="57" s="1"/>
  <c r="D187" i="63"/>
  <c r="C187" i="63" s="1"/>
  <c r="D335" i="65" l="1"/>
  <c r="C335" i="65"/>
  <c r="E335" i="65" s="1"/>
  <c r="F335" i="65" s="1"/>
  <c r="D228" i="57"/>
  <c r="C228" i="57" s="1"/>
  <c r="E187" i="63"/>
  <c r="F187" i="63" s="1"/>
  <c r="D336" i="65" l="1"/>
  <c r="C336" i="65"/>
  <c r="E336" i="65" s="1"/>
  <c r="F336" i="65" s="1"/>
  <c r="E228" i="57"/>
  <c r="F228" i="57" s="1"/>
  <c r="D188" i="63"/>
  <c r="C188" i="63" s="1"/>
  <c r="D337" i="65" l="1"/>
  <c r="C337" i="65" s="1"/>
  <c r="E337" i="65" s="1"/>
  <c r="F337" i="65" s="1"/>
  <c r="D229" i="57"/>
  <c r="C229" i="57" s="1"/>
  <c r="E188" i="63"/>
  <c r="F188" i="63" s="1"/>
  <c r="D338" i="65" l="1"/>
  <c r="C338" i="65" s="1"/>
  <c r="E338" i="65" s="1"/>
  <c r="F338" i="65" s="1"/>
  <c r="E229" i="57"/>
  <c r="F229" i="57" s="1"/>
  <c r="D189" i="63"/>
  <c r="C189" i="63" s="1"/>
  <c r="D339" i="65" l="1"/>
  <c r="C339" i="65"/>
  <c r="E339" i="65" s="1"/>
  <c r="F339" i="65" s="1"/>
  <c r="D230" i="57"/>
  <c r="C230" i="57" s="1"/>
  <c r="E189" i="63"/>
  <c r="F189" i="63" s="1"/>
  <c r="D340" i="65" l="1"/>
  <c r="C340" i="65"/>
  <c r="E340" i="65" s="1"/>
  <c r="F340" i="65" s="1"/>
  <c r="E230" i="57"/>
  <c r="F230" i="57" s="1"/>
  <c r="D190" i="63"/>
  <c r="C190" i="63" s="1"/>
  <c r="D341" i="65" l="1"/>
  <c r="C341" i="65" s="1"/>
  <c r="E341" i="65" s="1"/>
  <c r="F341" i="65" s="1"/>
  <c r="D231" i="57"/>
  <c r="C231" i="57" s="1"/>
  <c r="E190" i="63"/>
  <c r="F190" i="63" s="1"/>
  <c r="D342" i="65" l="1"/>
  <c r="C342" i="65"/>
  <c r="E342" i="65" s="1"/>
  <c r="F342" i="65" s="1"/>
  <c r="E231" i="57"/>
  <c r="F231" i="57" s="1"/>
  <c r="D191" i="63"/>
  <c r="C191" i="63" s="1"/>
  <c r="D343" i="65" l="1"/>
  <c r="C343" i="65" s="1"/>
  <c r="E343" i="65" s="1"/>
  <c r="F343" i="65" s="1"/>
  <c r="D232" i="57"/>
  <c r="C232" i="57" s="1"/>
  <c r="E191" i="63"/>
  <c r="F191" i="63" s="1"/>
  <c r="D344" i="65" l="1"/>
  <c r="C344" i="65"/>
  <c r="E344" i="65" s="1"/>
  <c r="F344" i="65" s="1"/>
  <c r="E232" i="57"/>
  <c r="F232" i="57" s="1"/>
  <c r="D192" i="63"/>
  <c r="C192" i="63" s="1"/>
  <c r="D345" i="65" l="1"/>
  <c r="C345" i="65" s="1"/>
  <c r="E345" i="65" s="1"/>
  <c r="F345" i="65" s="1"/>
  <c r="D233" i="57"/>
  <c r="C233" i="57" s="1"/>
  <c r="E192" i="63"/>
  <c r="F192" i="63" s="1"/>
  <c r="D346" i="65" l="1"/>
  <c r="C346" i="65"/>
  <c r="E346" i="65" s="1"/>
  <c r="F346" i="65" s="1"/>
  <c r="E233" i="57"/>
  <c r="F233" i="57" s="1"/>
  <c r="D193" i="63"/>
  <c r="C193" i="63" s="1"/>
  <c r="D347" i="65" l="1"/>
  <c r="C347" i="65" s="1"/>
  <c r="E347" i="65" s="1"/>
  <c r="F347" i="65" s="1"/>
  <c r="D234" i="57"/>
  <c r="C234" i="57" s="1"/>
  <c r="E193" i="63"/>
  <c r="F193" i="63" s="1"/>
  <c r="D348" i="65" l="1"/>
  <c r="C348" i="65"/>
  <c r="E348" i="65" s="1"/>
  <c r="F348" i="65" s="1"/>
  <c r="E234" i="57"/>
  <c r="F234" i="57" s="1"/>
  <c r="D194" i="63"/>
  <c r="C194" i="63" s="1"/>
  <c r="D349" i="65" l="1"/>
  <c r="C349" i="65" s="1"/>
  <c r="E349" i="65" s="1"/>
  <c r="F349" i="65" s="1"/>
  <c r="D235" i="57"/>
  <c r="C235" i="57" s="1"/>
  <c r="E194" i="63"/>
  <c r="F194" i="63" s="1"/>
  <c r="D350" i="65" l="1"/>
  <c r="C350" i="65"/>
  <c r="E350" i="65" s="1"/>
  <c r="F350" i="65" s="1"/>
  <c r="E235" i="57"/>
  <c r="F235" i="57" s="1"/>
  <c r="D195" i="63"/>
  <c r="C195" i="63" s="1"/>
  <c r="D351" i="65" l="1"/>
  <c r="C351" i="65"/>
  <c r="E351" i="65" s="1"/>
  <c r="F351" i="65" s="1"/>
  <c r="D236" i="57"/>
  <c r="C236" i="57" s="1"/>
  <c r="E195" i="63"/>
  <c r="F195" i="63" s="1"/>
  <c r="D352" i="65" l="1"/>
  <c r="C352" i="65"/>
  <c r="E352" i="65" s="1"/>
  <c r="F352" i="65" s="1"/>
  <c r="E236" i="57"/>
  <c r="F236" i="57" s="1"/>
  <c r="D196" i="63"/>
  <c r="C196" i="63" s="1"/>
  <c r="D353" i="65" l="1"/>
  <c r="C353" i="65" s="1"/>
  <c r="E353" i="65" s="1"/>
  <c r="F353" i="65" s="1"/>
  <c r="D237" i="57"/>
  <c r="C237" i="57" s="1"/>
  <c r="E196" i="63"/>
  <c r="F196" i="63" s="1"/>
  <c r="D354" i="65" l="1"/>
  <c r="C354" i="65" s="1"/>
  <c r="E354" i="65" s="1"/>
  <c r="F354" i="65" s="1"/>
  <c r="E237" i="57"/>
  <c r="F237" i="57" s="1"/>
  <c r="D197" i="63"/>
  <c r="C197" i="63" s="1"/>
  <c r="D355" i="65" l="1"/>
  <c r="C355" i="65" s="1"/>
  <c r="E355" i="65" s="1"/>
  <c r="F355" i="65" s="1"/>
  <c r="D238" i="57"/>
  <c r="C238" i="57" s="1"/>
  <c r="E197" i="63"/>
  <c r="F197" i="63" s="1"/>
  <c r="D356" i="65" l="1"/>
  <c r="C356" i="65" s="1"/>
  <c r="E356" i="65" s="1"/>
  <c r="F356" i="65" s="1"/>
  <c r="E238" i="57"/>
  <c r="F238" i="57" s="1"/>
  <c r="D198" i="63"/>
  <c r="C198" i="63" s="1"/>
  <c r="D357" i="65" l="1"/>
  <c r="C357" i="65" s="1"/>
  <c r="E357" i="65" s="1"/>
  <c r="F357" i="65" s="1"/>
  <c r="D239" i="57"/>
  <c r="C239" i="57" s="1"/>
  <c r="E198" i="63"/>
  <c r="F198" i="63" s="1"/>
  <c r="D358" i="65" l="1"/>
  <c r="C358" i="65"/>
  <c r="E358" i="65" s="1"/>
  <c r="F358" i="65" s="1"/>
  <c r="E239" i="57"/>
  <c r="F239" i="57" s="1"/>
  <c r="D199" i="63"/>
  <c r="C199" i="63" s="1"/>
  <c r="D359" i="65" l="1"/>
  <c r="C359" i="65" s="1"/>
  <c r="E359" i="65" s="1"/>
  <c r="F359" i="65" s="1"/>
  <c r="D240" i="57"/>
  <c r="E199" i="63"/>
  <c r="F199" i="63" s="1"/>
  <c r="C240" i="57" l="1"/>
  <c r="E240" i="57" s="1"/>
  <c r="F240" i="57" s="1"/>
  <c r="D360" i="65"/>
  <c r="C360" i="65" s="1"/>
  <c r="E360" i="65" s="1"/>
  <c r="F360" i="65" s="1"/>
  <c r="D200" i="63"/>
  <c r="C200" i="63" s="1"/>
  <c r="D241" i="57" l="1"/>
  <c r="C241" i="57"/>
  <c r="D361" i="65"/>
  <c r="C361" i="65" s="1"/>
  <c r="E361" i="65" s="1"/>
  <c r="F361" i="65" s="1"/>
  <c r="E241" i="57"/>
  <c r="F241" i="57" s="1"/>
  <c r="E200" i="63"/>
  <c r="F200" i="63" s="1"/>
  <c r="D362" i="65" l="1"/>
  <c r="C362" i="65" s="1"/>
  <c r="E362" i="65" s="1"/>
  <c r="F362" i="65" s="1"/>
  <c r="D242" i="57"/>
  <c r="C242" i="57" s="1"/>
  <c r="D201" i="63"/>
  <c r="C201" i="63" s="1"/>
  <c r="D363" i="65" l="1"/>
  <c r="C363" i="65" s="1"/>
  <c r="E363" i="65" s="1"/>
  <c r="F363" i="65" s="1"/>
  <c r="E242" i="57"/>
  <c r="F242" i="57" s="1"/>
  <c r="E201" i="63"/>
  <c r="F201" i="63" s="1"/>
  <c r="D364" i="65" l="1"/>
  <c r="C364" i="65" s="1"/>
  <c r="E364" i="65" s="1"/>
  <c r="F364" i="65" s="1"/>
  <c r="D243" i="57"/>
  <c r="C243" i="57" s="1"/>
  <c r="D202" i="63"/>
  <c r="C202" i="63" s="1"/>
  <c r="D365" i="65" l="1"/>
  <c r="C365" i="65"/>
  <c r="E243" i="57"/>
  <c r="F243" i="57" s="1"/>
  <c r="E202" i="63"/>
  <c r="F202" i="63" s="1"/>
  <c r="E365" i="65" l="1"/>
  <c r="F365" i="65" s="1"/>
  <c r="D244" i="57"/>
  <c r="C244" i="57" s="1"/>
  <c r="E244" i="57" s="1"/>
  <c r="F244" i="57" s="1"/>
  <c r="D366" i="65"/>
  <c r="C366" i="65" s="1"/>
  <c r="E366" i="65" s="1"/>
  <c r="F366" i="65" s="1"/>
  <c r="D203" i="63"/>
  <c r="C203" i="63" s="1"/>
  <c r="D367" i="65" l="1"/>
  <c r="C367" i="65" s="1"/>
  <c r="E367" i="65" s="1"/>
  <c r="F367" i="65" s="1"/>
  <c r="D245" i="57"/>
  <c r="C245" i="57"/>
  <c r="E203" i="63"/>
  <c r="F203" i="63" s="1"/>
  <c r="D368" i="65" l="1"/>
  <c r="C368" i="65" s="1"/>
  <c r="E368" i="65" s="1"/>
  <c r="F368" i="65" s="1"/>
  <c r="E245" i="57"/>
  <c r="F245" i="57" s="1"/>
  <c r="D204" i="63"/>
  <c r="C204" i="63" s="1"/>
  <c r="D369" i="65" l="1"/>
  <c r="C369" i="65" s="1"/>
  <c r="E369" i="65" s="1"/>
  <c r="F369" i="65" s="1"/>
  <c r="D246" i="57"/>
  <c r="E204" i="63"/>
  <c r="F204" i="63" s="1"/>
  <c r="C246" i="57" l="1"/>
  <c r="E246" i="57" s="1"/>
  <c r="F246" i="57" s="1"/>
  <c r="D370" i="65"/>
  <c r="C370" i="65" s="1"/>
  <c r="E370" i="65" s="1"/>
  <c r="F370" i="65" s="1"/>
  <c r="D205" i="63"/>
  <c r="C205" i="63" s="1"/>
  <c r="D247" i="57" l="1"/>
  <c r="C247" i="57"/>
  <c r="D371" i="65"/>
  <c r="C371" i="65" s="1"/>
  <c r="E371" i="65" s="1"/>
  <c r="F371" i="65" s="1"/>
  <c r="E247" i="57"/>
  <c r="F247" i="57" s="1"/>
  <c r="E205" i="63"/>
  <c r="F205" i="63" s="1"/>
  <c r="D372" i="65" l="1"/>
  <c r="C372" i="65" s="1"/>
  <c r="E372" i="65" s="1"/>
  <c r="F372" i="65" s="1"/>
  <c r="D248" i="57"/>
  <c r="D206" i="63"/>
  <c r="C206" i="63" s="1"/>
  <c r="C248" i="57" l="1"/>
  <c r="E248" i="57" s="1"/>
  <c r="F248" i="57" s="1"/>
  <c r="D373" i="65"/>
  <c r="C373" i="65" s="1"/>
  <c r="E373" i="65" s="1"/>
  <c r="F373" i="65" s="1"/>
  <c r="E206" i="63"/>
  <c r="F206" i="63" s="1"/>
  <c r="D249" i="57" l="1"/>
  <c r="C249" i="57"/>
  <c r="E249" i="57" s="1"/>
  <c r="F249" i="57" s="1"/>
  <c r="D374" i="65"/>
  <c r="C374" i="65" s="1"/>
  <c r="E374" i="65" s="1"/>
  <c r="F374" i="65" s="1"/>
  <c r="D207" i="63"/>
  <c r="C207" i="63" s="1"/>
  <c r="D375" i="65" l="1"/>
  <c r="C375" i="65" s="1"/>
  <c r="E375" i="65" s="1"/>
  <c r="F375" i="65" s="1"/>
  <c r="D250" i="57"/>
  <c r="E207" i="63"/>
  <c r="F207" i="63" s="1"/>
  <c r="C250" i="57" l="1"/>
  <c r="E250" i="57" s="1"/>
  <c r="F250" i="57" s="1"/>
  <c r="D376" i="65"/>
  <c r="C376" i="65" s="1"/>
  <c r="E376" i="65" s="1"/>
  <c r="F376" i="65" s="1"/>
  <c r="D208" i="63"/>
  <c r="C208" i="63" s="1"/>
  <c r="D251" i="57" l="1"/>
  <c r="C251" i="57"/>
  <c r="E251" i="57" s="1"/>
  <c r="F251" i="57" s="1"/>
  <c r="D377" i="65"/>
  <c r="C377" i="65" s="1"/>
  <c r="E377" i="65" s="1"/>
  <c r="F377" i="65" s="1"/>
  <c r="E208" i="63"/>
  <c r="F208" i="63" s="1"/>
  <c r="D378" i="65" l="1"/>
  <c r="C378" i="65" s="1"/>
  <c r="E378" i="65" s="1"/>
  <c r="F378" i="65" s="1"/>
  <c r="D252" i="57"/>
  <c r="D209" i="63"/>
  <c r="C209" i="63" s="1"/>
  <c r="C252" i="57" l="1"/>
  <c r="E252" i="57" s="1"/>
  <c r="F252" i="57" s="1"/>
  <c r="D379" i="65"/>
  <c r="C379" i="65" s="1"/>
  <c r="E379" i="65" s="1"/>
  <c r="F379" i="65" s="1"/>
  <c r="E209" i="63"/>
  <c r="F209" i="63" s="1"/>
  <c r="D253" i="57" l="1"/>
  <c r="C253" i="57"/>
  <c r="E253" i="57" s="1"/>
  <c r="F253" i="57" s="1"/>
  <c r="D380" i="65"/>
  <c r="C380" i="65"/>
  <c r="E380" i="65" s="1"/>
  <c r="F380" i="65" s="1"/>
  <c r="D210" i="63"/>
  <c r="C210" i="63" s="1"/>
  <c r="D381" i="65" l="1"/>
  <c r="C381" i="65" s="1"/>
  <c r="E381" i="65" s="1"/>
  <c r="F381" i="65" s="1"/>
  <c r="D254" i="57"/>
  <c r="E210" i="63"/>
  <c r="F210" i="63" s="1"/>
  <c r="C254" i="57" l="1"/>
  <c r="E254" i="57" s="1"/>
  <c r="F254" i="57" s="1"/>
  <c r="D382" i="65"/>
  <c r="C382" i="65"/>
  <c r="E382" i="65" s="1"/>
  <c r="F382" i="65" s="1"/>
  <c r="D211" i="63"/>
  <c r="C211" i="63" s="1"/>
  <c r="D255" i="57" l="1"/>
  <c r="C255" i="57" s="1"/>
  <c r="E255" i="57" s="1"/>
  <c r="F255" i="57" s="1"/>
  <c r="D383" i="65"/>
  <c r="C383" i="65" s="1"/>
  <c r="E383" i="65" s="1"/>
  <c r="F383" i="65" s="1"/>
  <c r="E211" i="63"/>
  <c r="F211" i="63" s="1"/>
  <c r="D384" i="65" l="1"/>
  <c r="C384" i="65" s="1"/>
  <c r="E384" i="65" s="1"/>
  <c r="F384" i="65" s="1"/>
  <c r="D256" i="57"/>
  <c r="C256" i="57" s="1"/>
  <c r="D212" i="63"/>
  <c r="C212" i="63" s="1"/>
  <c r="D385" i="65" l="1"/>
  <c r="C385" i="65" s="1"/>
  <c r="E385" i="65" s="1"/>
  <c r="F385" i="65" s="1"/>
  <c r="E256" i="57"/>
  <c r="F256" i="57" s="1"/>
  <c r="E212" i="63"/>
  <c r="F212" i="63" s="1"/>
  <c r="D386" i="65" l="1"/>
  <c r="C386" i="65" s="1"/>
  <c r="E386" i="65" s="1"/>
  <c r="F386" i="65" s="1"/>
  <c r="D257" i="57"/>
  <c r="C257" i="57" s="1"/>
  <c r="D213" i="63"/>
  <c r="C213" i="63" s="1"/>
  <c r="D387" i="65" l="1"/>
  <c r="C387" i="65" s="1"/>
  <c r="E387" i="65" s="1"/>
  <c r="F387" i="65" s="1"/>
  <c r="E257" i="57"/>
  <c r="F257" i="57" s="1"/>
  <c r="E213" i="63"/>
  <c r="F213" i="63" s="1"/>
  <c r="D388" i="65" l="1"/>
  <c r="C388" i="65" s="1"/>
  <c r="E388" i="65" s="1"/>
  <c r="F388" i="65" s="1"/>
  <c r="D258" i="57"/>
  <c r="C258" i="57" s="1"/>
  <c r="D214" i="63"/>
  <c r="C214" i="63" s="1"/>
  <c r="D389" i="65" l="1"/>
  <c r="C389" i="65" s="1"/>
  <c r="E389" i="65" s="1"/>
  <c r="F389" i="65" s="1"/>
  <c r="E258" i="57"/>
  <c r="F258" i="57" s="1"/>
  <c r="E214" i="63"/>
  <c r="F214" i="63" s="1"/>
  <c r="D390" i="65" l="1"/>
  <c r="C390" i="65"/>
  <c r="E390" i="65" s="1"/>
  <c r="F390" i="65" s="1"/>
  <c r="D259" i="57"/>
  <c r="C259" i="57" s="1"/>
  <c r="D215" i="63"/>
  <c r="C215" i="63" s="1"/>
  <c r="D391" i="65" l="1"/>
  <c r="C391" i="65" s="1"/>
  <c r="E391" i="65" s="1"/>
  <c r="F391" i="65" s="1"/>
  <c r="E259" i="57"/>
  <c r="F259" i="57" s="1"/>
  <c r="E215" i="63"/>
  <c r="F215" i="63" s="1"/>
  <c r="D392" i="65" l="1"/>
  <c r="C392" i="65"/>
  <c r="E392" i="65" s="1"/>
  <c r="F392" i="65" s="1"/>
  <c r="D260" i="57"/>
  <c r="C260" i="57" s="1"/>
  <c r="D216" i="63"/>
  <c r="C216" i="63" s="1"/>
  <c r="D393" i="65" l="1"/>
  <c r="C393" i="65" s="1"/>
  <c r="E393" i="65" s="1"/>
  <c r="F393" i="65" s="1"/>
  <c r="E260" i="57"/>
  <c r="F260" i="57" s="1"/>
  <c r="E216" i="63"/>
  <c r="F216" i="63" s="1"/>
  <c r="D394" i="65" l="1"/>
  <c r="C394" i="65"/>
  <c r="E394" i="65" s="1"/>
  <c r="F394" i="65" s="1"/>
  <c r="D261" i="57"/>
  <c r="C261" i="57" s="1"/>
  <c r="D217" i="63"/>
  <c r="C217" i="63" s="1"/>
  <c r="D395" i="65" l="1"/>
  <c r="C395" i="65" s="1"/>
  <c r="E395" i="65" s="1"/>
  <c r="F395" i="65" s="1"/>
  <c r="E261" i="57"/>
  <c r="F261" i="57" s="1"/>
  <c r="E217" i="63"/>
  <c r="F217" i="63" s="1"/>
  <c r="D396" i="65" l="1"/>
  <c r="C396" i="65" s="1"/>
  <c r="E396" i="65" s="1"/>
  <c r="F396" i="65" s="1"/>
  <c r="D262" i="57"/>
  <c r="C262" i="57" s="1"/>
  <c r="D218" i="63"/>
  <c r="C218" i="63" s="1"/>
  <c r="D397" i="65" l="1"/>
  <c r="C397" i="65"/>
  <c r="E397" i="65" s="1"/>
  <c r="F397" i="65" s="1"/>
  <c r="E262" i="57"/>
  <c r="F262" i="57" s="1"/>
  <c r="E218" i="63"/>
  <c r="F218" i="63" s="1"/>
  <c r="D219" i="63" s="1"/>
  <c r="D398" i="65" l="1"/>
  <c r="C398" i="65" s="1"/>
  <c r="E398" i="65" s="1"/>
  <c r="F398" i="65" s="1"/>
  <c r="C219" i="63"/>
  <c r="E219" i="63" s="1"/>
  <c r="F219" i="63" s="1"/>
  <c r="D263" i="57"/>
  <c r="C263" i="57" s="1"/>
  <c r="D399" i="65" l="1"/>
  <c r="C399" i="65"/>
  <c r="E399" i="65" s="1"/>
  <c r="F399" i="65" s="1"/>
  <c r="E263" i="57"/>
  <c r="F263" i="57" s="1"/>
  <c r="D220" i="63"/>
  <c r="C220" i="63" s="1"/>
  <c r="D400" i="65" l="1"/>
  <c r="C400" i="65"/>
  <c r="E400" i="65" s="1"/>
  <c r="F400" i="65" s="1"/>
  <c r="D264" i="57"/>
  <c r="C264" i="57" s="1"/>
  <c r="E220" i="63"/>
  <c r="F220" i="63" s="1"/>
  <c r="D401" i="65" l="1"/>
  <c r="C401" i="65"/>
  <c r="E401" i="65" s="1"/>
  <c r="F401" i="65" s="1"/>
  <c r="E264" i="57"/>
  <c r="F264" i="57" s="1"/>
  <c r="D221" i="63"/>
  <c r="C221" i="63" s="1"/>
  <c r="D402" i="65" l="1"/>
  <c r="C402" i="65" s="1"/>
  <c r="E402" i="65" s="1"/>
  <c r="F402" i="65" s="1"/>
  <c r="D265" i="57"/>
  <c r="C265" i="57" s="1"/>
  <c r="E221" i="63"/>
  <c r="F221" i="63" s="1"/>
  <c r="D403" i="65" l="1"/>
  <c r="C403" i="65"/>
  <c r="E403" i="65" s="1"/>
  <c r="F403" i="65" s="1"/>
  <c r="E265" i="57"/>
  <c r="F265" i="57" s="1"/>
  <c r="D222" i="63"/>
  <c r="C222" i="63" s="1"/>
  <c r="D404" i="65" l="1"/>
  <c r="C404" i="65" s="1"/>
  <c r="E404" i="65" s="1"/>
  <c r="F404" i="65" s="1"/>
  <c r="D266" i="57"/>
  <c r="C266" i="57" s="1"/>
  <c r="E222" i="63"/>
  <c r="F222" i="63" s="1"/>
  <c r="D405" i="65" l="1"/>
  <c r="C405" i="65"/>
  <c r="E405" i="65" s="1"/>
  <c r="F405" i="65" s="1"/>
  <c r="E266" i="57"/>
  <c r="F266" i="57" s="1"/>
  <c r="D223" i="63"/>
  <c r="C223" i="63" s="1"/>
  <c r="D406" i="65" l="1"/>
  <c r="C406" i="65" s="1"/>
  <c r="E406" i="65" s="1"/>
  <c r="F406" i="65" s="1"/>
  <c r="D267" i="57"/>
  <c r="C267" i="57" s="1"/>
  <c r="E223" i="63"/>
  <c r="F223" i="63" s="1"/>
  <c r="D407" i="65" l="1"/>
  <c r="C407" i="65"/>
  <c r="E407" i="65" s="1"/>
  <c r="F407" i="65" s="1"/>
  <c r="E267" i="57"/>
  <c r="F267" i="57" s="1"/>
  <c r="D224" i="63"/>
  <c r="C224" i="63" s="1"/>
  <c r="D408" i="65" l="1"/>
  <c r="C408" i="65" s="1"/>
  <c r="E408" i="65" s="1"/>
  <c r="F408" i="65" s="1"/>
  <c r="D268" i="57"/>
  <c r="C268" i="57" s="1"/>
  <c r="E224" i="63"/>
  <c r="F224" i="63" s="1"/>
  <c r="D409" i="65" l="1"/>
  <c r="C409" i="65"/>
  <c r="E409" i="65" s="1"/>
  <c r="F409" i="65" s="1"/>
  <c r="E268" i="57"/>
  <c r="F268" i="57" s="1"/>
  <c r="D225" i="63"/>
  <c r="C225" i="63" s="1"/>
  <c r="D410" i="65" l="1"/>
  <c r="C410" i="65" s="1"/>
  <c r="E410" i="65" s="1"/>
  <c r="F410" i="65" s="1"/>
  <c r="D269" i="57"/>
  <c r="C269" i="57" s="1"/>
  <c r="E225" i="63"/>
  <c r="F225" i="63" s="1"/>
  <c r="D411" i="65" l="1"/>
  <c r="C411" i="65" s="1"/>
  <c r="E411" i="65" s="1"/>
  <c r="F411" i="65" s="1"/>
  <c r="E269" i="57"/>
  <c r="F269" i="57" s="1"/>
  <c r="D226" i="63"/>
  <c r="C226" i="63" s="1"/>
  <c r="D412" i="65" l="1"/>
  <c r="C412" i="65"/>
  <c r="E412" i="65" s="1"/>
  <c r="F412" i="65" s="1"/>
  <c r="D270" i="57"/>
  <c r="C270" i="57" s="1"/>
  <c r="E226" i="63"/>
  <c r="F226" i="63" s="1"/>
  <c r="D413" i="65" l="1"/>
  <c r="C413" i="65" s="1"/>
  <c r="E413" i="65" s="1"/>
  <c r="F413" i="65" s="1"/>
  <c r="E270" i="57"/>
  <c r="F270" i="57" s="1"/>
  <c r="D227" i="63"/>
  <c r="C227" i="63" s="1"/>
  <c r="D414" i="65" l="1"/>
  <c r="C414" i="65"/>
  <c r="E414" i="65" s="1"/>
  <c r="F414" i="65" s="1"/>
  <c r="D271" i="57"/>
  <c r="C271" i="57" s="1"/>
  <c r="E227" i="63"/>
  <c r="F227" i="63" s="1"/>
  <c r="D415" i="65" l="1"/>
  <c r="C415" i="65"/>
  <c r="E415" i="65" s="1"/>
  <c r="F415" i="65" s="1"/>
  <c r="E271" i="57"/>
  <c r="F271" i="57" s="1"/>
  <c r="D228" i="63"/>
  <c r="C228" i="63" s="1"/>
  <c r="D416" i="65" l="1"/>
  <c r="C416" i="65"/>
  <c r="E416" i="65" s="1"/>
  <c r="F416" i="65" s="1"/>
  <c r="D272" i="57"/>
  <c r="C272" i="57" s="1"/>
  <c r="E228" i="63"/>
  <c r="F228" i="63" s="1"/>
  <c r="D417" i="65" l="1"/>
  <c r="C417" i="65" s="1"/>
  <c r="E417" i="65" s="1"/>
  <c r="F417" i="65" s="1"/>
  <c r="E272" i="57"/>
  <c r="F272" i="57" s="1"/>
  <c r="D229" i="63"/>
  <c r="C229" i="63" s="1"/>
  <c r="D418" i="65" l="1"/>
  <c r="C418" i="65"/>
  <c r="E418" i="65" s="1"/>
  <c r="F418" i="65" s="1"/>
  <c r="D273" i="57"/>
  <c r="C273" i="57" s="1"/>
  <c r="E229" i="63"/>
  <c r="F229" i="63" s="1"/>
  <c r="D419" i="65" l="1"/>
  <c r="C419" i="65"/>
  <c r="E419" i="65" s="1"/>
  <c r="F419" i="65" s="1"/>
  <c r="E273" i="57"/>
  <c r="F273" i="57" s="1"/>
  <c r="D230" i="63"/>
  <c r="C230" i="63" s="1"/>
  <c r="D420" i="65" l="1"/>
  <c r="C420" i="65" s="1"/>
  <c r="E420" i="65" s="1"/>
  <c r="F420" i="65" s="1"/>
  <c r="D274" i="57"/>
  <c r="C274" i="57" s="1"/>
  <c r="E230" i="63"/>
  <c r="F230" i="63" s="1"/>
  <c r="D421" i="65" l="1"/>
  <c r="C421" i="65" s="1"/>
  <c r="E421" i="65" s="1"/>
  <c r="F421" i="65" s="1"/>
  <c r="E274" i="57"/>
  <c r="F274" i="57" s="1"/>
  <c r="D231" i="63"/>
  <c r="C231" i="63" s="1"/>
  <c r="D422" i="65" l="1"/>
  <c r="C422" i="65"/>
  <c r="E422" i="65" s="1"/>
  <c r="F422" i="65" s="1"/>
  <c r="D275" i="57"/>
  <c r="C275" i="57" s="1"/>
  <c r="E231" i="63"/>
  <c r="F231" i="63" s="1"/>
  <c r="D423" i="65" l="1"/>
  <c r="C423" i="65"/>
  <c r="E423" i="65" s="1"/>
  <c r="F423" i="65" s="1"/>
  <c r="E275" i="57"/>
  <c r="F275" i="57" s="1"/>
  <c r="D232" i="63"/>
  <c r="C232" i="63" s="1"/>
  <c r="D424" i="65" l="1"/>
  <c r="C424" i="65"/>
  <c r="D276" i="57"/>
  <c r="C276" i="57" s="1"/>
  <c r="E232" i="63"/>
  <c r="F232" i="63" s="1"/>
  <c r="E424" i="65" l="1"/>
  <c r="F424" i="65" s="1"/>
  <c r="D425" i="65"/>
  <c r="C425" i="65" s="1"/>
  <c r="E276" i="57"/>
  <c r="F276" i="57" s="1"/>
  <c r="D233" i="63"/>
  <c r="C233" i="63" s="1"/>
  <c r="E425" i="65" l="1"/>
  <c r="F425" i="65" s="1"/>
  <c r="D426" i="65"/>
  <c r="C426" i="65" s="1"/>
  <c r="E426" i="65" s="1"/>
  <c r="F426" i="65" s="1"/>
  <c r="D277" i="57"/>
  <c r="C277" i="57" s="1"/>
  <c r="E233" i="63"/>
  <c r="F233" i="63" s="1"/>
  <c r="D427" i="65" l="1"/>
  <c r="C427" i="65" s="1"/>
  <c r="E427" i="65" s="1"/>
  <c r="F427" i="65" s="1"/>
  <c r="E277" i="57"/>
  <c r="F277" i="57" s="1"/>
  <c r="D234" i="63"/>
  <c r="C234" i="63" s="1"/>
  <c r="D428" i="65" l="1"/>
  <c r="C428" i="65"/>
  <c r="E428" i="65" s="1"/>
  <c r="F428" i="65" s="1"/>
  <c r="D278" i="57"/>
  <c r="C278" i="57" s="1"/>
  <c r="E234" i="63"/>
  <c r="F234" i="63" s="1"/>
  <c r="D429" i="65" l="1"/>
  <c r="C429" i="65" s="1"/>
  <c r="E429" i="65" s="1"/>
  <c r="F429" i="65" s="1"/>
  <c r="E278" i="57"/>
  <c r="F278" i="57" s="1"/>
  <c r="D235" i="63"/>
  <c r="C235" i="63" s="1"/>
  <c r="D430" i="65" l="1"/>
  <c r="C430" i="65"/>
  <c r="E430" i="65" s="1"/>
  <c r="F430" i="65" s="1"/>
  <c r="D279" i="57"/>
  <c r="C279" i="57" s="1"/>
  <c r="E235" i="63"/>
  <c r="F235" i="63" s="1"/>
  <c r="D236" i="63" s="1"/>
  <c r="D431" i="65" l="1"/>
  <c r="C431" i="65" s="1"/>
  <c r="E431" i="65" s="1"/>
  <c r="F431" i="65" s="1"/>
  <c r="C236" i="63"/>
  <c r="E236" i="63" s="1"/>
  <c r="F236" i="63" s="1"/>
  <c r="E279" i="57"/>
  <c r="F279" i="57" s="1"/>
  <c r="D432" i="65" l="1"/>
  <c r="C432" i="65" s="1"/>
  <c r="E432" i="65" s="1"/>
  <c r="F432" i="65" s="1"/>
  <c r="D280" i="57"/>
  <c r="C280" i="57" s="1"/>
  <c r="D237" i="63"/>
  <c r="C237" i="63" s="1"/>
  <c r="D433" i="65" l="1"/>
  <c r="C433" i="65"/>
  <c r="E433" i="65" s="1"/>
  <c r="F433" i="65" s="1"/>
  <c r="E280" i="57"/>
  <c r="F280" i="57" s="1"/>
  <c r="E237" i="63"/>
  <c r="F237" i="63" s="1"/>
  <c r="D434" i="65" l="1"/>
  <c r="C434" i="65" s="1"/>
  <c r="E434" i="65" s="1"/>
  <c r="F434" i="65" s="1"/>
  <c r="D281" i="57"/>
  <c r="C281" i="57" s="1"/>
  <c r="D238" i="63"/>
  <c r="C238" i="63" s="1"/>
  <c r="D435" i="65" l="1"/>
  <c r="C435" i="65" s="1"/>
  <c r="E435" i="65" s="1"/>
  <c r="F435" i="65" s="1"/>
  <c r="E281" i="57"/>
  <c r="F281" i="57" s="1"/>
  <c r="E238" i="63"/>
  <c r="F238" i="63" s="1"/>
  <c r="D436" i="65" l="1"/>
  <c r="C436" i="65" s="1"/>
  <c r="E436" i="65" s="1"/>
  <c r="F436" i="65" s="1"/>
  <c r="D282" i="57"/>
  <c r="C282" i="57" s="1"/>
  <c r="D239" i="63"/>
  <c r="C239" i="63" s="1"/>
  <c r="D437" i="65" l="1"/>
  <c r="C437" i="65"/>
  <c r="E437" i="65" s="1"/>
  <c r="F437" i="65" s="1"/>
  <c r="E282" i="57"/>
  <c r="F282" i="57" s="1"/>
  <c r="E239" i="63"/>
  <c r="F239" i="63" s="1"/>
  <c r="D438" i="65" l="1"/>
  <c r="C438" i="65"/>
  <c r="E438" i="65" s="1"/>
  <c r="F438" i="65" s="1"/>
  <c r="D283" i="57"/>
  <c r="C283" i="57" s="1"/>
  <c r="D240" i="63"/>
  <c r="C240" i="63" s="1"/>
  <c r="D439" i="65" l="1"/>
  <c r="C439" i="65"/>
  <c r="E439" i="65" s="1"/>
  <c r="F439" i="65" s="1"/>
  <c r="E283" i="57"/>
  <c r="F283" i="57" s="1"/>
  <c r="E240" i="63"/>
  <c r="F240" i="63" s="1"/>
  <c r="D440" i="65" l="1"/>
  <c r="C440" i="65"/>
  <c r="E440" i="65" s="1"/>
  <c r="F440" i="65" s="1"/>
  <c r="D284" i="57"/>
  <c r="C284" i="57" s="1"/>
  <c r="D241" i="63"/>
  <c r="C241" i="63" s="1"/>
  <c r="D441" i="65" l="1"/>
  <c r="C441" i="65"/>
  <c r="E441" i="65" s="1"/>
  <c r="F441" i="65" s="1"/>
  <c r="E284" i="57"/>
  <c r="F284" i="57" s="1"/>
  <c r="E241" i="63"/>
  <c r="F241" i="63" s="1"/>
  <c r="D442" i="65" l="1"/>
  <c r="C442" i="65"/>
  <c r="E442" i="65" s="1"/>
  <c r="F442" i="65" s="1"/>
  <c r="D285" i="57"/>
  <c r="C285" i="57" s="1"/>
  <c r="D242" i="63"/>
  <c r="C242" i="63" s="1"/>
  <c r="D443" i="65" l="1"/>
  <c r="C443" i="65"/>
  <c r="E443" i="65" s="1"/>
  <c r="F443" i="65" s="1"/>
  <c r="E285" i="57"/>
  <c r="F285" i="57" s="1"/>
  <c r="E242" i="63"/>
  <c r="F242" i="63" s="1"/>
  <c r="D444" i="65" l="1"/>
  <c r="C444" i="65" s="1"/>
  <c r="E444" i="65" s="1"/>
  <c r="F444" i="65" s="1"/>
  <c r="D286" i="57"/>
  <c r="C286" i="57" s="1"/>
  <c r="D243" i="63"/>
  <c r="C243" i="63" s="1"/>
  <c r="D445" i="65" l="1"/>
  <c r="C445" i="65" s="1"/>
  <c r="E445" i="65" s="1"/>
  <c r="F445" i="65" s="1"/>
  <c r="E286" i="57"/>
  <c r="F286" i="57" s="1"/>
  <c r="E243" i="63"/>
  <c r="F243" i="63" s="1"/>
  <c r="D446" i="65" l="1"/>
  <c r="C446" i="65"/>
  <c r="E446" i="65" s="1"/>
  <c r="F446" i="65" s="1"/>
  <c r="D287" i="57"/>
  <c r="C287" i="57" s="1"/>
  <c r="D244" i="63"/>
  <c r="C244" i="63" s="1"/>
  <c r="D447" i="65" l="1"/>
  <c r="C447" i="65"/>
  <c r="E447" i="65" s="1"/>
  <c r="F447" i="65" s="1"/>
  <c r="E287" i="57"/>
  <c r="F287" i="57" s="1"/>
  <c r="E244" i="63"/>
  <c r="F244" i="63" s="1"/>
  <c r="D448" i="65" l="1"/>
  <c r="C448" i="65" s="1"/>
  <c r="E448" i="65" s="1"/>
  <c r="F448" i="65" s="1"/>
  <c r="D288" i="57"/>
  <c r="C288" i="57" s="1"/>
  <c r="D245" i="63"/>
  <c r="C245" i="63" s="1"/>
  <c r="D449" i="65" l="1"/>
  <c r="C449" i="65" s="1"/>
  <c r="E449" i="65" s="1"/>
  <c r="F449" i="65" s="1"/>
  <c r="E288" i="57"/>
  <c r="F288" i="57" s="1"/>
  <c r="E245" i="63"/>
  <c r="F245" i="63" s="1"/>
  <c r="D450" i="65" l="1"/>
  <c r="C450" i="65" s="1"/>
  <c r="E450" i="65" s="1"/>
  <c r="F450" i="65" s="1"/>
  <c r="D289" i="57"/>
  <c r="C289" i="57" s="1"/>
  <c r="D246" i="63"/>
  <c r="C246" i="63" s="1"/>
  <c r="D451" i="65" l="1"/>
  <c r="C451" i="65" s="1"/>
  <c r="E451" i="65" s="1"/>
  <c r="F451" i="65" s="1"/>
  <c r="E289" i="57"/>
  <c r="F289" i="57" s="1"/>
  <c r="E246" i="63"/>
  <c r="F246" i="63" s="1"/>
  <c r="D452" i="65" l="1"/>
  <c r="C452" i="65" s="1"/>
  <c r="E452" i="65" s="1"/>
  <c r="F452" i="65" s="1"/>
  <c r="D290" i="57"/>
  <c r="C290" i="57" s="1"/>
  <c r="D247" i="63"/>
  <c r="C247" i="63" s="1"/>
  <c r="D453" i="65" l="1"/>
  <c r="C453" i="65" s="1"/>
  <c r="E453" i="65" s="1"/>
  <c r="F453" i="65" s="1"/>
  <c r="E290" i="57"/>
  <c r="F290" i="57" s="1"/>
  <c r="E247" i="63"/>
  <c r="F247" i="63" s="1"/>
  <c r="D454" i="65" l="1"/>
  <c r="C454" i="65" s="1"/>
  <c r="E454" i="65" s="1"/>
  <c r="F454" i="65" s="1"/>
  <c r="D291" i="57"/>
  <c r="C291" i="57" s="1"/>
  <c r="D248" i="63"/>
  <c r="C248" i="63" s="1"/>
  <c r="D455" i="65" l="1"/>
  <c r="C455" i="65" s="1"/>
  <c r="E455" i="65" s="1"/>
  <c r="F455" i="65" s="1"/>
  <c r="E291" i="57"/>
  <c r="F291" i="57" s="1"/>
  <c r="E248" i="63"/>
  <c r="F248" i="63" s="1"/>
  <c r="D456" i="65" l="1"/>
  <c r="C456" i="65" s="1"/>
  <c r="E456" i="65" s="1"/>
  <c r="F456" i="65" s="1"/>
  <c r="D292" i="57"/>
  <c r="C292" i="57" s="1"/>
  <c r="D249" i="63"/>
  <c r="C249" i="63" s="1"/>
  <c r="D457" i="65" l="1"/>
  <c r="C457" i="65" s="1"/>
  <c r="E457" i="65" s="1"/>
  <c r="F457" i="65" s="1"/>
  <c r="E292" i="57"/>
  <c r="F292" i="57" s="1"/>
  <c r="E249" i="63"/>
  <c r="F249" i="63" s="1"/>
  <c r="D458" i="65" l="1"/>
  <c r="C458" i="65" s="1"/>
  <c r="E458" i="65" s="1"/>
  <c r="F458" i="65" s="1"/>
  <c r="D293" i="57"/>
  <c r="C293" i="57" s="1"/>
  <c r="D250" i="63"/>
  <c r="C250" i="63" s="1"/>
  <c r="D459" i="65" l="1"/>
  <c r="C459" i="65" s="1"/>
  <c r="E459" i="65" s="1"/>
  <c r="F459" i="65" s="1"/>
  <c r="E293" i="57"/>
  <c r="F293" i="57" s="1"/>
  <c r="E250" i="63"/>
  <c r="F250" i="63" s="1"/>
  <c r="D460" i="65" l="1"/>
  <c r="C460" i="65" s="1"/>
  <c r="E460" i="65" s="1"/>
  <c r="F460" i="65" s="1"/>
  <c r="D294" i="57"/>
  <c r="C294" i="57" s="1"/>
  <c r="D251" i="63"/>
  <c r="C251" i="63" s="1"/>
  <c r="D461" i="65" l="1"/>
  <c r="C461" i="65" s="1"/>
  <c r="E461" i="65" s="1"/>
  <c r="F461" i="65" s="1"/>
  <c r="E294" i="57"/>
  <c r="F294" i="57" s="1"/>
  <c r="E251" i="63"/>
  <c r="F251" i="63" s="1"/>
  <c r="D462" i="65" l="1"/>
  <c r="C462" i="65" s="1"/>
  <c r="E462" i="65" s="1"/>
  <c r="F462" i="65" s="1"/>
  <c r="D295" i="57"/>
  <c r="C295" i="57" s="1"/>
  <c r="D252" i="63"/>
  <c r="C252" i="63" s="1"/>
  <c r="D463" i="65" l="1"/>
  <c r="C463" i="65" s="1"/>
  <c r="E463" i="65" s="1"/>
  <c r="F463" i="65" s="1"/>
  <c r="E295" i="57"/>
  <c r="F295" i="57" s="1"/>
  <c r="E252" i="63"/>
  <c r="F252" i="63" s="1"/>
  <c r="D464" i="65" l="1"/>
  <c r="C464" i="65" s="1"/>
  <c r="E464" i="65" s="1"/>
  <c r="F464" i="65" s="1"/>
  <c r="D296" i="57"/>
  <c r="C296" i="57" s="1"/>
  <c r="D253" i="63"/>
  <c r="C253" i="63" s="1"/>
  <c r="D465" i="65" l="1"/>
  <c r="C465" i="65" s="1"/>
  <c r="E465" i="65" s="1"/>
  <c r="F465" i="65" s="1"/>
  <c r="E296" i="57"/>
  <c r="F296" i="57" s="1"/>
  <c r="E253" i="63"/>
  <c r="F253" i="63" s="1"/>
  <c r="D466" i="65" l="1"/>
  <c r="C466" i="65" s="1"/>
  <c r="E466" i="65" s="1"/>
  <c r="F466" i="65" s="1"/>
  <c r="D297" i="57"/>
  <c r="C297" i="57" s="1"/>
  <c r="D254" i="63"/>
  <c r="C254" i="63" s="1"/>
  <c r="D467" i="65" l="1"/>
  <c r="C467" i="65" s="1"/>
  <c r="E467" i="65" s="1"/>
  <c r="F467" i="65" s="1"/>
  <c r="E297" i="57"/>
  <c r="F297" i="57" s="1"/>
  <c r="E254" i="63"/>
  <c r="F254" i="63" s="1"/>
  <c r="D468" i="65" l="1"/>
  <c r="C468" i="65" s="1"/>
  <c r="E468" i="65" s="1"/>
  <c r="F468" i="65" s="1"/>
  <c r="D298" i="57"/>
  <c r="C298" i="57" s="1"/>
  <c r="D255" i="63"/>
  <c r="C255" i="63" s="1"/>
  <c r="D469" i="65" l="1"/>
  <c r="C469" i="65" s="1"/>
  <c r="E469" i="65" s="1"/>
  <c r="F469" i="65" s="1"/>
  <c r="E298" i="57"/>
  <c r="F298" i="57" s="1"/>
  <c r="E255" i="63"/>
  <c r="F255" i="63" s="1"/>
  <c r="D470" i="65" l="1"/>
  <c r="C470" i="65" s="1"/>
  <c r="E470" i="65" s="1"/>
  <c r="F470" i="65" s="1"/>
  <c r="D299" i="57"/>
  <c r="C299" i="57" s="1"/>
  <c r="D256" i="63"/>
  <c r="C256" i="63" s="1"/>
  <c r="D471" i="65" l="1"/>
  <c r="C471" i="65" s="1"/>
  <c r="E471" i="65" s="1"/>
  <c r="F471" i="65" s="1"/>
  <c r="E299" i="57"/>
  <c r="F299" i="57" s="1"/>
  <c r="E256" i="63"/>
  <c r="F256" i="63" s="1"/>
  <c r="D472" i="65" l="1"/>
  <c r="C472" i="65" s="1"/>
  <c r="E472" i="65" s="1"/>
  <c r="F472" i="65" s="1"/>
  <c r="D300" i="57"/>
  <c r="C300" i="57" s="1"/>
  <c r="D257" i="63"/>
  <c r="C257" i="63" s="1"/>
  <c r="D473" i="65" l="1"/>
  <c r="C473" i="65" s="1"/>
  <c r="E473" i="65" s="1"/>
  <c r="F473" i="65" s="1"/>
  <c r="E300" i="57"/>
  <c r="F300" i="57" s="1"/>
  <c r="E257" i="63"/>
  <c r="F257" i="63" s="1"/>
  <c r="D474" i="65" l="1"/>
  <c r="C474" i="65" s="1"/>
  <c r="E474" i="65" s="1"/>
  <c r="F474" i="65" s="1"/>
  <c r="D301" i="57"/>
  <c r="C301" i="57" s="1"/>
  <c r="D258" i="63"/>
  <c r="C258" i="63" s="1"/>
  <c r="D475" i="65" l="1"/>
  <c r="C475" i="65" s="1"/>
  <c r="E475" i="65" s="1"/>
  <c r="F475" i="65" s="1"/>
  <c r="E301" i="57"/>
  <c r="F301" i="57" s="1"/>
  <c r="E258" i="63"/>
  <c r="F258" i="63" s="1"/>
  <c r="D476" i="65" l="1"/>
  <c r="C476" i="65" s="1"/>
  <c r="E476" i="65" s="1"/>
  <c r="F476" i="65" s="1"/>
  <c r="D302" i="57"/>
  <c r="C302" i="57" s="1"/>
  <c r="D259" i="63"/>
  <c r="C259" i="63" s="1"/>
  <c r="D477" i="65" l="1"/>
  <c r="C477" i="65" s="1"/>
  <c r="E477" i="65" s="1"/>
  <c r="F477" i="65" s="1"/>
  <c r="E259" i="63"/>
  <c r="F259" i="63" s="1"/>
  <c r="E302" i="57"/>
  <c r="F302" i="57" s="1"/>
  <c r="D260" i="63" l="1"/>
  <c r="C260" i="63" s="1"/>
  <c r="E260" i="63" s="1"/>
  <c r="F260" i="63" s="1"/>
  <c r="D261" i="63" s="1"/>
  <c r="C261" i="63" s="1"/>
  <c r="D478" i="65"/>
  <c r="C478" i="65" s="1"/>
  <c r="E478" i="65" s="1"/>
  <c r="F478" i="65" s="1"/>
  <c r="D303" i="57"/>
  <c r="C303" i="57" s="1"/>
  <c r="D479" i="65" l="1"/>
  <c r="C479" i="65" s="1"/>
  <c r="E479" i="65" s="1"/>
  <c r="F479" i="65" s="1"/>
  <c r="E261" i="63"/>
  <c r="F261" i="63" s="1"/>
  <c r="D262" i="63" s="1"/>
  <c r="C262" i="63" s="1"/>
  <c r="E303" i="57"/>
  <c r="F303" i="57" s="1"/>
  <c r="D480" i="65" l="1"/>
  <c r="C480" i="65" s="1"/>
  <c r="E480" i="65" s="1"/>
  <c r="F480" i="65" s="1"/>
  <c r="E262" i="63"/>
  <c r="F262" i="63" s="1"/>
  <c r="D263" i="63" s="1"/>
  <c r="C263" i="63" s="1"/>
  <c r="D304" i="57"/>
  <c r="C304" i="57" s="1"/>
  <c r="D481" i="65" l="1"/>
  <c r="C481" i="65" s="1"/>
  <c r="E481" i="65" s="1"/>
  <c r="F481" i="65" s="1"/>
  <c r="E304" i="57"/>
  <c r="F304" i="57" s="1"/>
  <c r="E263" i="63"/>
  <c r="F263" i="63" s="1"/>
  <c r="D482" i="65" l="1"/>
  <c r="C482" i="65" s="1"/>
  <c r="E482" i="65" s="1"/>
  <c r="F482" i="65" s="1"/>
  <c r="D305" i="57"/>
  <c r="D264" i="63"/>
  <c r="C264" i="63" s="1"/>
  <c r="E264" i="63" s="1"/>
  <c r="F264" i="63" s="1"/>
  <c r="D265" i="63" s="1"/>
  <c r="C305" i="57" l="1"/>
  <c r="E305" i="57" s="1"/>
  <c r="F305" i="57" s="1"/>
  <c r="D483" i="65"/>
  <c r="C483" i="65" s="1"/>
  <c r="E483" i="65" s="1"/>
  <c r="F483" i="65" s="1"/>
  <c r="C265" i="63"/>
  <c r="E265" i="63" s="1"/>
  <c r="F265" i="63" s="1"/>
  <c r="D266" i="63" s="1"/>
  <c r="C266" i="63" s="1"/>
  <c r="D306" i="57" l="1"/>
  <c r="C306" i="57" s="1"/>
  <c r="E306" i="57" s="1"/>
  <c r="F306" i="57" s="1"/>
  <c r="D484" i="65"/>
  <c r="C484" i="65" s="1"/>
  <c r="E484" i="65" s="1"/>
  <c r="F484" i="65" s="1"/>
  <c r="E266" i="63"/>
  <c r="F266" i="63" s="1"/>
  <c r="D267" i="63" s="1"/>
  <c r="C267" i="63" s="1"/>
  <c r="D485" i="65" l="1"/>
  <c r="C485" i="65" s="1"/>
  <c r="E485" i="65" s="1"/>
  <c r="F485" i="65" s="1"/>
  <c r="E267" i="63"/>
  <c r="F267" i="63" s="1"/>
  <c r="D268" i="63" s="1"/>
  <c r="C268" i="63" s="1"/>
  <c r="D307" i="57"/>
  <c r="C307" i="57" s="1"/>
  <c r="D486" i="65" l="1"/>
  <c r="C486" i="65" s="1"/>
  <c r="E486" i="65" s="1"/>
  <c r="F486" i="65" s="1"/>
  <c r="E268" i="63"/>
  <c r="F268" i="63" s="1"/>
  <c r="D269" i="63" s="1"/>
  <c r="C269" i="63" s="1"/>
  <c r="E307" i="57"/>
  <c r="F307" i="57" s="1"/>
  <c r="D487" i="65" l="1"/>
  <c r="C487" i="65" s="1"/>
  <c r="E487" i="65" s="1"/>
  <c r="F487" i="65" s="1"/>
  <c r="E269" i="63"/>
  <c r="F269" i="63" s="1"/>
  <c r="D270" i="63" s="1"/>
  <c r="C270" i="63" s="1"/>
  <c r="D308" i="57"/>
  <c r="C308" i="57" s="1"/>
  <c r="D488" i="65" l="1"/>
  <c r="C488" i="65" s="1"/>
  <c r="E488" i="65" s="1"/>
  <c r="F488" i="65" s="1"/>
  <c r="E270" i="63"/>
  <c r="F270" i="63" s="1"/>
  <c r="D271" i="63" s="1"/>
  <c r="E308" i="57"/>
  <c r="F308" i="57" s="1"/>
  <c r="C271" i="63" l="1"/>
  <c r="D489" i="65"/>
  <c r="C489" i="65" s="1"/>
  <c r="E489" i="65" s="1"/>
  <c r="F489" i="65" s="1"/>
  <c r="E271" i="63"/>
  <c r="F271" i="63" s="1"/>
  <c r="D272" i="63" s="1"/>
  <c r="C272" i="63" s="1"/>
  <c r="D309" i="57"/>
  <c r="C309" i="57" s="1"/>
  <c r="E309" i="57" l="1"/>
  <c r="F309" i="57" s="1"/>
  <c r="D490" i="65"/>
  <c r="C490" i="65" s="1"/>
  <c r="E490" i="65" s="1"/>
  <c r="F490" i="65" s="1"/>
  <c r="E272" i="63"/>
  <c r="F272" i="63" s="1"/>
  <c r="D273" i="63" s="1"/>
  <c r="C273" i="63" s="1"/>
  <c r="D310" i="57"/>
  <c r="C310" i="57" s="1"/>
  <c r="D491" i="65" l="1"/>
  <c r="C491" i="65" s="1"/>
  <c r="E491" i="65" s="1"/>
  <c r="F491" i="65" s="1"/>
  <c r="E273" i="63"/>
  <c r="F273" i="63" s="1"/>
  <c r="D274" i="63" s="1"/>
  <c r="C274" i="63" s="1"/>
  <c r="E310" i="57"/>
  <c r="F310" i="57" s="1"/>
  <c r="D492" i="65" l="1"/>
  <c r="C492" i="65" s="1"/>
  <c r="E492" i="65" s="1"/>
  <c r="F492" i="65" s="1"/>
  <c r="E274" i="63"/>
  <c r="F274" i="63" s="1"/>
  <c r="D275" i="63" s="1"/>
  <c r="C275" i="63" s="1"/>
  <c r="D311" i="57"/>
  <c r="C311" i="57"/>
  <c r="D493" i="65" l="1"/>
  <c r="C493" i="65" s="1"/>
  <c r="E493" i="65" s="1"/>
  <c r="F493" i="65" s="1"/>
  <c r="E311" i="57"/>
  <c r="F311" i="57" s="1"/>
  <c r="E275" i="63"/>
  <c r="F275" i="63" s="1"/>
  <c r="D276" i="63" s="1"/>
  <c r="C276" i="63" l="1"/>
  <c r="D494" i="65"/>
  <c r="C494" i="65" s="1"/>
  <c r="E494" i="65" s="1"/>
  <c r="F494" i="65" s="1"/>
  <c r="E276" i="63"/>
  <c r="F276" i="63" s="1"/>
  <c r="D277" i="63" s="1"/>
  <c r="C277" i="63" s="1"/>
  <c r="D312" i="57"/>
  <c r="C312" i="57" s="1"/>
  <c r="D495" i="65" l="1"/>
  <c r="C495" i="65" s="1"/>
  <c r="E495" i="65" s="1"/>
  <c r="F495" i="65" s="1"/>
  <c r="E277" i="63"/>
  <c r="F277" i="63" s="1"/>
  <c r="D278" i="63" s="1"/>
  <c r="E312" i="57"/>
  <c r="F312" i="57" s="1"/>
  <c r="C278" i="63" l="1"/>
  <c r="D496" i="65"/>
  <c r="C496" i="65" s="1"/>
  <c r="E496" i="65" s="1"/>
  <c r="F496" i="65" s="1"/>
  <c r="E278" i="63"/>
  <c r="F278" i="63" s="1"/>
  <c r="D279" i="63" s="1"/>
  <c r="C279" i="63" s="1"/>
  <c r="D313" i="57"/>
  <c r="C313" i="57" s="1"/>
  <c r="E313" i="57" l="1"/>
  <c r="F313" i="57" s="1"/>
  <c r="D497" i="65"/>
  <c r="C497" i="65" s="1"/>
  <c r="E497" i="65" s="1"/>
  <c r="F497" i="65" s="1"/>
  <c r="E279" i="63"/>
  <c r="F279" i="63" s="1"/>
  <c r="D280" i="63" s="1"/>
  <c r="C280" i="63" s="1"/>
  <c r="D314" i="57"/>
  <c r="C314" i="57" s="1"/>
  <c r="D498" i="65" l="1"/>
  <c r="C498" i="65" s="1"/>
  <c r="E498" i="65" s="1"/>
  <c r="F498" i="65" s="1"/>
  <c r="E314" i="57"/>
  <c r="F314" i="57" s="1"/>
  <c r="E280" i="63"/>
  <c r="F280" i="63" s="1"/>
  <c r="D281" i="63" s="1"/>
  <c r="C281" i="63" s="1"/>
  <c r="D499" i="65" l="1"/>
  <c r="C499" i="65" s="1"/>
  <c r="E499" i="65" s="1"/>
  <c r="F499" i="65" s="1"/>
  <c r="E281" i="63"/>
  <c r="F281" i="63" s="1"/>
  <c r="D282" i="63" s="1"/>
  <c r="C282" i="63" s="1"/>
  <c r="D315" i="57"/>
  <c r="C315" i="57" s="1"/>
  <c r="E315" i="57" l="1"/>
  <c r="F315" i="57" s="1"/>
  <c r="D500" i="65"/>
  <c r="C500" i="65" s="1"/>
  <c r="E500" i="65" s="1"/>
  <c r="F500" i="65" s="1"/>
  <c r="D316" i="57"/>
  <c r="C316" i="57" s="1"/>
  <c r="E282" i="63"/>
  <c r="F282" i="63" s="1"/>
  <c r="D283" i="63" s="1"/>
  <c r="D501" i="65" l="1"/>
  <c r="C501" i="65" s="1"/>
  <c r="E501" i="65" s="1"/>
  <c r="F501" i="65" s="1"/>
  <c r="C283" i="63"/>
  <c r="E283" i="63" s="1"/>
  <c r="F283" i="63" s="1"/>
  <c r="D284" i="63" s="1"/>
  <c r="E316" i="57"/>
  <c r="F316" i="57" s="1"/>
  <c r="D502" i="65" l="1"/>
  <c r="C502" i="65" s="1"/>
  <c r="E502" i="65" s="1"/>
  <c r="F502" i="65" s="1"/>
  <c r="C284" i="63"/>
  <c r="E284" i="63" s="1"/>
  <c r="F284" i="63" s="1"/>
  <c r="D285" i="63" s="1"/>
  <c r="C285" i="63" s="1"/>
  <c r="D317" i="57"/>
  <c r="C317" i="57" s="1"/>
  <c r="D503" i="65" l="1"/>
  <c r="C503" i="65" s="1"/>
  <c r="E503" i="65" s="1"/>
  <c r="F503" i="65" s="1"/>
  <c r="E285" i="63"/>
  <c r="F285" i="63" s="1"/>
  <c r="D286" i="63" s="1"/>
  <c r="C286" i="63" s="1"/>
  <c r="E317" i="57"/>
  <c r="F317" i="57" s="1"/>
  <c r="D504" i="65" l="1"/>
  <c r="C504" i="65" s="1"/>
  <c r="E504" i="65" s="1"/>
  <c r="F504" i="65" s="1"/>
  <c r="E286" i="63"/>
  <c r="F286" i="63" s="1"/>
  <c r="D287" i="63" s="1"/>
  <c r="C287" i="63" s="1"/>
  <c r="D318" i="57"/>
  <c r="C318" i="57" s="1"/>
  <c r="D505" i="65" l="1"/>
  <c r="C505" i="65" s="1"/>
  <c r="E505" i="65" s="1"/>
  <c r="F505" i="65" s="1"/>
  <c r="E318" i="57"/>
  <c r="F318" i="57" s="1"/>
  <c r="D319" i="57" s="1"/>
  <c r="E287" i="63"/>
  <c r="F287" i="63" s="1"/>
  <c r="C319" i="57" l="1"/>
  <c r="D506" i="65"/>
  <c r="C506" i="65" s="1"/>
  <c r="E506" i="65" s="1"/>
  <c r="F506" i="65" s="1"/>
  <c r="E319" i="57"/>
  <c r="F319" i="57" s="1"/>
  <c r="D288" i="63"/>
  <c r="D507" i="65" l="1"/>
  <c r="C507" i="65" s="1"/>
  <c r="E507" i="65" s="1"/>
  <c r="F507" i="65" s="1"/>
  <c r="D320" i="57"/>
  <c r="C288" i="63"/>
  <c r="E288" i="63" s="1"/>
  <c r="F288" i="63" s="1"/>
  <c r="C320" i="57" l="1"/>
  <c r="E320" i="57" s="1"/>
  <c r="F320" i="57" s="1"/>
  <c r="D508" i="65"/>
  <c r="C508" i="65" s="1"/>
  <c r="D289" i="63"/>
  <c r="C289" i="63" s="1"/>
  <c r="E289" i="63" s="1"/>
  <c r="F289" i="63" s="1"/>
  <c r="D290" i="63" s="1"/>
  <c r="D321" i="57" l="1"/>
  <c r="E508" i="65"/>
  <c r="F508" i="65" s="1"/>
  <c r="D509" i="65"/>
  <c r="C509" i="65" s="1"/>
  <c r="E509" i="65" s="1"/>
  <c r="F509" i="65" s="1"/>
  <c r="C290" i="63"/>
  <c r="E290" i="63" s="1"/>
  <c r="F290" i="63" s="1"/>
  <c r="D291" i="63" s="1"/>
  <c r="C321" i="57" l="1"/>
  <c r="E321" i="57" s="1"/>
  <c r="F321" i="57" s="1"/>
  <c r="C291" i="63"/>
  <c r="E291" i="63" s="1"/>
  <c r="F291" i="63" s="1"/>
  <c r="D292" i="63" s="1"/>
  <c r="C292" i="63" s="1"/>
  <c r="E292" i="63" s="1"/>
  <c r="F292" i="63" s="1"/>
  <c r="D510" i="65"/>
  <c r="C510" i="65" s="1"/>
  <c r="E510" i="65" s="1"/>
  <c r="F510" i="65" s="1"/>
  <c r="D322" i="57" l="1"/>
  <c r="C322" i="57"/>
  <c r="E322" i="57" s="1"/>
  <c r="F322" i="57" s="1"/>
  <c r="D511" i="65"/>
  <c r="C511" i="65" s="1"/>
  <c r="E511" i="65" s="1"/>
  <c r="F511" i="65" s="1"/>
  <c r="D293" i="63"/>
  <c r="C293" i="63" s="1"/>
  <c r="E293" i="63" s="1"/>
  <c r="F293" i="63" s="1"/>
  <c r="D294" i="63" s="1"/>
  <c r="C294" i="63" s="1"/>
  <c r="D323" i="57" l="1"/>
  <c r="C323" i="57" s="1"/>
  <c r="E323" i="57" s="1"/>
  <c r="F323" i="57" s="1"/>
  <c r="D512" i="65"/>
  <c r="C512" i="65" s="1"/>
  <c r="E512" i="65" s="1"/>
  <c r="F512" i="65" s="1"/>
  <c r="E294" i="63"/>
  <c r="F294" i="63" s="1"/>
  <c r="D295" i="63" s="1"/>
  <c r="C295" i="63" s="1"/>
  <c r="D324" i="57" l="1"/>
  <c r="C324" i="57" s="1"/>
  <c r="E324" i="57" s="1"/>
  <c r="F324" i="57" s="1"/>
  <c r="D325" i="57" s="1"/>
  <c r="D513" i="65"/>
  <c r="C513" i="65" s="1"/>
  <c r="E513" i="65" s="1"/>
  <c r="F513" i="65" s="1"/>
  <c r="E295" i="63"/>
  <c r="F295" i="63" s="1"/>
  <c r="D514" i="65" l="1"/>
  <c r="C514" i="65" s="1"/>
  <c r="E514" i="65" s="1"/>
  <c r="F514" i="65" s="1"/>
  <c r="C325" i="57"/>
  <c r="E325" i="57" s="1"/>
  <c r="F325" i="57" s="1"/>
  <c r="D296" i="63"/>
  <c r="D326" i="57" l="1"/>
  <c r="D515" i="65"/>
  <c r="C515" i="65" s="1"/>
  <c r="C296" i="63"/>
  <c r="E296" i="63" s="1"/>
  <c r="F296" i="63" s="1"/>
  <c r="C326" i="57" l="1"/>
  <c r="E326" i="57" s="1"/>
  <c r="F326" i="57" s="1"/>
  <c r="E515" i="65"/>
  <c r="F515" i="65" s="1"/>
  <c r="D516" i="65" s="1"/>
  <c r="C516" i="65" s="1"/>
  <c r="E516" i="65" s="1"/>
  <c r="F516" i="65" s="1"/>
  <c r="D297" i="63"/>
  <c r="C297" i="63" s="1"/>
  <c r="E297" i="63" s="1"/>
  <c r="F297" i="63" s="1"/>
  <c r="D298" i="63" s="1"/>
  <c r="D327" i="57" l="1"/>
  <c r="C327" i="57"/>
  <c r="D517" i="65"/>
  <c r="C517" i="65" s="1"/>
  <c r="E517" i="65" s="1"/>
  <c r="F517" i="65" s="1"/>
  <c r="E327" i="57"/>
  <c r="F327" i="57" s="1"/>
  <c r="D328" i="57" s="1"/>
  <c r="C298" i="63"/>
  <c r="E298" i="63" s="1"/>
  <c r="F298" i="63" s="1"/>
  <c r="D518" i="65" l="1"/>
  <c r="C518" i="65" s="1"/>
  <c r="E518" i="65" s="1"/>
  <c r="F518" i="65" s="1"/>
  <c r="C328" i="57"/>
  <c r="E328" i="57" s="1"/>
  <c r="F328" i="57" s="1"/>
  <c r="D329" i="57" s="1"/>
  <c r="D299" i="63"/>
  <c r="C299" i="63" s="1"/>
  <c r="E299" i="63" s="1"/>
  <c r="F299" i="63" s="1"/>
  <c r="D519" i="65" l="1"/>
  <c r="C519" i="65" s="1"/>
  <c r="E519" i="65" s="1"/>
  <c r="F519" i="65" s="1"/>
  <c r="C329" i="57"/>
  <c r="E329" i="57" s="1"/>
  <c r="F329" i="57" s="1"/>
  <c r="D300" i="63"/>
  <c r="C300" i="63" s="1"/>
  <c r="E300" i="63" s="1"/>
  <c r="F300" i="63" s="1"/>
  <c r="D301" i="63" s="1"/>
  <c r="D520" i="65" l="1"/>
  <c r="C520" i="65" s="1"/>
  <c r="E520" i="65" s="1"/>
  <c r="F520" i="65" s="1"/>
  <c r="C301" i="63"/>
  <c r="E301" i="63" s="1"/>
  <c r="F301" i="63" s="1"/>
  <c r="D302" i="63" s="1"/>
  <c r="D330" i="57"/>
  <c r="C330" i="57"/>
  <c r="E330" i="57" l="1"/>
  <c r="F330" i="57" s="1"/>
  <c r="D331" i="57" s="1"/>
  <c r="D521" i="65"/>
  <c r="C521" i="65" s="1"/>
  <c r="E521" i="65" s="1"/>
  <c r="F521" i="65" s="1"/>
  <c r="C302" i="63"/>
  <c r="E302" i="63" s="1"/>
  <c r="F302" i="63" s="1"/>
  <c r="D303" i="63" s="1"/>
  <c r="C331" i="57" l="1"/>
  <c r="E331" i="57" s="1"/>
  <c r="F331" i="57" s="1"/>
  <c r="D332" i="57" s="1"/>
  <c r="C303" i="63"/>
  <c r="E303" i="63" s="1"/>
  <c r="F303" i="63" s="1"/>
  <c r="D304" i="63" s="1"/>
  <c r="D522" i="65"/>
  <c r="C522" i="65" s="1"/>
  <c r="E522" i="65" s="1"/>
  <c r="F522" i="65" s="1"/>
  <c r="C304" i="63" l="1"/>
  <c r="E304" i="63" s="1"/>
  <c r="F304" i="63" s="1"/>
  <c r="D305" i="63" s="1"/>
  <c r="C332" i="57"/>
  <c r="D523" i="65"/>
  <c r="C523" i="65" s="1"/>
  <c r="E523" i="65" s="1"/>
  <c r="F523" i="65" s="1"/>
  <c r="E332" i="57"/>
  <c r="F332" i="57" s="1"/>
  <c r="D333" i="57" s="1"/>
  <c r="C305" i="63" l="1"/>
  <c r="E305" i="63" s="1"/>
  <c r="F305" i="63" s="1"/>
  <c r="D524" i="65"/>
  <c r="C524" i="65" s="1"/>
  <c r="E524" i="65" s="1"/>
  <c r="F524" i="65" s="1"/>
  <c r="C333" i="57"/>
  <c r="E333" i="57" s="1"/>
  <c r="F333" i="57" s="1"/>
  <c r="D306" i="63"/>
  <c r="C306" i="63" s="1"/>
  <c r="E306" i="63" s="1"/>
  <c r="F306" i="63" s="1"/>
  <c r="D525" i="65" l="1"/>
  <c r="C525" i="65" s="1"/>
  <c r="E525" i="65" s="1"/>
  <c r="F525" i="65" s="1"/>
  <c r="D307" i="63"/>
  <c r="C307" i="63" s="1"/>
  <c r="E307" i="63" s="1"/>
  <c r="F307" i="63" s="1"/>
  <c r="D334" i="57"/>
  <c r="C334" i="57"/>
  <c r="D526" i="65" l="1"/>
  <c r="C526" i="65" s="1"/>
  <c r="E526" i="65" s="1"/>
  <c r="F526" i="65" s="1"/>
  <c r="D308" i="63"/>
  <c r="C308" i="63" s="1"/>
  <c r="E308" i="63" s="1"/>
  <c r="F308" i="63" s="1"/>
  <c r="D309" i="63" s="1"/>
  <c r="E334" i="57"/>
  <c r="F334" i="57" s="1"/>
  <c r="D335" i="57" s="1"/>
  <c r="C335" i="57" l="1"/>
  <c r="D527" i="65"/>
  <c r="C527" i="65" s="1"/>
  <c r="E527" i="65" s="1"/>
  <c r="F527" i="65" s="1"/>
  <c r="C309" i="63"/>
  <c r="E309" i="63" s="1"/>
  <c r="F309" i="63" s="1"/>
  <c r="D310" i="63" s="1"/>
  <c r="E335" i="57"/>
  <c r="F335" i="57" s="1"/>
  <c r="D528" i="65" l="1"/>
  <c r="C528" i="65" s="1"/>
  <c r="E528" i="65" s="1"/>
  <c r="F528" i="65" s="1"/>
  <c r="C310" i="63"/>
  <c r="E310" i="63" s="1"/>
  <c r="F310" i="63" s="1"/>
  <c r="D311" i="63" s="1"/>
  <c r="D336" i="57"/>
  <c r="C336" i="57"/>
  <c r="D529" i="65" l="1"/>
  <c r="C529" i="65" s="1"/>
  <c r="E529" i="65" s="1"/>
  <c r="F529" i="65" s="1"/>
  <c r="C311" i="63"/>
  <c r="E311" i="63" s="1"/>
  <c r="F311" i="63" s="1"/>
  <c r="D312" i="63" s="1"/>
  <c r="E336" i="57"/>
  <c r="F336" i="57" s="1"/>
  <c r="D530" i="65" l="1"/>
  <c r="C530" i="65" s="1"/>
  <c r="E530" i="65" s="1"/>
  <c r="F530" i="65" s="1"/>
  <c r="C312" i="63"/>
  <c r="E312" i="63" s="1"/>
  <c r="F312" i="63" s="1"/>
  <c r="D313" i="63" s="1"/>
  <c r="D337" i="57"/>
  <c r="C337" i="57" s="1"/>
  <c r="D531" i="65" l="1"/>
  <c r="C531" i="65" s="1"/>
  <c r="E531" i="65" s="1"/>
  <c r="F531" i="65" s="1"/>
  <c r="C313" i="63"/>
  <c r="E313" i="63" s="1"/>
  <c r="F313" i="63" s="1"/>
  <c r="E337" i="57"/>
  <c r="F337" i="57" s="1"/>
  <c r="D532" i="65" l="1"/>
  <c r="C532" i="65" s="1"/>
  <c r="E532" i="65" s="1"/>
  <c r="F532" i="65" s="1"/>
  <c r="D314" i="63"/>
  <c r="C314" i="63" s="1"/>
  <c r="E314" i="63" s="1"/>
  <c r="F314" i="63" s="1"/>
  <c r="D315" i="63" s="1"/>
  <c r="D338" i="57"/>
  <c r="C338" i="57"/>
  <c r="D533" i="65" l="1"/>
  <c r="C533" i="65" s="1"/>
  <c r="E533" i="65" s="1"/>
  <c r="F533" i="65" s="1"/>
  <c r="C315" i="63"/>
  <c r="E315" i="63" s="1"/>
  <c r="F315" i="63" s="1"/>
  <c r="D316" i="63" s="1"/>
  <c r="E338" i="57"/>
  <c r="F338" i="57" s="1"/>
  <c r="D534" i="65" l="1"/>
  <c r="C534" i="65" s="1"/>
  <c r="E534" i="65" s="1"/>
  <c r="F534" i="65" s="1"/>
  <c r="C316" i="63"/>
  <c r="E316" i="63" s="1"/>
  <c r="F316" i="63" s="1"/>
  <c r="D317" i="63" s="1"/>
  <c r="C317" i="63" s="1"/>
  <c r="D339" i="57"/>
  <c r="C339" i="57" s="1"/>
  <c r="D535" i="65" l="1"/>
  <c r="C535" i="65" s="1"/>
  <c r="E535" i="65" s="1"/>
  <c r="F535" i="65" s="1"/>
  <c r="E317" i="63"/>
  <c r="F317" i="63" s="1"/>
  <c r="D318" i="63" s="1"/>
  <c r="E339" i="57"/>
  <c r="F339" i="57" s="1"/>
  <c r="C318" i="63" l="1"/>
  <c r="D536" i="65"/>
  <c r="C536" i="65" s="1"/>
  <c r="E536" i="65" s="1"/>
  <c r="F536" i="65" s="1"/>
  <c r="E318" i="63"/>
  <c r="F318" i="63" s="1"/>
  <c r="D319" i="63" s="1"/>
  <c r="C319" i="63" s="1"/>
  <c r="D340" i="57"/>
  <c r="C340" i="57" s="1"/>
  <c r="D537" i="65" l="1"/>
  <c r="C537" i="65" s="1"/>
  <c r="E537" i="65" s="1"/>
  <c r="F537" i="65" s="1"/>
  <c r="E340" i="57"/>
  <c r="F340" i="57" s="1"/>
  <c r="D341" i="57" s="1"/>
  <c r="E319" i="63"/>
  <c r="F319" i="63" s="1"/>
  <c r="D320" i="63" s="1"/>
  <c r="D538" i="65" l="1"/>
  <c r="C538" i="65" s="1"/>
  <c r="E538" i="65" s="1"/>
  <c r="F538" i="65" s="1"/>
  <c r="C341" i="57"/>
  <c r="E341" i="57" s="1"/>
  <c r="F341" i="57" s="1"/>
  <c r="D342" i="57" s="1"/>
  <c r="C320" i="63"/>
  <c r="E320" i="63" s="1"/>
  <c r="F320" i="63" s="1"/>
  <c r="D539" i="65" l="1"/>
  <c r="C539" i="65" s="1"/>
  <c r="E539" i="65" s="1"/>
  <c r="F539" i="65" s="1"/>
  <c r="C342" i="57"/>
  <c r="E342" i="57" s="1"/>
  <c r="F342" i="57" s="1"/>
  <c r="D321" i="63"/>
  <c r="D343" i="57" l="1"/>
  <c r="C343" i="57"/>
  <c r="E343" i="57" s="1"/>
  <c r="F343" i="57" s="1"/>
  <c r="D344" i="57" s="1"/>
  <c r="D540" i="65"/>
  <c r="C540" i="65" s="1"/>
  <c r="C321" i="63"/>
  <c r="E321" i="63" s="1"/>
  <c r="F321" i="63" s="1"/>
  <c r="E540" i="65" l="1"/>
  <c r="F540" i="65" s="1"/>
  <c r="D541" i="65"/>
  <c r="C541" i="65" s="1"/>
  <c r="E541" i="65" s="1"/>
  <c r="F541" i="65" s="1"/>
  <c r="C344" i="57"/>
  <c r="E344" i="57" s="1"/>
  <c r="F344" i="57" s="1"/>
  <c r="D345" i="57" s="1"/>
  <c r="D322" i="63"/>
  <c r="C322" i="63" s="1"/>
  <c r="E322" i="63" s="1"/>
  <c r="F322" i="63" s="1"/>
  <c r="D323" i="63" s="1"/>
  <c r="D542" i="65" l="1"/>
  <c r="C542" i="65" s="1"/>
  <c r="E542" i="65" s="1"/>
  <c r="F542" i="65" s="1"/>
  <c r="C345" i="57"/>
  <c r="E345" i="57" s="1"/>
  <c r="F345" i="57" s="1"/>
  <c r="D346" i="57" s="1"/>
  <c r="C323" i="63"/>
  <c r="E323" i="63" s="1"/>
  <c r="F323" i="63" s="1"/>
  <c r="D324" i="63" s="1"/>
  <c r="C324" i="63" s="1"/>
  <c r="E324" i="63" s="1"/>
  <c r="F324" i="63" s="1"/>
  <c r="D325" i="63" s="1"/>
  <c r="D543" i="65" l="1"/>
  <c r="C543" i="65" s="1"/>
  <c r="E543" i="65" s="1"/>
  <c r="F543" i="65" s="1"/>
  <c r="C325" i="63"/>
  <c r="E325" i="63" s="1"/>
  <c r="F325" i="63" s="1"/>
  <c r="D326" i="63" s="1"/>
  <c r="C346" i="57"/>
  <c r="E346" i="57" s="1"/>
  <c r="F346" i="57" s="1"/>
  <c r="D544" i="65" l="1"/>
  <c r="C544" i="65" s="1"/>
  <c r="E544" i="65" s="1"/>
  <c r="F544" i="65" s="1"/>
  <c r="D347" i="57"/>
  <c r="C347" i="57" s="1"/>
  <c r="C326" i="63"/>
  <c r="E326" i="63" s="1"/>
  <c r="F326" i="63" s="1"/>
  <c r="D545" i="65" l="1"/>
  <c r="C545" i="65" s="1"/>
  <c r="E545" i="65" s="1"/>
  <c r="F545" i="65" s="1"/>
  <c r="E347" i="57"/>
  <c r="F347" i="57" s="1"/>
  <c r="D327" i="63"/>
  <c r="C327" i="63" s="1"/>
  <c r="E327" i="63" s="1"/>
  <c r="F327" i="63" s="1"/>
  <c r="D328" i="63" s="1"/>
  <c r="D546" i="65" l="1"/>
  <c r="C546" i="65" s="1"/>
  <c r="E546" i="65" s="1"/>
  <c r="F546" i="65" s="1"/>
  <c r="D348" i="57"/>
  <c r="C328" i="63"/>
  <c r="E328" i="63" s="1"/>
  <c r="F328" i="63" s="1"/>
  <c r="D329" i="63" s="1"/>
  <c r="C348" i="57" l="1"/>
  <c r="E348" i="57" s="1"/>
  <c r="F348" i="57" s="1"/>
  <c r="D547" i="65"/>
  <c r="C547" i="65" s="1"/>
  <c r="C329" i="63"/>
  <c r="E329" i="63" s="1"/>
  <c r="F329" i="63" s="1"/>
  <c r="D330" i="63" s="1"/>
  <c r="D349" i="57" l="1"/>
  <c r="E547" i="65"/>
  <c r="F547" i="65" s="1"/>
  <c r="D548" i="65" s="1"/>
  <c r="C548" i="65" s="1"/>
  <c r="E548" i="65" s="1"/>
  <c r="F548" i="65" s="1"/>
  <c r="C330" i="63"/>
  <c r="E330" i="63" s="1"/>
  <c r="F330" i="63" s="1"/>
  <c r="D331" i="63" s="1"/>
  <c r="C349" i="57" l="1"/>
  <c r="E349" i="57" s="1"/>
  <c r="F349" i="57" s="1"/>
  <c r="D549" i="65"/>
  <c r="C549" i="65" s="1"/>
  <c r="E549" i="65" s="1"/>
  <c r="F549" i="65" s="1"/>
  <c r="C331" i="63"/>
  <c r="E331" i="63" s="1"/>
  <c r="F331" i="63" s="1"/>
  <c r="D350" i="57" l="1"/>
  <c r="D550" i="65"/>
  <c r="C550" i="65" s="1"/>
  <c r="E550" i="65" s="1"/>
  <c r="F550" i="65" s="1"/>
  <c r="D332" i="63"/>
  <c r="C332" i="63" s="1"/>
  <c r="E332" i="63" s="1"/>
  <c r="F332" i="63" s="1"/>
  <c r="D333" i="63" s="1"/>
  <c r="C350" i="57" l="1"/>
  <c r="E350" i="57" s="1"/>
  <c r="F350" i="57" s="1"/>
  <c r="D551" i="65"/>
  <c r="C551" i="65" s="1"/>
  <c r="E551" i="65" s="1"/>
  <c r="F551" i="65" s="1"/>
  <c r="C333" i="63"/>
  <c r="E333" i="63" s="1"/>
  <c r="F333" i="63" s="1"/>
  <c r="D334" i="63" s="1"/>
  <c r="C334" i="63" s="1"/>
  <c r="D351" i="57" l="1"/>
  <c r="C351" i="57" s="1"/>
  <c r="E351" i="57" s="1"/>
  <c r="F351" i="57" s="1"/>
  <c r="D552" i="65"/>
  <c r="C552" i="65" s="1"/>
  <c r="E552" i="65" s="1"/>
  <c r="F552" i="65" s="1"/>
  <c r="E334" i="63"/>
  <c r="F334" i="63" s="1"/>
  <c r="D335" i="63" s="1"/>
  <c r="D352" i="57" l="1"/>
  <c r="C352" i="57" s="1"/>
  <c r="E352" i="57" s="1"/>
  <c r="F352" i="57" s="1"/>
  <c r="D553" i="65"/>
  <c r="C553" i="65" s="1"/>
  <c r="E553" i="65" s="1"/>
  <c r="F553" i="65" s="1"/>
  <c r="C335" i="63"/>
  <c r="E335" i="63" s="1"/>
  <c r="F335" i="63" s="1"/>
  <c r="D336" i="63" s="1"/>
  <c r="D353" i="57" l="1"/>
  <c r="C353" i="57" s="1"/>
  <c r="E353" i="57" s="1"/>
  <c r="F353" i="57" s="1"/>
  <c r="D554" i="65"/>
  <c r="C554" i="65" s="1"/>
  <c r="E554" i="65" s="1"/>
  <c r="F554" i="65" s="1"/>
  <c r="C336" i="63"/>
  <c r="E336" i="63" s="1"/>
  <c r="F336" i="63" s="1"/>
  <c r="D555" i="65" l="1"/>
  <c r="C555" i="65" s="1"/>
  <c r="E555" i="65" s="1"/>
  <c r="F555" i="65" s="1"/>
  <c r="D354" i="57"/>
  <c r="C354" i="57" s="1"/>
  <c r="D337" i="63"/>
  <c r="C337" i="63" s="1"/>
  <c r="E337" i="63" s="1"/>
  <c r="F337" i="63" s="1"/>
  <c r="D338" i="63" s="1"/>
  <c r="E354" i="57" l="1"/>
  <c r="F354" i="57" s="1"/>
  <c r="D556" i="65"/>
  <c r="C556" i="65" s="1"/>
  <c r="E556" i="65" s="1"/>
  <c r="F556" i="65" s="1"/>
  <c r="D355" i="57"/>
  <c r="C355" i="57" s="1"/>
  <c r="C338" i="63"/>
  <c r="E338" i="63" s="1"/>
  <c r="F338" i="63" s="1"/>
  <c r="D339" i="63" s="1"/>
  <c r="D557" i="65" l="1"/>
  <c r="C557" i="65" s="1"/>
  <c r="E557" i="65" s="1"/>
  <c r="F557" i="65" s="1"/>
  <c r="E355" i="57"/>
  <c r="F355" i="57" s="1"/>
  <c r="C339" i="63"/>
  <c r="E339" i="63" s="1"/>
  <c r="F339" i="63" s="1"/>
  <c r="D558" i="65" l="1"/>
  <c r="C558" i="65" s="1"/>
  <c r="E558" i="65" s="1"/>
  <c r="F558" i="65" s="1"/>
  <c r="D356" i="57"/>
  <c r="C356" i="57" s="1"/>
  <c r="D340" i="63"/>
  <c r="C340" i="63" s="1"/>
  <c r="E340" i="63" s="1"/>
  <c r="F340" i="63" s="1"/>
  <c r="D341" i="63" s="1"/>
  <c r="E356" i="57" l="1"/>
  <c r="F356" i="57" s="1"/>
  <c r="D559" i="65"/>
  <c r="C559" i="65" s="1"/>
  <c r="E559" i="65" s="1"/>
  <c r="F559" i="65" s="1"/>
  <c r="D357" i="57"/>
  <c r="C357" i="57"/>
  <c r="C341" i="63"/>
  <c r="E341" i="63" s="1"/>
  <c r="F341" i="63" s="1"/>
  <c r="D560" i="65" l="1"/>
  <c r="C560" i="65" s="1"/>
  <c r="E560" i="65" s="1"/>
  <c r="F560" i="65" s="1"/>
  <c r="E357" i="57"/>
  <c r="F357" i="57" s="1"/>
  <c r="D342" i="63"/>
  <c r="C342" i="63" s="1"/>
  <c r="E342" i="63" s="1"/>
  <c r="F342" i="63" s="1"/>
  <c r="D343" i="63" s="1"/>
  <c r="D561" i="65" l="1"/>
  <c r="C561" i="65" s="1"/>
  <c r="E561" i="65" s="1"/>
  <c r="F561" i="65" s="1"/>
  <c r="D358" i="57"/>
  <c r="C358" i="57" s="1"/>
  <c r="C343" i="63"/>
  <c r="E343" i="63" s="1"/>
  <c r="F343" i="63" s="1"/>
  <c r="D344" i="63" s="1"/>
  <c r="E358" i="57" l="1"/>
  <c r="F358" i="57" s="1"/>
  <c r="D562" i="65"/>
  <c r="C562" i="65" s="1"/>
  <c r="E562" i="65" s="1"/>
  <c r="F562" i="65" s="1"/>
  <c r="D359" i="57"/>
  <c r="C359" i="57"/>
  <c r="C344" i="63"/>
  <c r="E344" i="63" s="1"/>
  <c r="F344" i="63" s="1"/>
  <c r="D345" i="63" s="1"/>
  <c r="C345" i="63" s="1"/>
  <c r="D563" i="65" l="1"/>
  <c r="C563" i="65" s="1"/>
  <c r="E563" i="65" s="1"/>
  <c r="F563" i="65" s="1"/>
  <c r="E359" i="57"/>
  <c r="F359" i="57" s="1"/>
  <c r="E345" i="63"/>
  <c r="F345" i="63" s="1"/>
  <c r="D564" i="65" l="1"/>
  <c r="C564" i="65" s="1"/>
  <c r="E564" i="65" s="1"/>
  <c r="F564" i="65" s="1"/>
  <c r="D360" i="57"/>
  <c r="C360" i="57" s="1"/>
  <c r="D346" i="63"/>
  <c r="C346" i="63" s="1"/>
  <c r="E346" i="63" s="1"/>
  <c r="F346" i="63" s="1"/>
  <c r="D565" i="65" l="1"/>
  <c r="C565" i="65" s="1"/>
  <c r="E565" i="65" s="1"/>
  <c r="F565" i="65" s="1"/>
  <c r="E360" i="57"/>
  <c r="F360" i="57" s="1"/>
  <c r="D347" i="63"/>
  <c r="C347" i="63" s="1"/>
  <c r="E347" i="63" s="1"/>
  <c r="F347" i="63" s="1"/>
  <c r="D348" i="63" s="1"/>
  <c r="D566" i="65" l="1"/>
  <c r="C566" i="65" s="1"/>
  <c r="E566" i="65" s="1"/>
  <c r="F566" i="65" s="1"/>
  <c r="D361" i="57"/>
  <c r="C361" i="57" s="1"/>
  <c r="C348" i="63"/>
  <c r="E348" i="63" s="1"/>
  <c r="F348" i="63" s="1"/>
  <c r="E361" i="57" l="1"/>
  <c r="F361" i="57" s="1"/>
  <c r="D567" i="65"/>
  <c r="C567" i="65" s="1"/>
  <c r="E567" i="65" s="1"/>
  <c r="F567" i="65" s="1"/>
  <c r="D362" i="57"/>
  <c r="C362" i="57" s="1"/>
  <c r="D349" i="63"/>
  <c r="C349" i="63" s="1"/>
  <c r="E349" i="63" s="1"/>
  <c r="F349" i="63" s="1"/>
  <c r="D568" i="65" l="1"/>
  <c r="C568" i="65" s="1"/>
  <c r="E568" i="65" s="1"/>
  <c r="F568" i="65" s="1"/>
  <c r="E362" i="57"/>
  <c r="F362" i="57" s="1"/>
  <c r="D350" i="63"/>
  <c r="C350" i="63" s="1"/>
  <c r="E350" i="63" s="1"/>
  <c r="F350" i="63" s="1"/>
  <c r="D569" i="65" l="1"/>
  <c r="C569" i="65" s="1"/>
  <c r="E569" i="65" s="1"/>
  <c r="F569" i="65" s="1"/>
  <c r="D363" i="57"/>
  <c r="C363" i="57"/>
  <c r="D351" i="63"/>
  <c r="C351" i="63" l="1"/>
  <c r="E351" i="63" s="1"/>
  <c r="F351" i="63" s="1"/>
  <c r="D352" i="63" s="1"/>
  <c r="C352" i="63" s="1"/>
  <c r="E352" i="63" s="1"/>
  <c r="F352" i="63" s="1"/>
  <c r="D570" i="65"/>
  <c r="C570" i="65" s="1"/>
  <c r="E570" i="65" s="1"/>
  <c r="F570" i="65" s="1"/>
  <c r="E363" i="57"/>
  <c r="F363" i="57" s="1"/>
  <c r="D571" i="65" l="1"/>
  <c r="C571" i="65" s="1"/>
  <c r="E571" i="65" s="1"/>
  <c r="F571" i="65" s="1"/>
  <c r="D364" i="57"/>
  <c r="C364" i="57" s="1"/>
  <c r="D353" i="63"/>
  <c r="C353" i="63" s="1"/>
  <c r="E364" i="57" l="1"/>
  <c r="F364" i="57" s="1"/>
  <c r="D572" i="65"/>
  <c r="C572" i="65" s="1"/>
  <c r="E572" i="65" s="1"/>
  <c r="F572" i="65" s="1"/>
  <c r="D365" i="57"/>
  <c r="E353" i="63"/>
  <c r="F353" i="63" s="1"/>
  <c r="C365" i="57" l="1"/>
  <c r="E365" i="57"/>
  <c r="F365" i="57" s="1"/>
  <c r="D366" i="57" s="1"/>
  <c r="C366" i="57" s="1"/>
  <c r="D573" i="65"/>
  <c r="C573" i="65" s="1"/>
  <c r="E573" i="65" s="1"/>
  <c r="F573" i="65" s="1"/>
  <c r="D354" i="63"/>
  <c r="C354" i="63" s="1"/>
  <c r="E366" i="57" l="1"/>
  <c r="F366" i="57" s="1"/>
  <c r="D574" i="65"/>
  <c r="C574" i="65" s="1"/>
  <c r="E574" i="65" s="1"/>
  <c r="F574" i="65" s="1"/>
  <c r="D367" i="57"/>
  <c r="E354" i="63"/>
  <c r="F354" i="63" s="1"/>
  <c r="C367" i="57" l="1"/>
  <c r="E367" i="57" s="1"/>
  <c r="F367" i="57" s="1"/>
  <c r="D575" i="65"/>
  <c r="C575" i="65" s="1"/>
  <c r="E575" i="65" s="1"/>
  <c r="F575" i="65" s="1"/>
  <c r="D355" i="63"/>
  <c r="C355" i="63" s="1"/>
  <c r="D368" i="57" l="1"/>
  <c r="C368" i="57"/>
  <c r="E368" i="57" s="1"/>
  <c r="F368" i="57" s="1"/>
  <c r="D576" i="65"/>
  <c r="C576" i="65" s="1"/>
  <c r="E576" i="65" s="1"/>
  <c r="F576" i="65" s="1"/>
  <c r="E355" i="63"/>
  <c r="F355" i="63" s="1"/>
  <c r="D577" i="65" l="1"/>
  <c r="C577" i="65" s="1"/>
  <c r="E577" i="65" s="1"/>
  <c r="F577" i="65" s="1"/>
  <c r="D369" i="57"/>
  <c r="C369" i="57" s="1"/>
  <c r="D356" i="63"/>
  <c r="C356" i="63" s="1"/>
  <c r="D578" i="65" l="1"/>
  <c r="C578" i="65" s="1"/>
  <c r="E578" i="65" s="1"/>
  <c r="F578" i="65" s="1"/>
  <c r="E369" i="57"/>
  <c r="F369" i="57" s="1"/>
  <c r="E356" i="63"/>
  <c r="F356" i="63" s="1"/>
  <c r="D370" i="57" l="1"/>
  <c r="C370" i="57" s="1"/>
  <c r="E370" i="57" s="1"/>
  <c r="F370" i="57" s="1"/>
  <c r="D579" i="65"/>
  <c r="C579" i="65" s="1"/>
  <c r="E579" i="65" s="1"/>
  <c r="F579" i="65" s="1"/>
  <c r="D357" i="63"/>
  <c r="C357" i="63" s="1"/>
  <c r="D580" i="65" l="1"/>
  <c r="C580" i="65" s="1"/>
  <c r="E580" i="65" s="1"/>
  <c r="F580" i="65" s="1"/>
  <c r="D371" i="57"/>
  <c r="C371" i="57" s="1"/>
  <c r="E357" i="63"/>
  <c r="F357" i="63" s="1"/>
  <c r="D581" i="65" l="1"/>
  <c r="C581" i="65" s="1"/>
  <c r="E581" i="65" s="1"/>
  <c r="F581" i="65" s="1"/>
  <c r="E371" i="57"/>
  <c r="F371" i="57" s="1"/>
  <c r="D372" i="57" s="1"/>
  <c r="D358" i="63"/>
  <c r="C358" i="63" s="1"/>
  <c r="D582" i="65" l="1"/>
  <c r="C582" i="65" s="1"/>
  <c r="E582" i="65" s="1"/>
  <c r="F582" i="65" s="1"/>
  <c r="C372" i="57"/>
  <c r="E372" i="57" s="1"/>
  <c r="F372" i="57" s="1"/>
  <c r="D373" i="57" s="1"/>
  <c r="E358" i="63"/>
  <c r="F358" i="63" s="1"/>
  <c r="D583" i="65" l="1"/>
  <c r="C583" i="65" s="1"/>
  <c r="E583" i="65" s="1"/>
  <c r="F583" i="65" s="1"/>
  <c r="C373" i="57"/>
  <c r="E373" i="57" s="1"/>
  <c r="F373" i="57" s="1"/>
  <c r="D359" i="63"/>
  <c r="C359" i="63" s="1"/>
  <c r="D584" i="65" l="1"/>
  <c r="C584" i="65" s="1"/>
  <c r="E584" i="65" s="1"/>
  <c r="F584" i="65" s="1"/>
  <c r="D374" i="57"/>
  <c r="E359" i="63"/>
  <c r="F359" i="63" s="1"/>
  <c r="C374" i="57" l="1"/>
  <c r="E374" i="57" s="1"/>
  <c r="F374" i="57" s="1"/>
  <c r="D585" i="65"/>
  <c r="C585" i="65" s="1"/>
  <c r="E585" i="65" s="1"/>
  <c r="F585" i="65" s="1"/>
  <c r="D360" i="63"/>
  <c r="C360" i="63" s="1"/>
  <c r="D375" i="57" l="1"/>
  <c r="C375" i="57" s="1"/>
  <c r="E375" i="57" s="1"/>
  <c r="F375" i="57" s="1"/>
  <c r="D586" i="65"/>
  <c r="C586" i="65" s="1"/>
  <c r="E586" i="65" s="1"/>
  <c r="F586" i="65" s="1"/>
  <c r="E360" i="63"/>
  <c r="F360" i="63" s="1"/>
  <c r="D587" i="65" l="1"/>
  <c r="C587" i="65" s="1"/>
  <c r="E587" i="65" s="1"/>
  <c r="F587" i="65" s="1"/>
  <c r="D376" i="57"/>
  <c r="D361" i="63"/>
  <c r="C361" i="63" s="1"/>
  <c r="C376" i="57" l="1"/>
  <c r="E376" i="57" s="1"/>
  <c r="F376" i="57" s="1"/>
  <c r="D588" i="65"/>
  <c r="C588" i="65" s="1"/>
  <c r="E588" i="65" s="1"/>
  <c r="F588" i="65" s="1"/>
  <c r="E361" i="63"/>
  <c r="F361" i="63" s="1"/>
  <c r="D377" i="57" l="1"/>
  <c r="C377" i="57" s="1"/>
  <c r="E377" i="57" s="1"/>
  <c r="F377" i="57" s="1"/>
  <c r="D378" i="57" s="1"/>
  <c r="D589" i="65"/>
  <c r="C589" i="65" s="1"/>
  <c r="E589" i="65" s="1"/>
  <c r="F589" i="65" s="1"/>
  <c r="D362" i="63"/>
  <c r="C362" i="63" s="1"/>
  <c r="D590" i="65" l="1"/>
  <c r="C590" i="65" s="1"/>
  <c r="E590" i="65" s="1"/>
  <c r="F590" i="65" s="1"/>
  <c r="C378" i="57"/>
  <c r="E378" i="57" s="1"/>
  <c r="F378" i="57" s="1"/>
  <c r="E362" i="63"/>
  <c r="F362" i="63" s="1"/>
  <c r="D591" i="65" l="1"/>
  <c r="C591" i="65" s="1"/>
  <c r="E591" i="65" s="1"/>
  <c r="F591" i="65" s="1"/>
  <c r="D379" i="57"/>
  <c r="D363" i="63"/>
  <c r="C363" i="63" s="1"/>
  <c r="C379" i="57" l="1"/>
  <c r="E379" i="57" s="1"/>
  <c r="F379" i="57" s="1"/>
  <c r="D592" i="65"/>
  <c r="C592" i="65" s="1"/>
  <c r="E592" i="65" s="1"/>
  <c r="F592" i="65" s="1"/>
  <c r="E363" i="63"/>
  <c r="F363" i="63" s="1"/>
  <c r="D380" i="57" l="1"/>
  <c r="C380" i="57"/>
  <c r="E380" i="57" s="1"/>
  <c r="F380" i="57" s="1"/>
  <c r="D593" i="65"/>
  <c r="C593" i="65" s="1"/>
  <c r="E593" i="65" s="1"/>
  <c r="F593" i="65" s="1"/>
  <c r="D364" i="63"/>
  <c r="C364" i="63" s="1"/>
  <c r="D594" i="65" l="1"/>
  <c r="C594" i="65" s="1"/>
  <c r="E594" i="65" s="1"/>
  <c r="F594" i="65" s="1"/>
  <c r="D381" i="57"/>
  <c r="C381" i="57" s="1"/>
  <c r="E364" i="63"/>
  <c r="F364" i="63" s="1"/>
  <c r="D595" i="65" l="1"/>
  <c r="C595" i="65" s="1"/>
  <c r="E595" i="65" s="1"/>
  <c r="F595" i="65" s="1"/>
  <c r="E381" i="57"/>
  <c r="F381" i="57" s="1"/>
  <c r="D382" i="57" s="1"/>
  <c r="D365" i="63"/>
  <c r="C365" i="63" s="1"/>
  <c r="C382" i="57" l="1"/>
  <c r="D596" i="65"/>
  <c r="C596" i="65" s="1"/>
  <c r="E596" i="65" s="1"/>
  <c r="F596" i="65" s="1"/>
  <c r="E382" i="57"/>
  <c r="F382" i="57" s="1"/>
  <c r="D383" i="57" s="1"/>
  <c r="E365" i="63"/>
  <c r="F365" i="63" s="1"/>
  <c r="D597" i="65" l="1"/>
  <c r="C597" i="65" s="1"/>
  <c r="E597" i="65" s="1"/>
  <c r="F597" i="65" s="1"/>
  <c r="C383" i="57"/>
  <c r="E383" i="57" s="1"/>
  <c r="F383" i="57" s="1"/>
  <c r="D366" i="63"/>
  <c r="C366" i="63" s="1"/>
  <c r="D598" i="65" l="1"/>
  <c r="C598" i="65" s="1"/>
  <c r="E598" i="65" s="1"/>
  <c r="F598" i="65" s="1"/>
  <c r="D384" i="57"/>
  <c r="E366" i="63"/>
  <c r="F366" i="63" s="1"/>
  <c r="C384" i="57" l="1"/>
  <c r="E384" i="57" s="1"/>
  <c r="F384" i="57" s="1"/>
  <c r="D599" i="65"/>
  <c r="C599" i="65" s="1"/>
  <c r="E599" i="65" s="1"/>
  <c r="F599" i="65" s="1"/>
  <c r="D367" i="63"/>
  <c r="C367" i="63" s="1"/>
  <c r="D385" i="57" l="1"/>
  <c r="C385" i="57"/>
  <c r="E385" i="57" s="1"/>
  <c r="F385" i="57" s="1"/>
  <c r="D600" i="65"/>
  <c r="C600" i="65" s="1"/>
  <c r="E600" i="65" s="1"/>
  <c r="F600" i="65" s="1"/>
  <c r="E367" i="63"/>
  <c r="F367" i="63" s="1"/>
  <c r="D601" i="65" l="1"/>
  <c r="C601" i="65" s="1"/>
  <c r="E601" i="65" s="1"/>
  <c r="F601" i="65" s="1"/>
  <c r="D386" i="57"/>
  <c r="C386" i="57" s="1"/>
  <c r="D368" i="63"/>
  <c r="C368" i="63" s="1"/>
  <c r="D602" i="65" l="1"/>
  <c r="C602" i="65" s="1"/>
  <c r="E602" i="65" s="1"/>
  <c r="F602" i="65" s="1"/>
  <c r="E386" i="57"/>
  <c r="F386" i="57" s="1"/>
  <c r="E368" i="63"/>
  <c r="F368" i="63" s="1"/>
  <c r="D603" i="65" l="1"/>
  <c r="C603" i="65" s="1"/>
  <c r="E603" i="65" s="1"/>
  <c r="F603" i="65" s="1"/>
  <c r="D387" i="57"/>
  <c r="D369" i="63"/>
  <c r="C369" i="63" s="1"/>
  <c r="C387" i="57" l="1"/>
  <c r="E387" i="57" s="1"/>
  <c r="F387" i="57" s="1"/>
  <c r="D604" i="65"/>
  <c r="C604" i="65" s="1"/>
  <c r="E604" i="65" s="1"/>
  <c r="F604" i="65" s="1"/>
  <c r="E369" i="63"/>
  <c r="F369" i="63" s="1"/>
  <c r="D388" i="57" l="1"/>
  <c r="C388" i="57"/>
  <c r="D605" i="65"/>
  <c r="C605" i="65" s="1"/>
  <c r="E605" i="65" s="1"/>
  <c r="F605" i="65" s="1"/>
  <c r="E388" i="57"/>
  <c r="F388" i="57" s="1"/>
  <c r="D370" i="63"/>
  <c r="C370" i="63" s="1"/>
  <c r="E370" i="63" s="1"/>
  <c r="F370" i="63" s="1"/>
  <c r="D606" i="65" l="1"/>
  <c r="C606" i="65" s="1"/>
  <c r="E606" i="65" s="1"/>
  <c r="F606" i="65" s="1"/>
  <c r="D389" i="57"/>
  <c r="C389" i="57" s="1"/>
  <c r="D371" i="63"/>
  <c r="C371" i="63" s="1"/>
  <c r="D607" i="65" l="1"/>
  <c r="C607" i="65" s="1"/>
  <c r="E607" i="65" s="1"/>
  <c r="F607" i="65" s="1"/>
  <c r="E389" i="57"/>
  <c r="F389" i="57" s="1"/>
  <c r="E371" i="63"/>
  <c r="F371" i="63" s="1"/>
  <c r="D608" i="65" l="1"/>
  <c r="C608" i="65" s="1"/>
  <c r="E608" i="65" s="1"/>
  <c r="F608" i="65" s="1"/>
  <c r="D390" i="57"/>
  <c r="C390" i="57"/>
  <c r="D372" i="63"/>
  <c r="C372" i="63" s="1"/>
  <c r="D609" i="65" l="1"/>
  <c r="C609" i="65" s="1"/>
  <c r="E609" i="65" s="1"/>
  <c r="F609" i="65" s="1"/>
  <c r="E390" i="57"/>
  <c r="F390" i="57" s="1"/>
  <c r="D391" i="57" s="1"/>
  <c r="E372" i="63"/>
  <c r="F372" i="63" s="1"/>
  <c r="D610" i="65" l="1"/>
  <c r="C610" i="65" s="1"/>
  <c r="E610" i="65" s="1"/>
  <c r="F610" i="65" s="1"/>
  <c r="C391" i="57"/>
  <c r="E391" i="57" s="1"/>
  <c r="F391" i="57" s="1"/>
  <c r="D373" i="63"/>
  <c r="C373" i="63" s="1"/>
  <c r="D611" i="65" l="1"/>
  <c r="C611" i="65" s="1"/>
  <c r="E611" i="65" s="1"/>
  <c r="F611" i="65" s="1"/>
  <c r="D392" i="57"/>
  <c r="E373" i="63"/>
  <c r="F373" i="63" s="1"/>
  <c r="C392" i="57" l="1"/>
  <c r="E392" i="57" s="1"/>
  <c r="F392" i="57" s="1"/>
  <c r="D612" i="65"/>
  <c r="C612" i="65" s="1"/>
  <c r="E612" i="65" s="1"/>
  <c r="F612" i="65" s="1"/>
  <c r="D374" i="63"/>
  <c r="C374" i="63" s="1"/>
  <c r="D393" i="57" l="1"/>
  <c r="C393" i="57"/>
  <c r="D613" i="65"/>
  <c r="C613" i="65" s="1"/>
  <c r="E613" i="65" s="1"/>
  <c r="F613" i="65" s="1"/>
  <c r="E393" i="57"/>
  <c r="F393" i="57" s="1"/>
  <c r="E374" i="63"/>
  <c r="F374" i="63" s="1"/>
  <c r="D614" i="65" l="1"/>
  <c r="C614" i="65" s="1"/>
  <c r="E614" i="65" s="1"/>
  <c r="F614" i="65" s="1"/>
  <c r="D394" i="57"/>
  <c r="C394" i="57" s="1"/>
  <c r="D375" i="63"/>
  <c r="C375" i="63" s="1"/>
  <c r="D615" i="65" l="1"/>
  <c r="C615" i="65" s="1"/>
  <c r="E615" i="65" s="1"/>
  <c r="F615" i="65" s="1"/>
  <c r="E394" i="57"/>
  <c r="F394" i="57" s="1"/>
  <c r="E375" i="63"/>
  <c r="F375" i="63" s="1"/>
  <c r="D616" i="65" l="1"/>
  <c r="C616" i="65" s="1"/>
  <c r="E616" i="65" s="1"/>
  <c r="F616" i="65" s="1"/>
  <c r="D395" i="57"/>
  <c r="D376" i="63"/>
  <c r="C376" i="63" s="1"/>
  <c r="C395" i="57" l="1"/>
  <c r="E395" i="57" s="1"/>
  <c r="F395" i="57" s="1"/>
  <c r="D617" i="65"/>
  <c r="C617" i="65" s="1"/>
  <c r="E617" i="65" s="1"/>
  <c r="F617" i="65" s="1"/>
  <c r="E376" i="63"/>
  <c r="F376" i="63" s="1"/>
  <c r="D396" i="57" l="1"/>
  <c r="C396" i="57"/>
  <c r="D618" i="65"/>
  <c r="C618" i="65" s="1"/>
  <c r="E618" i="65" s="1"/>
  <c r="F618" i="65" s="1"/>
  <c r="E396" i="57"/>
  <c r="F396" i="57" s="1"/>
  <c r="D377" i="63"/>
  <c r="C377" i="63" s="1"/>
  <c r="D619" i="65" l="1"/>
  <c r="C619" i="65" s="1"/>
  <c r="E619" i="65" s="1"/>
  <c r="F619" i="65" s="1"/>
  <c r="D397" i="57"/>
  <c r="C397" i="57" s="1"/>
  <c r="E377" i="63"/>
  <c r="F377" i="63" s="1"/>
  <c r="D620" i="65" l="1"/>
  <c r="C620" i="65" s="1"/>
  <c r="E620" i="65" s="1"/>
  <c r="F620" i="65" s="1"/>
  <c r="E397" i="57"/>
  <c r="F397" i="57" s="1"/>
  <c r="D378" i="63"/>
  <c r="C378" i="63" s="1"/>
  <c r="D621" i="65" l="1"/>
  <c r="C621" i="65" s="1"/>
  <c r="E621" i="65" s="1"/>
  <c r="F621" i="65" s="1"/>
  <c r="D398" i="57"/>
  <c r="C398" i="57" s="1"/>
  <c r="E378" i="63"/>
  <c r="F378" i="63" s="1"/>
  <c r="D622" i="65" l="1"/>
  <c r="C622" i="65" s="1"/>
  <c r="E622" i="65" s="1"/>
  <c r="F622" i="65" s="1"/>
  <c r="E398" i="57"/>
  <c r="F398" i="57" s="1"/>
  <c r="D379" i="63"/>
  <c r="C379" i="63" s="1"/>
  <c r="D623" i="65" l="1"/>
  <c r="C623" i="65" s="1"/>
  <c r="E623" i="65" s="1"/>
  <c r="F623" i="65" s="1"/>
  <c r="D399" i="57"/>
  <c r="C399" i="57" s="1"/>
  <c r="E379" i="63"/>
  <c r="F379" i="63" s="1"/>
  <c r="D624" i="65" l="1"/>
  <c r="C624" i="65" s="1"/>
  <c r="E624" i="65" s="1"/>
  <c r="F624" i="65" s="1"/>
  <c r="E399" i="57"/>
  <c r="F399" i="57" s="1"/>
  <c r="D380" i="63"/>
  <c r="C380" i="63" s="1"/>
  <c r="D625" i="65" l="1"/>
  <c r="C625" i="65" s="1"/>
  <c r="E625" i="65" s="1"/>
  <c r="F625" i="65" s="1"/>
  <c r="D400" i="57"/>
  <c r="C400" i="57"/>
  <c r="E380" i="63"/>
  <c r="F380" i="63" s="1"/>
  <c r="D626" i="65" l="1"/>
  <c r="C626" i="65" s="1"/>
  <c r="E626" i="65" s="1"/>
  <c r="F626" i="65" s="1"/>
  <c r="E400" i="57"/>
  <c r="F400" i="57" s="1"/>
  <c r="D381" i="63"/>
  <c r="C381" i="63" s="1"/>
  <c r="D627" i="65" l="1"/>
  <c r="C627" i="65" s="1"/>
  <c r="E627" i="65" s="1"/>
  <c r="F627" i="65" s="1"/>
  <c r="D401" i="57"/>
  <c r="E381" i="63"/>
  <c r="F381" i="63" s="1"/>
  <c r="C401" i="57" l="1"/>
  <c r="E401" i="57" s="1"/>
  <c r="F401" i="57" s="1"/>
  <c r="D628" i="65"/>
  <c r="C628" i="65" s="1"/>
  <c r="E628" i="65" s="1"/>
  <c r="F628" i="65" s="1"/>
  <c r="D382" i="63"/>
  <c r="C382" i="63" s="1"/>
  <c r="D402" i="57" l="1"/>
  <c r="C402" i="57" s="1"/>
  <c r="E402" i="57" s="1"/>
  <c r="F402" i="57" s="1"/>
  <c r="D403" i="57" s="1"/>
  <c r="D629" i="65"/>
  <c r="C629" i="65" s="1"/>
  <c r="E629" i="65" s="1"/>
  <c r="F629" i="65" s="1"/>
  <c r="E382" i="63"/>
  <c r="F382" i="63" s="1"/>
  <c r="D630" i="65" l="1"/>
  <c r="C630" i="65" s="1"/>
  <c r="E630" i="65" s="1"/>
  <c r="F630" i="65" s="1"/>
  <c r="C403" i="57"/>
  <c r="E403" i="57" s="1"/>
  <c r="F403" i="57" s="1"/>
  <c r="D383" i="63"/>
  <c r="C383" i="63" s="1"/>
  <c r="D631" i="65" l="1"/>
  <c r="C631" i="65" s="1"/>
  <c r="E631" i="65" s="1"/>
  <c r="F631" i="65" s="1"/>
  <c r="D404" i="57"/>
  <c r="E383" i="63"/>
  <c r="F383" i="63" s="1"/>
  <c r="C404" i="57" l="1"/>
  <c r="E404" i="57" s="1"/>
  <c r="F404" i="57" s="1"/>
  <c r="D632" i="65"/>
  <c r="C632" i="65" s="1"/>
  <c r="E632" i="65" s="1"/>
  <c r="F632" i="65" s="1"/>
  <c r="D384" i="63"/>
  <c r="C384" i="63" s="1"/>
  <c r="D405" i="57" l="1"/>
  <c r="C405" i="57" s="1"/>
  <c r="E405" i="57" s="1"/>
  <c r="F405" i="57" s="1"/>
  <c r="D633" i="65"/>
  <c r="C633" i="65" s="1"/>
  <c r="E633" i="65" s="1"/>
  <c r="F633" i="65" s="1"/>
  <c r="E384" i="63"/>
  <c r="F384" i="63" s="1"/>
  <c r="D634" i="65" l="1"/>
  <c r="C634" i="65" s="1"/>
  <c r="E634" i="65" s="1"/>
  <c r="F634" i="65" s="1"/>
  <c r="D406" i="57"/>
  <c r="D385" i="63"/>
  <c r="C385" i="63" s="1"/>
  <c r="C406" i="57" l="1"/>
  <c r="E406" i="57" s="1"/>
  <c r="F406" i="57" s="1"/>
  <c r="D635" i="65"/>
  <c r="C635" i="65" s="1"/>
  <c r="E635" i="65" s="1"/>
  <c r="F635" i="65" s="1"/>
  <c r="E385" i="63"/>
  <c r="F385" i="63" s="1"/>
  <c r="D407" i="57" l="1"/>
  <c r="C407" i="57"/>
  <c r="E407" i="57" s="1"/>
  <c r="F407" i="57" s="1"/>
  <c r="D636" i="65"/>
  <c r="C636" i="65" s="1"/>
  <c r="E636" i="65" s="1"/>
  <c r="F636" i="65" s="1"/>
  <c r="D386" i="63"/>
  <c r="C386" i="63" s="1"/>
  <c r="D637" i="65" l="1"/>
  <c r="C637" i="65" s="1"/>
  <c r="E637" i="65" s="1"/>
  <c r="F637" i="65" s="1"/>
  <c r="D408" i="57"/>
  <c r="C408" i="57" s="1"/>
  <c r="E386" i="63"/>
  <c r="F386" i="63" s="1"/>
  <c r="D638" i="65" l="1"/>
  <c r="C638" i="65" s="1"/>
  <c r="E638" i="65" s="1"/>
  <c r="F638" i="65" s="1"/>
  <c r="E408" i="57"/>
  <c r="F408" i="57" s="1"/>
  <c r="D387" i="63"/>
  <c r="C387" i="63" s="1"/>
  <c r="D639" i="65" l="1"/>
  <c r="C639" i="65" s="1"/>
  <c r="E639" i="65" s="1"/>
  <c r="F639" i="65" s="1"/>
  <c r="D409" i="57"/>
  <c r="C409" i="57" s="1"/>
  <c r="E387" i="63"/>
  <c r="F387" i="63" s="1"/>
  <c r="D640" i="65" l="1"/>
  <c r="C640" i="65" s="1"/>
  <c r="E640" i="65" s="1"/>
  <c r="F640" i="65" s="1"/>
  <c r="E409" i="57"/>
  <c r="F409" i="57" s="1"/>
  <c r="D410" i="57" s="1"/>
  <c r="D388" i="63"/>
  <c r="C388" i="63" s="1"/>
  <c r="D641" i="65" l="1"/>
  <c r="C641" i="65" s="1"/>
  <c r="E641" i="65" s="1"/>
  <c r="F641" i="65" s="1"/>
  <c r="C410" i="57"/>
  <c r="E410" i="57" s="1"/>
  <c r="F410" i="57" s="1"/>
  <c r="E388" i="63"/>
  <c r="F388" i="63" s="1"/>
  <c r="D642" i="65" l="1"/>
  <c r="C642" i="65" s="1"/>
  <c r="E642" i="65" s="1"/>
  <c r="F642" i="65" s="1"/>
  <c r="D411" i="57"/>
  <c r="D389" i="63"/>
  <c r="C389" i="63" s="1"/>
  <c r="C411" i="57" l="1"/>
  <c r="E411" i="57" s="1"/>
  <c r="F411" i="57" s="1"/>
  <c r="D643" i="65"/>
  <c r="C643" i="65" s="1"/>
  <c r="E643" i="65" s="1"/>
  <c r="F643" i="65" s="1"/>
  <c r="E389" i="63"/>
  <c r="F389" i="63" s="1"/>
  <c r="D390" i="63" s="1"/>
  <c r="D412" i="57" l="1"/>
  <c r="C412" i="57" s="1"/>
  <c r="E412" i="57" s="1"/>
  <c r="F412" i="57" s="1"/>
  <c r="D413" i="57" s="1"/>
  <c r="D644" i="65"/>
  <c r="C644" i="65" s="1"/>
  <c r="E644" i="65" s="1"/>
  <c r="F644" i="65" s="1"/>
  <c r="C390" i="63"/>
  <c r="E390" i="63" s="1"/>
  <c r="F390" i="63" s="1"/>
  <c r="C413" i="57" l="1"/>
  <c r="D645" i="65"/>
  <c r="C645" i="65" s="1"/>
  <c r="E645" i="65" s="1"/>
  <c r="F645" i="65" s="1"/>
  <c r="E413" i="57"/>
  <c r="F413" i="57" s="1"/>
  <c r="D391" i="63"/>
  <c r="C391" i="63" s="1"/>
  <c r="D646" i="65" l="1"/>
  <c r="C646" i="65" s="1"/>
  <c r="E646" i="65" s="1"/>
  <c r="F646" i="65" s="1"/>
  <c r="D414" i="57"/>
  <c r="C414" i="57" s="1"/>
  <c r="E391" i="63"/>
  <c r="F391" i="63" s="1"/>
  <c r="D647" i="65" l="1"/>
  <c r="C647" i="65" s="1"/>
  <c r="E647" i="65" s="1"/>
  <c r="F647" i="65" s="1"/>
  <c r="E414" i="57"/>
  <c r="F414" i="57" s="1"/>
  <c r="D392" i="63"/>
  <c r="C392" i="63" s="1"/>
  <c r="D648" i="65" l="1"/>
  <c r="C648" i="65" s="1"/>
  <c r="E648" i="65" s="1"/>
  <c r="F648" i="65" s="1"/>
  <c r="D415" i="57"/>
  <c r="E392" i="63"/>
  <c r="F392" i="63" s="1"/>
  <c r="C415" i="57" l="1"/>
  <c r="E415" i="57" s="1"/>
  <c r="F415" i="57" s="1"/>
  <c r="D649" i="65"/>
  <c r="C649" i="65" s="1"/>
  <c r="E649" i="65" s="1"/>
  <c r="F649" i="65" s="1"/>
  <c r="D393" i="63"/>
  <c r="C393" i="63" s="1"/>
  <c r="D416" i="57" l="1"/>
  <c r="C416" i="57"/>
  <c r="E416" i="57" s="1"/>
  <c r="F416" i="57" s="1"/>
  <c r="D650" i="65"/>
  <c r="C650" i="65" s="1"/>
  <c r="E650" i="65" s="1"/>
  <c r="F650" i="65" s="1"/>
  <c r="E393" i="63"/>
  <c r="F393" i="63" s="1"/>
  <c r="D651" i="65" l="1"/>
  <c r="C651" i="65" s="1"/>
  <c r="E651" i="65" s="1"/>
  <c r="F651" i="65" s="1"/>
  <c r="D417" i="57"/>
  <c r="C417" i="57" s="1"/>
  <c r="D394" i="63"/>
  <c r="C394" i="63" s="1"/>
  <c r="D652" i="65" l="1"/>
  <c r="C652" i="65"/>
  <c r="E652" i="65" s="1"/>
  <c r="F652" i="65" s="1"/>
  <c r="E417" i="57"/>
  <c r="F417" i="57" s="1"/>
  <c r="E394" i="63"/>
  <c r="F394" i="63" s="1"/>
  <c r="D653" i="65" l="1"/>
  <c r="C653" i="65"/>
  <c r="E653" i="65" s="1"/>
  <c r="F653" i="65" s="1"/>
  <c r="D418" i="57"/>
  <c r="C418" i="57"/>
  <c r="D395" i="63"/>
  <c r="C395" i="63" s="1"/>
  <c r="D654" i="65" l="1"/>
  <c r="C654" i="65"/>
  <c r="E654" i="65" s="1"/>
  <c r="F654" i="65" s="1"/>
  <c r="E418" i="57"/>
  <c r="F418" i="57" s="1"/>
  <c r="E395" i="63"/>
  <c r="F395" i="63" s="1"/>
  <c r="D655" i="65" l="1"/>
  <c r="C655" i="65" s="1"/>
  <c r="E655" i="65" s="1"/>
  <c r="F655" i="65" s="1"/>
  <c r="D419" i="57"/>
  <c r="D396" i="63"/>
  <c r="C396" i="63" s="1"/>
  <c r="C419" i="57" l="1"/>
  <c r="E419" i="57" s="1"/>
  <c r="F419" i="57" s="1"/>
  <c r="D656" i="65"/>
  <c r="C656" i="65" s="1"/>
  <c r="E396" i="63"/>
  <c r="F396" i="63" s="1"/>
  <c r="D420" i="57" l="1"/>
  <c r="C420" i="57"/>
  <c r="E420" i="57" s="1"/>
  <c r="F420" i="57" s="1"/>
  <c r="E656" i="65"/>
  <c r="F656" i="65" s="1"/>
  <c r="D657" i="65" s="1"/>
  <c r="C657" i="65" s="1"/>
  <c r="E657" i="65" s="1"/>
  <c r="F657" i="65" s="1"/>
  <c r="D397" i="63"/>
  <c r="C397" i="63" s="1"/>
  <c r="D658" i="65" l="1"/>
  <c r="C658" i="65"/>
  <c r="E658" i="65" s="1"/>
  <c r="F658" i="65" s="1"/>
  <c r="D421" i="57"/>
  <c r="E397" i="63"/>
  <c r="F397" i="63" s="1"/>
  <c r="C421" i="57" l="1"/>
  <c r="E421" i="57" s="1"/>
  <c r="F421" i="57" s="1"/>
  <c r="D659" i="65"/>
  <c r="C659" i="65" s="1"/>
  <c r="E659" i="65" s="1"/>
  <c r="F659" i="65" s="1"/>
  <c r="D398" i="63"/>
  <c r="C398" i="63" s="1"/>
  <c r="D422" i="57" l="1"/>
  <c r="C422" i="57" s="1"/>
  <c r="E422" i="57" s="1"/>
  <c r="F422" i="57" s="1"/>
  <c r="D423" i="57" s="1"/>
  <c r="D660" i="65"/>
  <c r="C660" i="65" s="1"/>
  <c r="E660" i="65" s="1"/>
  <c r="F660" i="65" s="1"/>
  <c r="E398" i="63"/>
  <c r="F398" i="63" s="1"/>
  <c r="D399" i="63" s="1"/>
  <c r="D661" i="65" l="1"/>
  <c r="C661" i="65" s="1"/>
  <c r="E661" i="65" s="1"/>
  <c r="F661" i="65" s="1"/>
  <c r="C423" i="57"/>
  <c r="E423" i="57" s="1"/>
  <c r="F423" i="57" s="1"/>
  <c r="C399" i="63"/>
  <c r="E399" i="63" s="1"/>
  <c r="F399" i="63" s="1"/>
  <c r="D424" i="57" l="1"/>
  <c r="C424" i="57" s="1"/>
  <c r="E424" i="57" s="1"/>
  <c r="F424" i="57" s="1"/>
  <c r="D662" i="65"/>
  <c r="C662" i="65" s="1"/>
  <c r="E662" i="65" s="1"/>
  <c r="F662" i="65" s="1"/>
  <c r="D400" i="63"/>
  <c r="C400" i="63" s="1"/>
  <c r="D663" i="65" l="1"/>
  <c r="C663" i="65" s="1"/>
  <c r="E663" i="65" s="1"/>
  <c r="F663" i="65" s="1"/>
  <c r="D425" i="57"/>
  <c r="C425" i="57" s="1"/>
  <c r="E400" i="63"/>
  <c r="F400" i="63" s="1"/>
  <c r="D664" i="65" l="1"/>
  <c r="C664" i="65"/>
  <c r="E425" i="57"/>
  <c r="F425" i="57" s="1"/>
  <c r="D401" i="63"/>
  <c r="C401" i="63" s="1"/>
  <c r="E664" i="65" l="1"/>
  <c r="F664" i="65" s="1"/>
  <c r="D665" i="65" s="1"/>
  <c r="C665" i="65" s="1"/>
  <c r="D426" i="57"/>
  <c r="C426" i="57" s="1"/>
  <c r="E401" i="63"/>
  <c r="F401" i="63" s="1"/>
  <c r="E665" i="65" l="1"/>
  <c r="F665" i="65" s="1"/>
  <c r="D666" i="65" s="1"/>
  <c r="C666" i="65" s="1"/>
  <c r="E666" i="65" s="1"/>
  <c r="F666" i="65" s="1"/>
  <c r="E426" i="57"/>
  <c r="F426" i="57" s="1"/>
  <c r="D402" i="63"/>
  <c r="C402" i="63" s="1"/>
  <c r="D667" i="65" l="1"/>
  <c r="C667" i="65" s="1"/>
  <c r="E667" i="65" s="1"/>
  <c r="F667" i="65" s="1"/>
  <c r="D427" i="57"/>
  <c r="C427" i="57" s="1"/>
  <c r="E402" i="63"/>
  <c r="F402" i="63" s="1"/>
  <c r="D403" i="63" s="1"/>
  <c r="D668" i="65" l="1"/>
  <c r="C668" i="65" s="1"/>
  <c r="E668" i="65" s="1"/>
  <c r="F668" i="65" s="1"/>
  <c r="C403" i="63"/>
  <c r="E403" i="63" s="1"/>
  <c r="F403" i="63" s="1"/>
  <c r="E427" i="57"/>
  <c r="F427" i="57" s="1"/>
  <c r="D669" i="65" l="1"/>
  <c r="C669" i="65" s="1"/>
  <c r="E669" i="65" s="1"/>
  <c r="F669" i="65" s="1"/>
  <c r="D404" i="63"/>
  <c r="C404" i="63" s="1"/>
  <c r="E404" i="63" s="1"/>
  <c r="F404" i="63" s="1"/>
  <c r="D405" i="63" s="1"/>
  <c r="D428" i="57"/>
  <c r="C428" i="57" s="1"/>
  <c r="D670" i="65" l="1"/>
  <c r="C670" i="65" s="1"/>
  <c r="E670" i="65" s="1"/>
  <c r="F670" i="65" s="1"/>
  <c r="C405" i="63"/>
  <c r="E405" i="63" s="1"/>
  <c r="F405" i="63" s="1"/>
  <c r="E428" i="57"/>
  <c r="F428" i="57" s="1"/>
  <c r="D671" i="65" l="1"/>
  <c r="C671" i="65"/>
  <c r="E671" i="65" s="1"/>
  <c r="F671" i="65" s="1"/>
  <c r="D406" i="63"/>
  <c r="C406" i="63" s="1"/>
  <c r="E406" i="63" s="1"/>
  <c r="F406" i="63" s="1"/>
  <c r="D429" i="57"/>
  <c r="C429" i="57" s="1"/>
  <c r="D672" i="65" l="1"/>
  <c r="C672" i="65"/>
  <c r="E672" i="65" s="1"/>
  <c r="F672" i="65" s="1"/>
  <c r="E429" i="57"/>
  <c r="F429" i="57" s="1"/>
  <c r="D407" i="63"/>
  <c r="C407" i="63" s="1"/>
  <c r="D673" i="65" l="1"/>
  <c r="C673" i="65"/>
  <c r="E673" i="65" s="1"/>
  <c r="F673" i="65" s="1"/>
  <c r="D430" i="57"/>
  <c r="C430" i="57" s="1"/>
  <c r="E407" i="63"/>
  <c r="F407" i="63" s="1"/>
  <c r="D674" i="65" l="1"/>
  <c r="C674" i="65"/>
  <c r="E674" i="65" s="1"/>
  <c r="F674" i="65" s="1"/>
  <c r="E430" i="57"/>
  <c r="F430" i="57" s="1"/>
  <c r="D408" i="63"/>
  <c r="C408" i="63" s="1"/>
  <c r="D675" i="65" l="1"/>
  <c r="C675" i="65" s="1"/>
  <c r="E675" i="65" s="1"/>
  <c r="F675" i="65" s="1"/>
  <c r="D431" i="57"/>
  <c r="C431" i="57" s="1"/>
  <c r="E408" i="63"/>
  <c r="F408" i="63" s="1"/>
  <c r="D676" i="65" l="1"/>
  <c r="C676" i="65"/>
  <c r="E676" i="65" s="1"/>
  <c r="F676" i="65" s="1"/>
  <c r="E431" i="57"/>
  <c r="F431" i="57" s="1"/>
  <c r="D409" i="63"/>
  <c r="C409" i="63" s="1"/>
  <c r="D677" i="65" l="1"/>
  <c r="C677" i="65" s="1"/>
  <c r="E677" i="65" s="1"/>
  <c r="F677" i="65" s="1"/>
  <c r="D432" i="57"/>
  <c r="C432" i="57" s="1"/>
  <c r="E409" i="63"/>
  <c r="F409" i="63" s="1"/>
  <c r="D678" i="65" l="1"/>
  <c r="C678" i="65"/>
  <c r="E678" i="65" s="1"/>
  <c r="F678" i="65" s="1"/>
  <c r="E432" i="57"/>
  <c r="F432" i="57" s="1"/>
  <c r="D410" i="63"/>
  <c r="C410" i="63" s="1"/>
  <c r="D679" i="65" l="1"/>
  <c r="C679" i="65" s="1"/>
  <c r="E679" i="65" s="1"/>
  <c r="F679" i="65" s="1"/>
  <c r="D433" i="57"/>
  <c r="C433" i="57" s="1"/>
  <c r="E410" i="63"/>
  <c r="F410" i="63" s="1"/>
  <c r="D680" i="65" l="1"/>
  <c r="C680" i="65" s="1"/>
  <c r="E680" i="65" s="1"/>
  <c r="F680" i="65" s="1"/>
  <c r="E433" i="57"/>
  <c r="F433" i="57" s="1"/>
  <c r="D434" i="57" s="1"/>
  <c r="D411" i="63"/>
  <c r="C411" i="63" s="1"/>
  <c r="D681" i="65" l="1"/>
  <c r="C681" i="65" s="1"/>
  <c r="E681" i="65" s="1"/>
  <c r="F681" i="65" s="1"/>
  <c r="C434" i="57"/>
  <c r="E434" i="57" s="1"/>
  <c r="F434" i="57" s="1"/>
  <c r="E411" i="63"/>
  <c r="F411" i="63" s="1"/>
  <c r="D435" i="57" l="1"/>
  <c r="C435" i="57" s="1"/>
  <c r="E435" i="57" s="1"/>
  <c r="F435" i="57" s="1"/>
  <c r="D682" i="65"/>
  <c r="C682" i="65" s="1"/>
  <c r="E682" i="65" s="1"/>
  <c r="F682" i="65" s="1"/>
  <c r="D412" i="63"/>
  <c r="C412" i="63" s="1"/>
  <c r="D683" i="65" l="1"/>
  <c r="C683" i="65" s="1"/>
  <c r="E683" i="65" s="1"/>
  <c r="F683" i="65" s="1"/>
  <c r="D436" i="57"/>
  <c r="C436" i="57" s="1"/>
  <c r="E412" i="63"/>
  <c r="F412" i="63" s="1"/>
  <c r="D684" i="65" l="1"/>
  <c r="C684" i="65" s="1"/>
  <c r="E684" i="65" s="1"/>
  <c r="F684" i="65" s="1"/>
  <c r="E436" i="57"/>
  <c r="F436" i="57" s="1"/>
  <c r="D413" i="63"/>
  <c r="C413" i="63" s="1"/>
  <c r="D685" i="65" l="1"/>
  <c r="C685" i="65"/>
  <c r="E685" i="65" s="1"/>
  <c r="F685" i="65" s="1"/>
  <c r="D437" i="57"/>
  <c r="C437" i="57" s="1"/>
  <c r="E413" i="63"/>
  <c r="F413" i="63" s="1"/>
  <c r="D686" i="65" l="1"/>
  <c r="C686" i="65"/>
  <c r="E686" i="65" s="1"/>
  <c r="F686" i="65" s="1"/>
  <c r="E437" i="57"/>
  <c r="F437" i="57" s="1"/>
  <c r="D414" i="63"/>
  <c r="C414" i="63" s="1"/>
  <c r="D687" i="65" l="1"/>
  <c r="C687" i="65" s="1"/>
  <c r="E687" i="65" s="1"/>
  <c r="F687" i="65" s="1"/>
  <c r="D438" i="57"/>
  <c r="C438" i="57" s="1"/>
  <c r="E414" i="63"/>
  <c r="F414" i="63" s="1"/>
  <c r="D688" i="65" l="1"/>
  <c r="C688" i="65" s="1"/>
  <c r="E688" i="65" s="1"/>
  <c r="F688" i="65" s="1"/>
  <c r="E438" i="57"/>
  <c r="F438" i="57" s="1"/>
  <c r="D415" i="63"/>
  <c r="C415" i="63" s="1"/>
  <c r="D689" i="65" l="1"/>
  <c r="C689" i="65" s="1"/>
  <c r="E689" i="65" s="1"/>
  <c r="F689" i="65" s="1"/>
  <c r="D439" i="57"/>
  <c r="C439" i="57" s="1"/>
  <c r="E415" i="63"/>
  <c r="F415" i="63" s="1"/>
  <c r="D416" i="63" s="1"/>
  <c r="D690" i="65" l="1"/>
  <c r="C690" i="65"/>
  <c r="E690" i="65" s="1"/>
  <c r="F690" i="65" s="1"/>
  <c r="E439" i="57"/>
  <c r="F439" i="57" s="1"/>
  <c r="C416" i="63"/>
  <c r="E416" i="63" s="1"/>
  <c r="F416" i="63" s="1"/>
  <c r="D417" i="63" s="1"/>
  <c r="D440" i="57" l="1"/>
  <c r="C440" i="57" s="1"/>
  <c r="E440" i="57" s="1"/>
  <c r="F440" i="57" s="1"/>
  <c r="D691" i="65"/>
  <c r="C691" i="65" s="1"/>
  <c r="E691" i="65" s="1"/>
  <c r="F691" i="65" s="1"/>
  <c r="C417" i="63"/>
  <c r="E417" i="63" s="1"/>
  <c r="F417" i="63" s="1"/>
  <c r="D692" i="65" l="1"/>
  <c r="C692" i="65"/>
  <c r="E692" i="65" s="1"/>
  <c r="F692" i="65" s="1"/>
  <c r="D441" i="57"/>
  <c r="C441" i="57" s="1"/>
  <c r="D418" i="63"/>
  <c r="C418" i="63" s="1"/>
  <c r="D693" i="65" l="1"/>
  <c r="C693" i="65" s="1"/>
  <c r="E693" i="65" s="1"/>
  <c r="F693" i="65" s="1"/>
  <c r="E441" i="57"/>
  <c r="F441" i="57" s="1"/>
  <c r="E418" i="63"/>
  <c r="F418" i="63" s="1"/>
  <c r="D694" i="65" l="1"/>
  <c r="C694" i="65" s="1"/>
  <c r="E694" i="65" s="1"/>
  <c r="F694" i="65" s="1"/>
  <c r="D442" i="57"/>
  <c r="C442" i="57" s="1"/>
  <c r="D419" i="63"/>
  <c r="C419" i="63" s="1"/>
  <c r="D695" i="65" l="1"/>
  <c r="C695" i="65"/>
  <c r="E695" i="65" s="1"/>
  <c r="F695" i="65" s="1"/>
  <c r="E442" i="57"/>
  <c r="F442" i="57" s="1"/>
  <c r="E419" i="63"/>
  <c r="F419" i="63" s="1"/>
  <c r="D696" i="65" l="1"/>
  <c r="C696" i="65" s="1"/>
  <c r="E696" i="65" s="1"/>
  <c r="F696" i="65" s="1"/>
  <c r="D443" i="57"/>
  <c r="C443" i="57" s="1"/>
  <c r="D420" i="63"/>
  <c r="C420" i="63" s="1"/>
  <c r="D697" i="65" l="1"/>
  <c r="C697" i="65" s="1"/>
  <c r="E443" i="57"/>
  <c r="F443" i="57" s="1"/>
  <c r="E420" i="63"/>
  <c r="F420" i="63" s="1"/>
  <c r="E697" i="65" l="1"/>
  <c r="F697" i="65" s="1"/>
  <c r="D698" i="65"/>
  <c r="C698" i="65" s="1"/>
  <c r="E698" i="65" s="1"/>
  <c r="F698" i="65" s="1"/>
  <c r="D444" i="57"/>
  <c r="C444" i="57"/>
  <c r="D421" i="63"/>
  <c r="C421" i="63" s="1"/>
  <c r="D699" i="65" l="1"/>
  <c r="C699" i="65" s="1"/>
  <c r="E699" i="65" s="1"/>
  <c r="F699" i="65" s="1"/>
  <c r="E444" i="57"/>
  <c r="F444" i="57" s="1"/>
  <c r="E421" i="63"/>
  <c r="F421" i="63" s="1"/>
  <c r="D700" i="65" l="1"/>
  <c r="C700" i="65" s="1"/>
  <c r="E700" i="65" s="1"/>
  <c r="F700" i="65" s="1"/>
  <c r="D445" i="57"/>
  <c r="D422" i="63"/>
  <c r="C422" i="63" s="1"/>
  <c r="C445" i="57" l="1"/>
  <c r="E445" i="57" s="1"/>
  <c r="F445" i="57" s="1"/>
  <c r="D701" i="65"/>
  <c r="C701" i="65" s="1"/>
  <c r="E701" i="65" s="1"/>
  <c r="F701" i="65" s="1"/>
  <c r="E422" i="63"/>
  <c r="F422" i="63" s="1"/>
  <c r="D446" i="57" l="1"/>
  <c r="C446" i="57" s="1"/>
  <c r="E446" i="57" s="1"/>
  <c r="F446" i="57" s="1"/>
  <c r="D702" i="65"/>
  <c r="C702" i="65"/>
  <c r="D423" i="63"/>
  <c r="C423" i="63" s="1"/>
  <c r="E702" i="65" l="1"/>
  <c r="F702" i="65" s="1"/>
  <c r="D703" i="65"/>
  <c r="C703" i="65" s="1"/>
  <c r="E703" i="65" s="1"/>
  <c r="F703" i="65" s="1"/>
  <c r="D447" i="57"/>
  <c r="C447" i="57" s="1"/>
  <c r="E423" i="63"/>
  <c r="F423" i="63" s="1"/>
  <c r="D424" i="63" s="1"/>
  <c r="D704" i="65" l="1"/>
  <c r="C704" i="65" s="1"/>
  <c r="E704" i="65" s="1"/>
  <c r="F704" i="65" s="1"/>
  <c r="C424" i="63"/>
  <c r="E424" i="63" s="1"/>
  <c r="F424" i="63" s="1"/>
  <c r="E447" i="57"/>
  <c r="F447" i="57" s="1"/>
  <c r="D705" i="65" l="1"/>
  <c r="C705" i="65" s="1"/>
  <c r="E705" i="65" s="1"/>
  <c r="F705" i="65" s="1"/>
  <c r="D448" i="57"/>
  <c r="C448" i="57" s="1"/>
  <c r="D425" i="63"/>
  <c r="C425" i="63" s="1"/>
  <c r="D706" i="65" l="1"/>
  <c r="C706" i="65"/>
  <c r="E706" i="65" s="1"/>
  <c r="F706" i="65" s="1"/>
  <c r="E448" i="57"/>
  <c r="F448" i="57" s="1"/>
  <c r="E425" i="63"/>
  <c r="F425" i="63" s="1"/>
  <c r="D707" i="65" l="1"/>
  <c r="C707" i="65"/>
  <c r="E707" i="65" s="1"/>
  <c r="F707" i="65" s="1"/>
  <c r="D449" i="57"/>
  <c r="D426" i="63"/>
  <c r="C426" i="63" s="1"/>
  <c r="C449" i="57" l="1"/>
  <c r="E449" i="57" s="1"/>
  <c r="F449" i="57" s="1"/>
  <c r="D708" i="65"/>
  <c r="C708" i="65" s="1"/>
  <c r="E708" i="65" s="1"/>
  <c r="F708" i="65" s="1"/>
  <c r="E426" i="63"/>
  <c r="F426" i="63" s="1"/>
  <c r="D450" i="57" l="1"/>
  <c r="C450" i="57"/>
  <c r="D709" i="65"/>
  <c r="C709" i="65" s="1"/>
  <c r="E709" i="65" s="1"/>
  <c r="F709" i="65" s="1"/>
  <c r="E450" i="57"/>
  <c r="F450" i="57" s="1"/>
  <c r="D451" i="57" s="1"/>
  <c r="D427" i="63"/>
  <c r="C427" i="63" s="1"/>
  <c r="D710" i="65" l="1"/>
  <c r="C710" i="65"/>
  <c r="E710" i="65" s="1"/>
  <c r="F710" i="65" s="1"/>
  <c r="C451" i="57"/>
  <c r="E451" i="57" s="1"/>
  <c r="F451" i="57" s="1"/>
  <c r="E427" i="63"/>
  <c r="F427" i="63" s="1"/>
  <c r="D428" i="63" s="1"/>
  <c r="D711" i="65" l="1"/>
  <c r="C711" i="65" s="1"/>
  <c r="E711" i="65" s="1"/>
  <c r="F711" i="65" s="1"/>
  <c r="D452" i="57"/>
  <c r="C428" i="63"/>
  <c r="E428" i="63" s="1"/>
  <c r="F428" i="63" s="1"/>
  <c r="C452" i="57" l="1"/>
  <c r="E452" i="57" s="1"/>
  <c r="F452" i="57" s="1"/>
  <c r="D712" i="65"/>
  <c r="C712" i="65" s="1"/>
  <c r="E712" i="65" s="1"/>
  <c r="F712" i="65" s="1"/>
  <c r="D429" i="63"/>
  <c r="C429" i="63" s="1"/>
  <c r="E429" i="63" s="1"/>
  <c r="F429" i="63" s="1"/>
  <c r="D430" i="63" s="1"/>
  <c r="D453" i="57" l="1"/>
  <c r="C453" i="57"/>
  <c r="E453" i="57" s="1"/>
  <c r="F453" i="57" s="1"/>
  <c r="D713" i="65"/>
  <c r="C713" i="65" s="1"/>
  <c r="E713" i="65" s="1"/>
  <c r="F713" i="65" s="1"/>
  <c r="C430" i="63"/>
  <c r="E430" i="63" s="1"/>
  <c r="F430" i="63" s="1"/>
  <c r="D431" i="63" s="1"/>
  <c r="D714" i="65" l="1"/>
  <c r="C714" i="65"/>
  <c r="E714" i="65" s="1"/>
  <c r="F714" i="65" s="1"/>
  <c r="C431" i="63"/>
  <c r="E431" i="63" s="1"/>
  <c r="F431" i="63" s="1"/>
  <c r="D454" i="57"/>
  <c r="C454" i="57" s="1"/>
  <c r="D715" i="65" l="1"/>
  <c r="C715" i="65" s="1"/>
  <c r="E715" i="65" s="1"/>
  <c r="F715" i="65" s="1"/>
  <c r="D432" i="63"/>
  <c r="C432" i="63" s="1"/>
  <c r="E432" i="63" s="1"/>
  <c r="F432" i="63" s="1"/>
  <c r="E454" i="57"/>
  <c r="F454" i="57" s="1"/>
  <c r="D716" i="65" l="1"/>
  <c r="C716" i="65" s="1"/>
  <c r="E716" i="65" s="1"/>
  <c r="F716" i="65" s="1"/>
  <c r="D455" i="57"/>
  <c r="C455" i="57" s="1"/>
  <c r="D433" i="63"/>
  <c r="C433" i="63" s="1"/>
  <c r="E433" i="63" s="1"/>
  <c r="F433" i="63" s="1"/>
  <c r="D717" i="65" l="1"/>
  <c r="C717" i="65" s="1"/>
  <c r="E717" i="65" s="1"/>
  <c r="F717" i="65" s="1"/>
  <c r="E455" i="57"/>
  <c r="F455" i="57" s="1"/>
  <c r="D434" i="63"/>
  <c r="C434" i="63" s="1"/>
  <c r="E434" i="63" s="1"/>
  <c r="F434" i="63" s="1"/>
  <c r="D718" i="65" l="1"/>
  <c r="C718" i="65" s="1"/>
  <c r="E718" i="65" s="1"/>
  <c r="F718" i="65" s="1"/>
  <c r="D456" i="57"/>
  <c r="C456" i="57" s="1"/>
  <c r="D435" i="63"/>
  <c r="C435" i="63" s="1"/>
  <c r="E435" i="63" s="1"/>
  <c r="F435" i="63" s="1"/>
  <c r="D719" i="65" l="1"/>
  <c r="C719" i="65" s="1"/>
  <c r="E719" i="65" s="1"/>
  <c r="F719" i="65" s="1"/>
  <c r="E456" i="57"/>
  <c r="F456" i="57" s="1"/>
  <c r="D457" i="57" s="1"/>
  <c r="D436" i="63"/>
  <c r="C436" i="63" s="1"/>
  <c r="E436" i="63" s="1"/>
  <c r="F436" i="63" s="1"/>
  <c r="D720" i="65" l="1"/>
  <c r="C720" i="65" s="1"/>
  <c r="E720" i="65" s="1"/>
  <c r="F720" i="65" s="1"/>
  <c r="C457" i="57"/>
  <c r="E457" i="57" s="1"/>
  <c r="F457" i="57" s="1"/>
  <c r="D458" i="57" s="1"/>
  <c r="D437" i="63"/>
  <c r="C437" i="63" s="1"/>
  <c r="E437" i="63" s="1"/>
  <c r="F437" i="63" s="1"/>
  <c r="C458" i="57" l="1"/>
  <c r="E458" i="57" s="1"/>
  <c r="F458" i="57" s="1"/>
  <c r="D459" i="57" s="1"/>
  <c r="D721" i="65"/>
  <c r="C721" i="65" s="1"/>
  <c r="E721" i="65" s="1"/>
  <c r="F721" i="65" s="1"/>
  <c r="D438" i="63"/>
  <c r="C438" i="63" s="1"/>
  <c r="E438" i="63" s="1"/>
  <c r="F438" i="63" s="1"/>
  <c r="D722" i="65" l="1"/>
  <c r="C722" i="65" s="1"/>
  <c r="E722" i="65" s="1"/>
  <c r="F722" i="65" s="1"/>
  <c r="C459" i="57"/>
  <c r="E459" i="57" s="1"/>
  <c r="F459" i="57" s="1"/>
  <c r="D460" i="57" s="1"/>
  <c r="D439" i="63"/>
  <c r="C439" i="63" s="1"/>
  <c r="E439" i="63" s="1"/>
  <c r="F439" i="63" s="1"/>
  <c r="D723" i="65" l="1"/>
  <c r="C723" i="65" s="1"/>
  <c r="E723" i="65" s="1"/>
  <c r="F723" i="65" s="1"/>
  <c r="C460" i="57"/>
  <c r="E460" i="57" s="1"/>
  <c r="F460" i="57" s="1"/>
  <c r="D440" i="63"/>
  <c r="C440" i="63" s="1"/>
  <c r="E440" i="63" s="1"/>
  <c r="F440" i="63" s="1"/>
  <c r="D724" i="65" l="1"/>
  <c r="C724" i="65"/>
  <c r="E724" i="65" s="1"/>
  <c r="F724" i="65" s="1"/>
  <c r="D461" i="57"/>
  <c r="D441" i="63"/>
  <c r="C441" i="63" s="1"/>
  <c r="E441" i="63" s="1"/>
  <c r="F441" i="63" s="1"/>
  <c r="C461" i="57" l="1"/>
  <c r="E461" i="57" s="1"/>
  <c r="F461" i="57" s="1"/>
  <c r="D725" i="65"/>
  <c r="C725" i="65" s="1"/>
  <c r="E725" i="65" s="1"/>
  <c r="F725" i="65" s="1"/>
  <c r="D442" i="63"/>
  <c r="C442" i="63" s="1"/>
  <c r="E442" i="63" s="1"/>
  <c r="F442" i="63" s="1"/>
  <c r="D462" i="57" l="1"/>
  <c r="C462" i="57" s="1"/>
  <c r="E462" i="57" s="1"/>
  <c r="F462" i="57" s="1"/>
  <c r="D463" i="57" s="1"/>
  <c r="D726" i="65"/>
  <c r="C726" i="65" s="1"/>
  <c r="E726" i="65" s="1"/>
  <c r="F726" i="65" s="1"/>
  <c r="D443" i="63"/>
  <c r="C443" i="63" s="1"/>
  <c r="E443" i="63" s="1"/>
  <c r="F443" i="63" s="1"/>
  <c r="D727" i="65" l="1"/>
  <c r="C727" i="65" s="1"/>
  <c r="E727" i="65" s="1"/>
  <c r="F727" i="65" s="1"/>
  <c r="C463" i="57"/>
  <c r="E463" i="57" s="1"/>
  <c r="F463" i="57" s="1"/>
  <c r="D464" i="57" s="1"/>
  <c r="D444" i="63"/>
  <c r="C444" i="63" s="1"/>
  <c r="E444" i="63" s="1"/>
  <c r="F444" i="63" s="1"/>
  <c r="D728" i="65" l="1"/>
  <c r="C728" i="65" s="1"/>
  <c r="E728" i="65" s="1"/>
  <c r="F728" i="65" s="1"/>
  <c r="C464" i="57"/>
  <c r="E464" i="57" s="1"/>
  <c r="F464" i="57" s="1"/>
  <c r="D465" i="57" s="1"/>
  <c r="D445" i="63"/>
  <c r="C445" i="63" s="1"/>
  <c r="E445" i="63" s="1"/>
  <c r="F445" i="63" s="1"/>
  <c r="D729" i="65" l="1"/>
  <c r="C729" i="65"/>
  <c r="E729" i="65" s="1"/>
  <c r="F729" i="65" s="1"/>
  <c r="C465" i="57"/>
  <c r="E465" i="57" s="1"/>
  <c r="F465" i="57" s="1"/>
  <c r="D466" i="57" s="1"/>
  <c r="D446" i="63"/>
  <c r="C446" i="63" s="1"/>
  <c r="E446" i="63" s="1"/>
  <c r="F446" i="63" s="1"/>
  <c r="D730" i="65" l="1"/>
  <c r="C730" i="65"/>
  <c r="E730" i="65" s="1"/>
  <c r="F730" i="65" s="1"/>
  <c r="C466" i="57"/>
  <c r="E466" i="57" s="1"/>
  <c r="F466" i="57" s="1"/>
  <c r="D467" i="57" s="1"/>
  <c r="D447" i="63"/>
  <c r="C447" i="63" s="1"/>
  <c r="E447" i="63" s="1"/>
  <c r="F447" i="63" s="1"/>
  <c r="D731" i="65" l="1"/>
  <c r="C731" i="65" s="1"/>
  <c r="E731" i="65" s="1"/>
  <c r="F731" i="65" s="1"/>
  <c r="C467" i="57"/>
  <c r="E467" i="57" s="1"/>
  <c r="F467" i="57" s="1"/>
  <c r="D468" i="57" s="1"/>
  <c r="D448" i="63"/>
  <c r="C448" i="63" s="1"/>
  <c r="E448" i="63" s="1"/>
  <c r="F448" i="63" s="1"/>
  <c r="D732" i="65" l="1"/>
  <c r="C732" i="65" s="1"/>
  <c r="E732" i="65" s="1"/>
  <c r="F732" i="65" s="1"/>
  <c r="C468" i="57"/>
  <c r="E468" i="57" s="1"/>
  <c r="F468" i="57" s="1"/>
  <c r="D469" i="57" s="1"/>
  <c r="D449" i="63"/>
  <c r="C449" i="63" s="1"/>
  <c r="E449" i="63" s="1"/>
  <c r="F449" i="63" s="1"/>
  <c r="D733" i="65" l="1"/>
  <c r="C469" i="57"/>
  <c r="E469" i="57" s="1"/>
  <c r="F469" i="57" s="1"/>
  <c r="D470" i="57" s="1"/>
  <c r="D450" i="63"/>
  <c r="C450" i="63" s="1"/>
  <c r="E450" i="63" s="1"/>
  <c r="F450" i="63" s="1"/>
  <c r="C733" i="65" l="1"/>
  <c r="E733" i="65" s="1"/>
  <c r="K18" i="65" s="1"/>
  <c r="L18" i="65" s="1"/>
  <c r="J18" i="65"/>
  <c r="C470" i="57"/>
  <c r="E470" i="57" s="1"/>
  <c r="F470" i="57" s="1"/>
  <c r="D471" i="57" s="1"/>
  <c r="C471" i="57" s="1"/>
  <c r="E471" i="57" s="1"/>
  <c r="F471" i="57" s="1"/>
  <c r="K19" i="65"/>
  <c r="L19" i="65" s="1"/>
  <c r="J19" i="65"/>
  <c r="D451" i="63"/>
  <c r="C451" i="63" s="1"/>
  <c r="E451" i="63" s="1"/>
  <c r="F451" i="63" s="1"/>
  <c r="F733" i="65" l="1"/>
  <c r="M18" i="65"/>
  <c r="M19" i="65"/>
  <c r="J20" i="65"/>
  <c r="K20" i="65"/>
  <c r="L20" i="65" s="1"/>
  <c r="J21" i="65"/>
  <c r="J22" i="65" s="1"/>
  <c r="D472" i="57"/>
  <c r="C472" i="57" s="1"/>
  <c r="E472" i="57" s="1"/>
  <c r="F472" i="57" s="1"/>
  <c r="D452" i="63"/>
  <c r="C452" i="63" s="1"/>
  <c r="E452" i="63" s="1"/>
  <c r="F452" i="63" s="1"/>
  <c r="J23" i="65" l="1"/>
  <c r="K21" i="65"/>
  <c r="L21" i="65" s="1"/>
  <c r="M20" i="65"/>
  <c r="D473" i="57"/>
  <c r="C473" i="57" s="1"/>
  <c r="D453" i="63"/>
  <c r="C453" i="63" s="1"/>
  <c r="E453" i="63" s="1"/>
  <c r="F453" i="63" s="1"/>
  <c r="E473" i="57" l="1"/>
  <c r="F473" i="57" s="1"/>
  <c r="J24" i="65"/>
  <c r="M21" i="65"/>
  <c r="K22" i="65"/>
  <c r="D474" i="57"/>
  <c r="C474" i="57"/>
  <c r="D454" i="63"/>
  <c r="C454" i="63" s="1"/>
  <c r="E454" i="63" s="1"/>
  <c r="F454" i="63" s="1"/>
  <c r="E474" i="57" l="1"/>
  <c r="F474" i="57" s="1"/>
  <c r="J25" i="65"/>
  <c r="M22" i="65"/>
  <c r="K23" i="65"/>
  <c r="L22" i="65"/>
  <c r="D475" i="57"/>
  <c r="C475" i="57" s="1"/>
  <c r="D455" i="63"/>
  <c r="C455" i="63" s="1"/>
  <c r="E455" i="63" s="1"/>
  <c r="F455" i="63" s="1"/>
  <c r="L23" i="65" l="1"/>
  <c r="J26" i="65"/>
  <c r="M23" i="65"/>
  <c r="K24" i="65"/>
  <c r="K25" i="65" s="1"/>
  <c r="K26" i="65" s="1"/>
  <c r="E475" i="57"/>
  <c r="F475" i="57" s="1"/>
  <c r="D456" i="63"/>
  <c r="C456" i="63"/>
  <c r="E456" i="63" s="1"/>
  <c r="F456" i="63" s="1"/>
  <c r="L24" i="65" l="1"/>
  <c r="L25" i="65" s="1"/>
  <c r="L26" i="65" s="1"/>
  <c r="M26" i="65"/>
  <c r="J27" i="65"/>
  <c r="M25" i="65"/>
  <c r="M24" i="65"/>
  <c r="K27" i="65"/>
  <c r="K28" i="65" s="1"/>
  <c r="K29" i="65" s="1"/>
  <c r="K30" i="65" s="1"/>
  <c r="K31" i="65" s="1"/>
  <c r="D476" i="57"/>
  <c r="C476" i="57"/>
  <c r="D457" i="63"/>
  <c r="C457" i="63" s="1"/>
  <c r="E457" i="63" s="1"/>
  <c r="F457" i="63" s="1"/>
  <c r="K32" i="65" l="1"/>
  <c r="K33" i="65" s="1"/>
  <c r="K34" i="65" s="1"/>
  <c r="K35" i="65" s="1"/>
  <c r="K36" i="65" s="1"/>
  <c r="K37" i="65" s="1"/>
  <c r="K38" i="65" s="1"/>
  <c r="K39" i="65" s="1"/>
  <c r="K40" i="65" s="1"/>
  <c r="K41" i="65" s="1"/>
  <c r="K42" i="65" s="1"/>
  <c r="K43" i="65" s="1"/>
  <c r="K44" i="65" s="1"/>
  <c r="K45" i="65" s="1"/>
  <c r="K46" i="65" s="1"/>
  <c r="K47" i="65" s="1"/>
  <c r="K48" i="65" s="1"/>
  <c r="K49" i="65" s="1"/>
  <c r="K50" i="65" s="1"/>
  <c r="K51" i="65" s="1"/>
  <c r="K52" i="65" s="1"/>
  <c r="K53" i="65" s="1"/>
  <c r="K54" i="65" s="1"/>
  <c r="K55" i="65" s="1"/>
  <c r="K56" i="65" s="1"/>
  <c r="K57" i="65" s="1"/>
  <c r="K58" i="65" s="1"/>
  <c r="K59" i="65" s="1"/>
  <c r="K60" i="65" s="1"/>
  <c r="K61" i="65" s="1"/>
  <c r="K62" i="65" s="1"/>
  <c r="K63" i="65" s="1"/>
  <c r="K64" i="65" s="1"/>
  <c r="K65" i="65" s="1"/>
  <c r="K66" i="65" s="1"/>
  <c r="K67" i="65" s="1"/>
  <c r="K68" i="65" s="1"/>
  <c r="K69" i="65" s="1"/>
  <c r="K70" i="65" s="1"/>
  <c r="K71" i="65" s="1"/>
  <c r="K72" i="65" s="1"/>
  <c r="K73" i="65" s="1"/>
  <c r="K74" i="65" s="1"/>
  <c r="K75" i="65" s="1"/>
  <c r="K76" i="65" s="1"/>
  <c r="K77" i="65" s="1"/>
  <c r="M27" i="65"/>
  <c r="J28" i="65"/>
  <c r="M28" i="65" s="1"/>
  <c r="E476" i="57"/>
  <c r="F476" i="57" s="1"/>
  <c r="L27" i="65"/>
  <c r="L28" i="65" s="1"/>
  <c r="L29" i="65" s="1"/>
  <c r="L30" i="65" s="1"/>
  <c r="L31" i="65" s="1"/>
  <c r="D458" i="63"/>
  <c r="C458" i="63" s="1"/>
  <c r="E458" i="63" s="1"/>
  <c r="F458" i="63" s="1"/>
  <c r="D477" i="57" l="1"/>
  <c r="C477" i="57" s="1"/>
  <c r="E477" i="57" s="1"/>
  <c r="F477" i="57" s="1"/>
  <c r="D478" i="57" s="1"/>
  <c r="L32" i="65"/>
  <c r="L33" i="65" s="1"/>
  <c r="L34" i="65" s="1"/>
  <c r="J29" i="65"/>
  <c r="D459" i="63"/>
  <c r="C459" i="63" s="1"/>
  <c r="E459" i="63" s="1"/>
  <c r="F459" i="63" s="1"/>
  <c r="L35" i="65" l="1"/>
  <c r="L36" i="65" s="1"/>
  <c r="L37" i="65" s="1"/>
  <c r="L38" i="65" s="1"/>
  <c r="L39" i="65" s="1"/>
  <c r="L40" i="65" s="1"/>
  <c r="L41" i="65" s="1"/>
  <c r="L42" i="65" s="1"/>
  <c r="L43" i="65" s="1"/>
  <c r="L44" i="65" s="1"/>
  <c r="L45" i="65" s="1"/>
  <c r="L46" i="65" s="1"/>
  <c r="L47" i="65" s="1"/>
  <c r="L48" i="65" s="1"/>
  <c r="L49" i="65" s="1"/>
  <c r="L50" i="65" s="1"/>
  <c r="L51" i="65" s="1"/>
  <c r="L52" i="65" s="1"/>
  <c r="L53" i="65" s="1"/>
  <c r="L54" i="65" s="1"/>
  <c r="L55" i="65" s="1"/>
  <c r="L56" i="65" s="1"/>
  <c r="L57" i="65" s="1"/>
  <c r="L58" i="65" s="1"/>
  <c r="L59" i="65" s="1"/>
  <c r="L60" i="65" s="1"/>
  <c r="L61" i="65" s="1"/>
  <c r="L62" i="65" s="1"/>
  <c r="L63" i="65" s="1"/>
  <c r="L64" i="65" s="1"/>
  <c r="L65" i="65" s="1"/>
  <c r="L66" i="65" s="1"/>
  <c r="L67" i="65" s="1"/>
  <c r="L68" i="65" s="1"/>
  <c r="L69" i="65" s="1"/>
  <c r="L70" i="65" s="1"/>
  <c r="L71" i="65" s="1"/>
  <c r="L72" i="65" s="1"/>
  <c r="L73" i="65" s="1"/>
  <c r="L74" i="65" s="1"/>
  <c r="L75" i="65" s="1"/>
  <c r="L76" i="65" s="1"/>
  <c r="L77" i="65" s="1"/>
  <c r="C478" i="57"/>
  <c r="E478" i="57" s="1"/>
  <c r="F478" i="57" s="1"/>
  <c r="M29" i="65"/>
  <c r="J30" i="65"/>
  <c r="D460" i="63"/>
  <c r="C460" i="63" s="1"/>
  <c r="E460" i="63" s="1"/>
  <c r="F460" i="63" s="1"/>
  <c r="M30" i="65" l="1"/>
  <c r="J31" i="65"/>
  <c r="D479" i="57"/>
  <c r="D461" i="63"/>
  <c r="C461" i="63" s="1"/>
  <c r="E461" i="63" s="1"/>
  <c r="F461" i="63" s="1"/>
  <c r="C479" i="57" l="1"/>
  <c r="E479" i="57" s="1"/>
  <c r="F479" i="57" s="1"/>
  <c r="M31" i="65"/>
  <c r="J32" i="65"/>
  <c r="D462" i="63"/>
  <c r="C462" i="63" s="1"/>
  <c r="E462" i="63" s="1"/>
  <c r="F462" i="63" s="1"/>
  <c r="D480" i="57" l="1"/>
  <c r="M32" i="65"/>
  <c r="J33" i="65"/>
  <c r="D463" i="63"/>
  <c r="C463" i="63" s="1"/>
  <c r="E463" i="63" s="1"/>
  <c r="F463" i="63" s="1"/>
  <c r="C480" i="57" l="1"/>
  <c r="E480" i="57" s="1"/>
  <c r="F480" i="57" s="1"/>
  <c r="M33" i="65"/>
  <c r="J34" i="65"/>
  <c r="D464" i="63"/>
  <c r="C464" i="63" s="1"/>
  <c r="E464" i="63" s="1"/>
  <c r="F464" i="63" s="1"/>
  <c r="D481" i="57" l="1"/>
  <c r="C481" i="57"/>
  <c r="E481" i="57" s="1"/>
  <c r="F481" i="57" s="1"/>
  <c r="M34" i="65"/>
  <c r="J35" i="65"/>
  <c r="D465" i="63"/>
  <c r="C465" i="63" s="1"/>
  <c r="E465" i="63" s="1"/>
  <c r="F465" i="63" s="1"/>
  <c r="D482" i="57" l="1"/>
  <c r="C482" i="57" s="1"/>
  <c r="E482" i="57" s="1"/>
  <c r="F482" i="57" s="1"/>
  <c r="M35" i="65"/>
  <c r="J36" i="65"/>
  <c r="D466" i="63"/>
  <c r="C466" i="63" s="1"/>
  <c r="E466" i="63" s="1"/>
  <c r="F466" i="63" s="1"/>
  <c r="D483" i="57" l="1"/>
  <c r="C483" i="57" s="1"/>
  <c r="E483" i="57" s="1"/>
  <c r="F483" i="57" s="1"/>
  <c r="M36" i="65"/>
  <c r="J37" i="65"/>
  <c r="D467" i="63"/>
  <c r="C467" i="63" s="1"/>
  <c r="E467" i="63" s="1"/>
  <c r="F467" i="63" s="1"/>
  <c r="M37" i="65" l="1"/>
  <c r="J38" i="65"/>
  <c r="D484" i="57"/>
  <c r="C484" i="57" s="1"/>
  <c r="D468" i="63"/>
  <c r="C468" i="63" s="1"/>
  <c r="E468" i="63" s="1"/>
  <c r="F468" i="63" s="1"/>
  <c r="E484" i="57" l="1"/>
  <c r="F484" i="57" s="1"/>
  <c r="M38" i="65"/>
  <c r="J39" i="65"/>
  <c r="D485" i="57"/>
  <c r="C485" i="57" s="1"/>
  <c r="D469" i="63"/>
  <c r="C469" i="63" s="1"/>
  <c r="E469" i="63" s="1"/>
  <c r="F469" i="63" s="1"/>
  <c r="E485" i="57" l="1"/>
  <c r="F485" i="57" s="1"/>
  <c r="M39" i="65"/>
  <c r="J40" i="65"/>
  <c r="D486" i="57"/>
  <c r="D470" i="63"/>
  <c r="C470" i="63"/>
  <c r="E470" i="63" s="1"/>
  <c r="F470" i="63" s="1"/>
  <c r="C486" i="57" l="1"/>
  <c r="E486" i="57" s="1"/>
  <c r="F486" i="57" s="1"/>
  <c r="M40" i="65"/>
  <c r="J41" i="65"/>
  <c r="D471" i="63"/>
  <c r="C471" i="63" s="1"/>
  <c r="E471" i="63" s="1"/>
  <c r="F471" i="63" s="1"/>
  <c r="M41" i="65" l="1"/>
  <c r="J42" i="65"/>
  <c r="D487" i="57"/>
  <c r="C487" i="57" s="1"/>
  <c r="D472" i="63"/>
  <c r="C472" i="63" s="1"/>
  <c r="E472" i="63" s="1"/>
  <c r="F472" i="63" s="1"/>
  <c r="M42" i="65" l="1"/>
  <c r="J43" i="65"/>
  <c r="E487" i="57"/>
  <c r="F487" i="57" s="1"/>
  <c r="D473" i="63"/>
  <c r="C473" i="63" s="1"/>
  <c r="E473" i="63" s="1"/>
  <c r="F473" i="63" s="1"/>
  <c r="M43" i="65" l="1"/>
  <c r="J44" i="65"/>
  <c r="D488" i="57"/>
  <c r="C488" i="57" s="1"/>
  <c r="D474" i="63"/>
  <c r="C474" i="63" s="1"/>
  <c r="E474" i="63" s="1"/>
  <c r="F474" i="63" s="1"/>
  <c r="M44" i="65" l="1"/>
  <c r="J45" i="65"/>
  <c r="E488" i="57"/>
  <c r="F488" i="57" s="1"/>
  <c r="D475" i="63"/>
  <c r="C475" i="63" s="1"/>
  <c r="E475" i="63" s="1"/>
  <c r="F475" i="63" s="1"/>
  <c r="M45" i="65" l="1"/>
  <c r="J46" i="65"/>
  <c r="D489" i="57"/>
  <c r="C489" i="57" s="1"/>
  <c r="E489" i="57" s="1"/>
  <c r="F489" i="57" s="1"/>
  <c r="D476" i="63"/>
  <c r="C476" i="63" s="1"/>
  <c r="M46" i="65" l="1"/>
  <c r="J47" i="65"/>
  <c r="E476" i="63"/>
  <c r="F476" i="63" s="1"/>
  <c r="D477" i="63" s="1"/>
  <c r="C477" i="63" s="1"/>
  <c r="D490" i="57"/>
  <c r="C490" i="57" s="1"/>
  <c r="M47" i="65" l="1"/>
  <c r="J48" i="65"/>
  <c r="E490" i="57"/>
  <c r="F490" i="57" s="1"/>
  <c r="D491" i="57" s="1"/>
  <c r="C491" i="57" s="1"/>
  <c r="E491" i="57" s="1"/>
  <c r="F491" i="57" s="1"/>
  <c r="D492" i="57" s="1"/>
  <c r="C492" i="57" s="1"/>
  <c r="E492" i="57" s="1"/>
  <c r="F492" i="57" s="1"/>
  <c r="D493" i="57" s="1"/>
  <c r="C493" i="57" s="1"/>
  <c r="E493" i="57" s="1"/>
  <c r="F493" i="57" s="1"/>
  <c r="D494" i="57" s="1"/>
  <c r="C494" i="57" s="1"/>
  <c r="E494" i="57" s="1"/>
  <c r="F494" i="57" s="1"/>
  <c r="D495" i="57" s="1"/>
  <c r="C495" i="57" s="1"/>
  <c r="E495" i="57" s="1"/>
  <c r="F495" i="57" s="1"/>
  <c r="D496" i="57" s="1"/>
  <c r="C496" i="57" s="1"/>
  <c r="E496" i="57" s="1"/>
  <c r="F496" i="57" s="1"/>
  <c r="D497" i="57" s="1"/>
  <c r="C497" i="57" s="1"/>
  <c r="E497" i="57" s="1"/>
  <c r="F497" i="57" s="1"/>
  <c r="D498" i="57" s="1"/>
  <c r="C498" i="57" s="1"/>
  <c r="E498" i="57" s="1"/>
  <c r="F498" i="57" s="1"/>
  <c r="D499" i="57" s="1"/>
  <c r="C499" i="57" s="1"/>
  <c r="E499" i="57" s="1"/>
  <c r="F499" i="57" s="1"/>
  <c r="D500" i="57" s="1"/>
  <c r="C500" i="57" s="1"/>
  <c r="E500" i="57" s="1"/>
  <c r="F500" i="57" s="1"/>
  <c r="D501" i="57" s="1"/>
  <c r="C501" i="57" s="1"/>
  <c r="E501" i="57" s="1"/>
  <c r="F501" i="57" s="1"/>
  <c r="D502" i="57" s="1"/>
  <c r="C502" i="57" s="1"/>
  <c r="E502" i="57" s="1"/>
  <c r="F502" i="57" s="1"/>
  <c r="D503" i="57" s="1"/>
  <c r="C503" i="57" s="1"/>
  <c r="E503" i="57" s="1"/>
  <c r="F503" i="57" s="1"/>
  <c r="D504" i="57" s="1"/>
  <c r="C504" i="57" s="1"/>
  <c r="E504" i="57" s="1"/>
  <c r="F504" i="57" s="1"/>
  <c r="D505" i="57" s="1"/>
  <c r="C505" i="57" s="1"/>
  <c r="E505" i="57" s="1"/>
  <c r="F505" i="57" s="1"/>
  <c r="E477" i="63"/>
  <c r="F477" i="63" s="1"/>
  <c r="D478" i="63" s="1"/>
  <c r="C478" i="63" s="1"/>
  <c r="E478" i="63" s="1"/>
  <c r="F478" i="63" s="1"/>
  <c r="M48" i="65" l="1"/>
  <c r="J49" i="65"/>
  <c r="D506" i="57"/>
  <c r="C506" i="57" s="1"/>
  <c r="E506" i="57" s="1"/>
  <c r="F506" i="57" s="1"/>
  <c r="D507" i="57" s="1"/>
  <c r="C507" i="57" s="1"/>
  <c r="E507" i="57" s="1"/>
  <c r="F507" i="57" s="1"/>
  <c r="D508" i="57" s="1"/>
  <c r="C508" i="57" s="1"/>
  <c r="E508" i="57" s="1"/>
  <c r="F508" i="57" s="1"/>
  <c r="D509" i="57" s="1"/>
  <c r="C509" i="57" s="1"/>
  <c r="E509" i="57" s="1"/>
  <c r="F509" i="57" s="1"/>
  <c r="D479" i="63"/>
  <c r="C479" i="63" s="1"/>
  <c r="E479" i="63" s="1"/>
  <c r="F479" i="63" s="1"/>
  <c r="M49" i="65" l="1"/>
  <c r="J50" i="65"/>
  <c r="D510" i="57"/>
  <c r="C510" i="57"/>
  <c r="E510" i="57" s="1"/>
  <c r="F510" i="57" s="1"/>
  <c r="D511" i="57" s="1"/>
  <c r="C511" i="57" s="1"/>
  <c r="E511" i="57" s="1"/>
  <c r="F511" i="57" s="1"/>
  <c r="D512" i="57" s="1"/>
  <c r="C512" i="57" s="1"/>
  <c r="E512" i="57" s="1"/>
  <c r="F512" i="57" s="1"/>
  <c r="D513" i="57" s="1"/>
  <c r="C513" i="57" s="1"/>
  <c r="E513" i="57" s="1"/>
  <c r="F513" i="57" s="1"/>
  <c r="D514" i="57" s="1"/>
  <c r="C514" i="57" s="1"/>
  <c r="E514" i="57" s="1"/>
  <c r="F514" i="57" s="1"/>
  <c r="D515" i="57" s="1"/>
  <c r="C515" i="57" s="1"/>
  <c r="E515" i="57" s="1"/>
  <c r="F515" i="57" s="1"/>
  <c r="D480" i="63"/>
  <c r="C480" i="63" s="1"/>
  <c r="E480" i="63" s="1"/>
  <c r="F480" i="63" s="1"/>
  <c r="M50" i="65" l="1"/>
  <c r="J51" i="65"/>
  <c r="D516" i="57"/>
  <c r="C516" i="57" s="1"/>
  <c r="E516" i="57" s="1"/>
  <c r="F516" i="57" s="1"/>
  <c r="D517" i="57" s="1"/>
  <c r="C517" i="57" s="1"/>
  <c r="E517" i="57" s="1"/>
  <c r="F517" i="57" s="1"/>
  <c r="D518" i="57" s="1"/>
  <c r="C518" i="57" s="1"/>
  <c r="E518" i="57" s="1"/>
  <c r="F518" i="57" s="1"/>
  <c r="D519" i="57" s="1"/>
  <c r="C519" i="57" s="1"/>
  <c r="E519" i="57" s="1"/>
  <c r="F519" i="57" s="1"/>
  <c r="D520" i="57" s="1"/>
  <c r="C520" i="57" s="1"/>
  <c r="E520" i="57" s="1"/>
  <c r="F520" i="57" s="1"/>
  <c r="D521" i="57" s="1"/>
  <c r="C521" i="57" s="1"/>
  <c r="E521" i="57" s="1"/>
  <c r="F521" i="57" s="1"/>
  <c r="D522" i="57" s="1"/>
  <c r="C522" i="57" s="1"/>
  <c r="E522" i="57" s="1"/>
  <c r="F522" i="57" s="1"/>
  <c r="D481" i="63"/>
  <c r="C481" i="63" s="1"/>
  <c r="E481" i="63" s="1"/>
  <c r="F481" i="63" s="1"/>
  <c r="M51" i="65" l="1"/>
  <c r="J52" i="65"/>
  <c r="D523" i="57"/>
  <c r="C523" i="57"/>
  <c r="E523" i="57" s="1"/>
  <c r="F523" i="57" s="1"/>
  <c r="D482" i="63"/>
  <c r="C482" i="63" s="1"/>
  <c r="E482" i="63" s="1"/>
  <c r="F482" i="63" s="1"/>
  <c r="M52" i="65" l="1"/>
  <c r="J53" i="65"/>
  <c r="D524" i="57"/>
  <c r="C524" i="57" s="1"/>
  <c r="E524" i="57" s="1"/>
  <c r="F524" i="57" s="1"/>
  <c r="D483" i="63"/>
  <c r="C483" i="63" s="1"/>
  <c r="E483" i="63" s="1"/>
  <c r="F483" i="63" s="1"/>
  <c r="M53" i="65" l="1"/>
  <c r="J54" i="65"/>
  <c r="D525" i="57"/>
  <c r="C525" i="57" s="1"/>
  <c r="E525" i="57" s="1"/>
  <c r="F525" i="57" s="1"/>
  <c r="D484" i="63"/>
  <c r="C484" i="63" s="1"/>
  <c r="E484" i="63" s="1"/>
  <c r="F484" i="63" s="1"/>
  <c r="M54" i="65" l="1"/>
  <c r="J55" i="65"/>
  <c r="D526" i="57"/>
  <c r="C526" i="57" s="1"/>
  <c r="E526" i="57" s="1"/>
  <c r="F526" i="57" s="1"/>
  <c r="D485" i="63"/>
  <c r="C485" i="63" s="1"/>
  <c r="E485" i="63" s="1"/>
  <c r="F485" i="63" s="1"/>
  <c r="M55" i="65" l="1"/>
  <c r="J56" i="65"/>
  <c r="D527" i="57"/>
  <c r="C527" i="57" s="1"/>
  <c r="E527" i="57" s="1"/>
  <c r="F527" i="57" s="1"/>
  <c r="D486" i="63"/>
  <c r="C486" i="63" s="1"/>
  <c r="E486" i="63" s="1"/>
  <c r="F486" i="63" s="1"/>
  <c r="M56" i="65" l="1"/>
  <c r="J57" i="65"/>
  <c r="D528" i="57"/>
  <c r="C528" i="57" s="1"/>
  <c r="E528" i="57" s="1"/>
  <c r="F528" i="57" s="1"/>
  <c r="D487" i="63"/>
  <c r="C487" i="63" s="1"/>
  <c r="E487" i="63" s="1"/>
  <c r="F487" i="63" s="1"/>
  <c r="M57" i="65" l="1"/>
  <c r="J58" i="65"/>
  <c r="D529" i="57"/>
  <c r="C529" i="57" s="1"/>
  <c r="E529" i="57" s="1"/>
  <c r="F529" i="57" s="1"/>
  <c r="D488" i="63"/>
  <c r="C488" i="63" s="1"/>
  <c r="E488" i="63" s="1"/>
  <c r="F488" i="63" s="1"/>
  <c r="M58" i="65" l="1"/>
  <c r="J59" i="65"/>
  <c r="D530" i="57"/>
  <c r="C530" i="57" s="1"/>
  <c r="E530" i="57" s="1"/>
  <c r="F530" i="57" s="1"/>
  <c r="D489" i="63"/>
  <c r="C489" i="63" s="1"/>
  <c r="E489" i="63" s="1"/>
  <c r="F489" i="63" s="1"/>
  <c r="M59" i="65" l="1"/>
  <c r="J60" i="65"/>
  <c r="D531" i="57"/>
  <c r="C531" i="57" s="1"/>
  <c r="E531" i="57" s="1"/>
  <c r="F531" i="57" s="1"/>
  <c r="D490" i="63"/>
  <c r="C490" i="63" s="1"/>
  <c r="E490" i="63" s="1"/>
  <c r="F490" i="63" s="1"/>
  <c r="M60" i="65" l="1"/>
  <c r="J61" i="65"/>
  <c r="D532" i="57"/>
  <c r="C532" i="57" s="1"/>
  <c r="E532" i="57" s="1"/>
  <c r="F532" i="57" s="1"/>
  <c r="D491" i="63"/>
  <c r="C491" i="63" s="1"/>
  <c r="E491" i="63" s="1"/>
  <c r="F491" i="63" s="1"/>
  <c r="M61" i="65" l="1"/>
  <c r="J62" i="65"/>
  <c r="D533" i="57"/>
  <c r="C533" i="57" s="1"/>
  <c r="E533" i="57" s="1"/>
  <c r="F533" i="57" s="1"/>
  <c r="D492" i="63"/>
  <c r="C492" i="63" s="1"/>
  <c r="E492" i="63" s="1"/>
  <c r="F492" i="63" s="1"/>
  <c r="M62" i="65" l="1"/>
  <c r="J63" i="65"/>
  <c r="D534" i="57"/>
  <c r="C534" i="57" s="1"/>
  <c r="E534" i="57" s="1"/>
  <c r="F534" i="57" s="1"/>
  <c r="D493" i="63"/>
  <c r="C493" i="63" s="1"/>
  <c r="E493" i="63" s="1"/>
  <c r="F493" i="63" s="1"/>
  <c r="M63" i="65" l="1"/>
  <c r="J64" i="65"/>
  <c r="D535" i="57"/>
  <c r="C535" i="57"/>
  <c r="E535" i="57" s="1"/>
  <c r="F535" i="57" s="1"/>
  <c r="D494" i="63"/>
  <c r="C494" i="63" s="1"/>
  <c r="E494" i="63" s="1"/>
  <c r="F494" i="63" s="1"/>
  <c r="M64" i="65" l="1"/>
  <c r="J65" i="65"/>
  <c r="D536" i="57"/>
  <c r="C536" i="57" s="1"/>
  <c r="E536" i="57" s="1"/>
  <c r="F536" i="57" s="1"/>
  <c r="D495" i="63"/>
  <c r="C495" i="63" s="1"/>
  <c r="E495" i="63" s="1"/>
  <c r="F495" i="63" s="1"/>
  <c r="M65" i="65" l="1"/>
  <c r="J66" i="65"/>
  <c r="D537" i="57"/>
  <c r="C537" i="57"/>
  <c r="E537" i="57" s="1"/>
  <c r="F537" i="57" s="1"/>
  <c r="D496" i="63"/>
  <c r="C496" i="63" s="1"/>
  <c r="E496" i="63" s="1"/>
  <c r="F496" i="63" s="1"/>
  <c r="M66" i="65" l="1"/>
  <c r="J67" i="65"/>
  <c r="D538" i="57"/>
  <c r="C538" i="57" s="1"/>
  <c r="E538" i="57" s="1"/>
  <c r="F538" i="57" s="1"/>
  <c r="D497" i="63"/>
  <c r="C497" i="63" s="1"/>
  <c r="E497" i="63" s="1"/>
  <c r="F497" i="63" s="1"/>
  <c r="M67" i="65" l="1"/>
  <c r="J68" i="65"/>
  <c r="D539" i="57"/>
  <c r="C539" i="57" s="1"/>
  <c r="E539" i="57" s="1"/>
  <c r="F539" i="57" s="1"/>
  <c r="D498" i="63"/>
  <c r="C498" i="63" s="1"/>
  <c r="E498" i="63" s="1"/>
  <c r="F498" i="63" s="1"/>
  <c r="M68" i="65" l="1"/>
  <c r="J69" i="65"/>
  <c r="D540" i="57"/>
  <c r="C540" i="57" s="1"/>
  <c r="E540" i="57" s="1"/>
  <c r="F540" i="57" s="1"/>
  <c r="D499" i="63"/>
  <c r="C499" i="63" s="1"/>
  <c r="E499" i="63" s="1"/>
  <c r="F499" i="63" s="1"/>
  <c r="M69" i="65" l="1"/>
  <c r="J70" i="65"/>
  <c r="D541" i="57"/>
  <c r="C541" i="57" s="1"/>
  <c r="E541" i="57" s="1"/>
  <c r="F541" i="57" s="1"/>
  <c r="D500" i="63"/>
  <c r="C500" i="63" s="1"/>
  <c r="E500" i="63" s="1"/>
  <c r="F500" i="63" s="1"/>
  <c r="M70" i="65" l="1"/>
  <c r="J71" i="65"/>
  <c r="D542" i="57"/>
  <c r="C542" i="57" s="1"/>
  <c r="E542" i="57" s="1"/>
  <c r="F542" i="57" s="1"/>
  <c r="D501" i="63"/>
  <c r="C501" i="63" s="1"/>
  <c r="E501" i="63" s="1"/>
  <c r="F501" i="63" s="1"/>
  <c r="M71" i="65" l="1"/>
  <c r="J72" i="65"/>
  <c r="D543" i="57"/>
  <c r="C543" i="57" s="1"/>
  <c r="E543" i="57" s="1"/>
  <c r="F543" i="57" s="1"/>
  <c r="D502" i="63"/>
  <c r="C502" i="63" s="1"/>
  <c r="E502" i="63" s="1"/>
  <c r="F502" i="63" s="1"/>
  <c r="M72" i="65" l="1"/>
  <c r="J73" i="65"/>
  <c r="D544" i="57"/>
  <c r="C544" i="57" s="1"/>
  <c r="E544" i="57" s="1"/>
  <c r="F544" i="57" s="1"/>
  <c r="D503" i="63"/>
  <c r="C503" i="63" s="1"/>
  <c r="E503" i="63" s="1"/>
  <c r="F503" i="63" s="1"/>
  <c r="M73" i="65" l="1"/>
  <c r="J74" i="65"/>
  <c r="D545" i="57"/>
  <c r="C545" i="57"/>
  <c r="E545" i="57" s="1"/>
  <c r="F545" i="57" s="1"/>
  <c r="D504" i="63"/>
  <c r="C504" i="63" s="1"/>
  <c r="E504" i="63" s="1"/>
  <c r="F504" i="63" s="1"/>
  <c r="M74" i="65" l="1"/>
  <c r="J75" i="65"/>
  <c r="D546" i="57"/>
  <c r="C546" i="57" s="1"/>
  <c r="E546" i="57" s="1"/>
  <c r="F546" i="57" s="1"/>
  <c r="D505" i="63"/>
  <c r="C505" i="63" s="1"/>
  <c r="E505" i="63" s="1"/>
  <c r="F505" i="63" s="1"/>
  <c r="M75" i="65" l="1"/>
  <c r="J76" i="65"/>
  <c r="D547" i="57"/>
  <c r="C547" i="57"/>
  <c r="E547" i="57" s="1"/>
  <c r="F547" i="57" s="1"/>
  <c r="D506" i="63"/>
  <c r="C506" i="63" s="1"/>
  <c r="E506" i="63" s="1"/>
  <c r="F506" i="63" s="1"/>
  <c r="M76" i="65" l="1"/>
  <c r="J77" i="65"/>
  <c r="M77" i="65" s="1"/>
  <c r="D548" i="57"/>
  <c r="C548" i="57" s="1"/>
  <c r="E548" i="57" s="1"/>
  <c r="F548" i="57" s="1"/>
  <c r="D507" i="63"/>
  <c r="C507" i="63" s="1"/>
  <c r="E507" i="63" s="1"/>
  <c r="F507" i="63" s="1"/>
  <c r="D549" i="57" l="1"/>
  <c r="C549" i="57" s="1"/>
  <c r="E549" i="57" s="1"/>
  <c r="F549" i="57" s="1"/>
  <c r="D508" i="63"/>
  <c r="C508" i="63" s="1"/>
  <c r="E508" i="63" s="1"/>
  <c r="F508" i="63" s="1"/>
  <c r="D550" i="57" l="1"/>
  <c r="C550" i="57" s="1"/>
  <c r="E550" i="57" s="1"/>
  <c r="F550" i="57" s="1"/>
  <c r="D509" i="63"/>
  <c r="C509" i="63" s="1"/>
  <c r="E509" i="63" s="1"/>
  <c r="F509" i="63" s="1"/>
  <c r="D551" i="57" l="1"/>
  <c r="C551" i="57" s="1"/>
  <c r="E551" i="57" s="1"/>
  <c r="F551" i="57" s="1"/>
  <c r="D510" i="63"/>
  <c r="C510" i="63" s="1"/>
  <c r="E510" i="63" s="1"/>
  <c r="F510" i="63" s="1"/>
  <c r="D552" i="57" l="1"/>
  <c r="C552" i="57"/>
  <c r="E552" i="57" s="1"/>
  <c r="F552" i="57" s="1"/>
  <c r="D511" i="63"/>
  <c r="C511" i="63" s="1"/>
  <c r="E511" i="63" s="1"/>
  <c r="F511" i="63" s="1"/>
  <c r="D553" i="57" l="1"/>
  <c r="C553" i="57" s="1"/>
  <c r="E553" i="57" s="1"/>
  <c r="F553" i="57" s="1"/>
  <c r="D512" i="63"/>
  <c r="C512" i="63" s="1"/>
  <c r="E512" i="63" s="1"/>
  <c r="F512" i="63" s="1"/>
  <c r="D554" i="57" l="1"/>
  <c r="C554" i="57" s="1"/>
  <c r="E554" i="57" s="1"/>
  <c r="F554" i="57" s="1"/>
  <c r="D513" i="63"/>
  <c r="C513" i="63" s="1"/>
  <c r="E513" i="63" l="1"/>
  <c r="F513" i="63" s="1"/>
  <c r="D514" i="63" s="1"/>
  <c r="C514" i="63" s="1"/>
  <c r="E514" i="63" s="1"/>
  <c r="F514" i="63" s="1"/>
  <c r="D555" i="57"/>
  <c r="C555" i="57" s="1"/>
  <c r="E555" i="57" s="1"/>
  <c r="F555" i="57" s="1"/>
  <c r="D556" i="57" l="1"/>
  <c r="C556" i="57" s="1"/>
  <c r="E556" i="57" s="1"/>
  <c r="F556" i="57" s="1"/>
  <c r="D515" i="63"/>
  <c r="C515" i="63" s="1"/>
  <c r="E515" i="63" s="1"/>
  <c r="F515" i="63" s="1"/>
  <c r="D557" i="57" l="1"/>
  <c r="C557" i="57" s="1"/>
  <c r="E557" i="57" s="1"/>
  <c r="F557" i="57" s="1"/>
  <c r="D516" i="63"/>
  <c r="C516" i="63" s="1"/>
  <c r="E516" i="63" s="1"/>
  <c r="F516" i="63" s="1"/>
  <c r="D558" i="57" l="1"/>
  <c r="C558" i="57" s="1"/>
  <c r="E558" i="57" s="1"/>
  <c r="F558" i="57" s="1"/>
  <c r="D559" i="57" s="1"/>
  <c r="C559" i="57" s="1"/>
  <c r="E559" i="57" s="1"/>
  <c r="F559" i="57" s="1"/>
  <c r="D517" i="63"/>
  <c r="C517" i="63" s="1"/>
  <c r="E517" i="63" s="1"/>
  <c r="F517" i="63" s="1"/>
  <c r="D560" i="57" l="1"/>
  <c r="C560" i="57" s="1"/>
  <c r="E560" i="57" s="1"/>
  <c r="F560" i="57" s="1"/>
  <c r="D518" i="63"/>
  <c r="C518" i="63" s="1"/>
  <c r="E518" i="63" s="1"/>
  <c r="F518" i="63" s="1"/>
  <c r="D561" i="57" l="1"/>
  <c r="C561" i="57" s="1"/>
  <c r="E561" i="57" s="1"/>
  <c r="F561" i="57" s="1"/>
  <c r="D519" i="63"/>
  <c r="C519" i="63" s="1"/>
  <c r="E519" i="63" s="1"/>
  <c r="F519" i="63" s="1"/>
  <c r="D562" i="57" l="1"/>
  <c r="C562" i="57" s="1"/>
  <c r="E562" i="57" s="1"/>
  <c r="F562" i="57" s="1"/>
  <c r="D520" i="63"/>
  <c r="C520" i="63" s="1"/>
  <c r="E520" i="63" s="1"/>
  <c r="F520" i="63" s="1"/>
  <c r="D563" i="57" l="1"/>
  <c r="C563" i="57" s="1"/>
  <c r="E563" i="57" s="1"/>
  <c r="F563" i="57" s="1"/>
  <c r="D521" i="63"/>
  <c r="C521" i="63" s="1"/>
  <c r="E521" i="63" s="1"/>
  <c r="F521" i="63" s="1"/>
  <c r="D564" i="57" l="1"/>
  <c r="C564" i="57"/>
  <c r="E564" i="57" s="1"/>
  <c r="F564" i="57" s="1"/>
  <c r="D522" i="63"/>
  <c r="C522" i="63" s="1"/>
  <c r="E522" i="63" s="1"/>
  <c r="F522" i="63" s="1"/>
  <c r="D565" i="57" l="1"/>
  <c r="C565" i="57" s="1"/>
  <c r="E565" i="57" s="1"/>
  <c r="F565" i="57" s="1"/>
  <c r="D523" i="63"/>
  <c r="C523" i="63" s="1"/>
  <c r="E523" i="63" s="1"/>
  <c r="F523" i="63" s="1"/>
  <c r="D566" i="57" l="1"/>
  <c r="C566" i="57" s="1"/>
  <c r="E566" i="57" s="1"/>
  <c r="F566" i="57" s="1"/>
  <c r="D524" i="63"/>
  <c r="C524" i="63" s="1"/>
  <c r="E524" i="63" s="1"/>
  <c r="F524" i="63" s="1"/>
  <c r="D567" i="57" l="1"/>
  <c r="C567" i="57"/>
  <c r="E567" i="57" s="1"/>
  <c r="F567" i="57" s="1"/>
  <c r="D525" i="63"/>
  <c r="C525" i="63" s="1"/>
  <c r="E525" i="63" s="1"/>
  <c r="F525" i="63" s="1"/>
  <c r="D568" i="57" l="1"/>
  <c r="C568" i="57"/>
  <c r="E568" i="57" s="1"/>
  <c r="F568" i="57" s="1"/>
  <c r="D526" i="63"/>
  <c r="C526" i="63" s="1"/>
  <c r="E526" i="63" s="1"/>
  <c r="F526" i="63" s="1"/>
  <c r="D569" i="57" l="1"/>
  <c r="C569" i="57" s="1"/>
  <c r="E569" i="57" s="1"/>
  <c r="F569" i="57" s="1"/>
  <c r="D527" i="63"/>
  <c r="C527" i="63" s="1"/>
  <c r="E527" i="63" s="1"/>
  <c r="F527" i="63" s="1"/>
  <c r="D570" i="57" l="1"/>
  <c r="C570" i="57"/>
  <c r="E570" i="57" s="1"/>
  <c r="F570" i="57" s="1"/>
  <c r="D528" i="63"/>
  <c r="C528" i="63" s="1"/>
  <c r="E528" i="63" s="1"/>
  <c r="F528" i="63" s="1"/>
  <c r="D571" i="57" l="1"/>
  <c r="C571" i="57" s="1"/>
  <c r="E571" i="57" s="1"/>
  <c r="F571" i="57" s="1"/>
  <c r="D529" i="63"/>
  <c r="C529" i="63" s="1"/>
  <c r="E529" i="63" s="1"/>
  <c r="F529" i="63" s="1"/>
  <c r="D572" i="57" l="1"/>
  <c r="C572" i="57"/>
  <c r="E572" i="57" s="1"/>
  <c r="F572" i="57" s="1"/>
  <c r="D530" i="63"/>
  <c r="C530" i="63" s="1"/>
  <c r="E530" i="63" s="1"/>
  <c r="F530" i="63" s="1"/>
  <c r="D573" i="57" l="1"/>
  <c r="C573" i="57"/>
  <c r="E573" i="57" s="1"/>
  <c r="F573" i="57" s="1"/>
  <c r="D531" i="63"/>
  <c r="C531" i="63" s="1"/>
  <c r="E531" i="63" l="1"/>
  <c r="F531" i="63" s="1"/>
  <c r="D574" i="57"/>
  <c r="C574" i="57" s="1"/>
  <c r="E574" i="57" s="1"/>
  <c r="F574" i="57" s="1"/>
  <c r="D532" i="63"/>
  <c r="C532" i="63" s="1"/>
  <c r="E532" i="63" l="1"/>
  <c r="F532" i="63" s="1"/>
  <c r="D575" i="57"/>
  <c r="C575" i="57" s="1"/>
  <c r="E575" i="57" s="1"/>
  <c r="F575" i="57" s="1"/>
  <c r="D533" i="63"/>
  <c r="C533" i="63" s="1"/>
  <c r="E533" i="63" l="1"/>
  <c r="F533" i="63" s="1"/>
  <c r="D576" i="57"/>
  <c r="C576" i="57" s="1"/>
  <c r="E576" i="57" s="1"/>
  <c r="F576" i="57" s="1"/>
  <c r="D534" i="63"/>
  <c r="C534" i="63" s="1"/>
  <c r="E534" i="63" s="1"/>
  <c r="F534" i="63" s="1"/>
  <c r="D577" i="57" l="1"/>
  <c r="C577" i="57"/>
  <c r="E577" i="57" s="1"/>
  <c r="F577" i="57" s="1"/>
  <c r="D535" i="63"/>
  <c r="C535" i="63" s="1"/>
  <c r="E535" i="63" s="1"/>
  <c r="F535" i="63" s="1"/>
  <c r="D578" i="57" l="1"/>
  <c r="C578" i="57"/>
  <c r="E578" i="57" s="1"/>
  <c r="F578" i="57" s="1"/>
  <c r="D536" i="63"/>
  <c r="C536" i="63" s="1"/>
  <c r="E536" i="63" s="1"/>
  <c r="F536" i="63" s="1"/>
  <c r="D579" i="57" l="1"/>
  <c r="C579" i="57"/>
  <c r="E579" i="57" s="1"/>
  <c r="F579" i="57" s="1"/>
  <c r="D537" i="63"/>
  <c r="C537" i="63" s="1"/>
  <c r="E537" i="63" s="1"/>
  <c r="F537" i="63" s="1"/>
  <c r="D580" i="57" l="1"/>
  <c r="C580" i="57" s="1"/>
  <c r="E580" i="57" s="1"/>
  <c r="F580" i="57" s="1"/>
  <c r="D538" i="63"/>
  <c r="C538" i="63" s="1"/>
  <c r="E538" i="63" s="1"/>
  <c r="F538" i="63" s="1"/>
  <c r="D581" i="57" l="1"/>
  <c r="C581" i="57"/>
  <c r="E581" i="57" s="1"/>
  <c r="F581" i="57" s="1"/>
  <c r="D539" i="63"/>
  <c r="C539" i="63" s="1"/>
  <c r="E539" i="63" s="1"/>
  <c r="F539" i="63" s="1"/>
  <c r="D582" i="57" l="1"/>
  <c r="C582" i="57" s="1"/>
  <c r="E582" i="57" s="1"/>
  <c r="F582" i="57" s="1"/>
  <c r="D540" i="63"/>
  <c r="C540" i="63" s="1"/>
  <c r="E540" i="63" s="1"/>
  <c r="F540" i="63" s="1"/>
  <c r="D583" i="57" l="1"/>
  <c r="C583" i="57"/>
  <c r="E583" i="57" s="1"/>
  <c r="F583" i="57" s="1"/>
  <c r="D541" i="63"/>
  <c r="C541" i="63" s="1"/>
  <c r="E541" i="63" s="1"/>
  <c r="F541" i="63" s="1"/>
  <c r="D584" i="57" l="1"/>
  <c r="C584" i="57" s="1"/>
  <c r="E584" i="57" s="1"/>
  <c r="F584" i="57" s="1"/>
  <c r="D542" i="63"/>
  <c r="C542" i="63" s="1"/>
  <c r="E542" i="63" s="1"/>
  <c r="F542" i="63" s="1"/>
  <c r="D585" i="57" l="1"/>
  <c r="C585" i="57" s="1"/>
  <c r="E585" i="57" s="1"/>
  <c r="F585" i="57" s="1"/>
  <c r="D543" i="63"/>
  <c r="C543" i="63" s="1"/>
  <c r="E543" i="63" s="1"/>
  <c r="F543" i="63" s="1"/>
  <c r="D586" i="57" l="1"/>
  <c r="C586" i="57"/>
  <c r="E586" i="57" s="1"/>
  <c r="F586" i="57" s="1"/>
  <c r="D544" i="63"/>
  <c r="C544" i="63" s="1"/>
  <c r="E544" i="63" s="1"/>
  <c r="F544" i="63" s="1"/>
  <c r="D587" i="57" l="1"/>
  <c r="C587" i="57" s="1"/>
  <c r="E587" i="57" s="1"/>
  <c r="F587" i="57" s="1"/>
  <c r="D545" i="63"/>
  <c r="C545" i="63" s="1"/>
  <c r="E545" i="63" s="1"/>
  <c r="F545" i="63" s="1"/>
  <c r="D588" i="57" l="1"/>
  <c r="C588" i="57"/>
  <c r="E588" i="57" s="1"/>
  <c r="F588" i="57" s="1"/>
  <c r="D546" i="63"/>
  <c r="C546" i="63" s="1"/>
  <c r="E546" i="63" s="1"/>
  <c r="F546" i="63" s="1"/>
  <c r="D589" i="57" l="1"/>
  <c r="C589" i="57"/>
  <c r="E589" i="57" s="1"/>
  <c r="F589" i="57" s="1"/>
  <c r="D547" i="63"/>
  <c r="C547" i="63" s="1"/>
  <c r="E547" i="63" s="1"/>
  <c r="F547" i="63" s="1"/>
  <c r="D590" i="57" l="1"/>
  <c r="C590" i="57"/>
  <c r="E590" i="57" s="1"/>
  <c r="F590" i="57" s="1"/>
  <c r="D548" i="63"/>
  <c r="C548" i="63" s="1"/>
  <c r="E548" i="63" s="1"/>
  <c r="F548" i="63" s="1"/>
  <c r="D591" i="57" l="1"/>
  <c r="C591" i="57"/>
  <c r="E591" i="57" s="1"/>
  <c r="F591" i="57" s="1"/>
  <c r="D549" i="63"/>
  <c r="C549" i="63" s="1"/>
  <c r="E549" i="63" s="1"/>
  <c r="F549" i="63" s="1"/>
  <c r="D592" i="57" l="1"/>
  <c r="C592" i="57" s="1"/>
  <c r="E592" i="57" s="1"/>
  <c r="F592" i="57" s="1"/>
  <c r="D550" i="63"/>
  <c r="C550" i="63" s="1"/>
  <c r="E550" i="63" s="1"/>
  <c r="F550" i="63" s="1"/>
  <c r="D593" i="57" l="1"/>
  <c r="C593" i="57"/>
  <c r="E593" i="57" s="1"/>
  <c r="F593" i="57" s="1"/>
  <c r="D551" i="63"/>
  <c r="C551" i="63" s="1"/>
  <c r="E551" i="63" s="1"/>
  <c r="F551" i="63" s="1"/>
  <c r="D594" i="57" l="1"/>
  <c r="C594" i="57"/>
  <c r="E594" i="57" s="1"/>
  <c r="F594" i="57" s="1"/>
  <c r="D552" i="63"/>
  <c r="C552" i="63" s="1"/>
  <c r="E552" i="63" s="1"/>
  <c r="F552" i="63" s="1"/>
  <c r="D595" i="57" l="1"/>
  <c r="C595" i="57" s="1"/>
  <c r="E595" i="57" s="1"/>
  <c r="F595" i="57" s="1"/>
  <c r="D553" i="63"/>
  <c r="C553" i="63" s="1"/>
  <c r="E553" i="63" s="1"/>
  <c r="F553" i="63" s="1"/>
  <c r="D596" i="57" l="1"/>
  <c r="C596" i="57"/>
  <c r="E596" i="57" s="1"/>
  <c r="F596" i="57" s="1"/>
  <c r="D554" i="63"/>
  <c r="C554" i="63" s="1"/>
  <c r="E554" i="63" s="1"/>
  <c r="F554" i="63" s="1"/>
  <c r="D597" i="57" l="1"/>
  <c r="C597" i="57"/>
  <c r="E597" i="57" s="1"/>
  <c r="F597" i="57" s="1"/>
  <c r="D555" i="63"/>
  <c r="C555" i="63" s="1"/>
  <c r="E555" i="63" s="1"/>
  <c r="F555" i="63" s="1"/>
  <c r="D598" i="57" l="1"/>
  <c r="C598" i="57"/>
  <c r="E598" i="57" s="1"/>
  <c r="F598" i="57" s="1"/>
  <c r="D556" i="63"/>
  <c r="C556" i="63" s="1"/>
  <c r="E556" i="63" s="1"/>
  <c r="F556" i="63" s="1"/>
  <c r="D599" i="57" l="1"/>
  <c r="C599" i="57" s="1"/>
  <c r="E599" i="57" s="1"/>
  <c r="F599" i="57" s="1"/>
  <c r="D557" i="63"/>
  <c r="C557" i="63" s="1"/>
  <c r="E557" i="63" s="1"/>
  <c r="F557" i="63" s="1"/>
  <c r="D600" i="57" l="1"/>
  <c r="C600" i="57"/>
  <c r="E600" i="57" s="1"/>
  <c r="F600" i="57" s="1"/>
  <c r="D558" i="63"/>
  <c r="C558" i="63" s="1"/>
  <c r="E558" i="63" s="1"/>
  <c r="F558" i="63" s="1"/>
  <c r="D601" i="57" l="1"/>
  <c r="C601" i="57" s="1"/>
  <c r="E601" i="57" s="1"/>
  <c r="F601" i="57" s="1"/>
  <c r="D559" i="63"/>
  <c r="C559" i="63" s="1"/>
  <c r="E559" i="63" s="1"/>
  <c r="F559" i="63" s="1"/>
  <c r="D602" i="57" l="1"/>
  <c r="C602" i="57"/>
  <c r="E602" i="57" s="1"/>
  <c r="F602" i="57" s="1"/>
  <c r="D560" i="63"/>
  <c r="C560" i="63" s="1"/>
  <c r="E560" i="63" s="1"/>
  <c r="F560" i="63" s="1"/>
  <c r="D603" i="57" l="1"/>
  <c r="C603" i="57"/>
  <c r="E603" i="57" s="1"/>
  <c r="F603" i="57" s="1"/>
  <c r="D561" i="63"/>
  <c r="C561" i="63" s="1"/>
  <c r="E561" i="63" s="1"/>
  <c r="F561" i="63" s="1"/>
  <c r="D604" i="57" l="1"/>
  <c r="C604" i="57"/>
  <c r="E604" i="57" s="1"/>
  <c r="F604" i="57" s="1"/>
  <c r="D562" i="63"/>
  <c r="C562" i="63" s="1"/>
  <c r="E562" i="63" s="1"/>
  <c r="F562" i="63" s="1"/>
  <c r="D605" i="57" l="1"/>
  <c r="C605" i="57"/>
  <c r="E605" i="57" s="1"/>
  <c r="F605" i="57" s="1"/>
  <c r="D606" i="57" s="1"/>
  <c r="C606" i="57" s="1"/>
  <c r="E606" i="57" s="1"/>
  <c r="F606" i="57" s="1"/>
  <c r="D563" i="63"/>
  <c r="C563" i="63" s="1"/>
  <c r="E563" i="63" s="1"/>
  <c r="F563" i="63" s="1"/>
  <c r="D607" i="57" l="1"/>
  <c r="C607" i="57" s="1"/>
  <c r="E607" i="57" s="1"/>
  <c r="F607" i="57" s="1"/>
  <c r="D564" i="63"/>
  <c r="C564" i="63" s="1"/>
  <c r="E564" i="63" s="1"/>
  <c r="F564" i="63" s="1"/>
  <c r="D608" i="57" l="1"/>
  <c r="C608" i="57"/>
  <c r="E608" i="57" s="1"/>
  <c r="F608" i="57" s="1"/>
  <c r="D565" i="63"/>
  <c r="C565" i="63" s="1"/>
  <c r="E565" i="63" s="1"/>
  <c r="F565" i="63" s="1"/>
  <c r="D609" i="57" l="1"/>
  <c r="C609" i="57"/>
  <c r="E609" i="57" s="1"/>
  <c r="F609" i="57" s="1"/>
  <c r="D566" i="63"/>
  <c r="C566" i="63" s="1"/>
  <c r="E566" i="63" s="1"/>
  <c r="F566" i="63" s="1"/>
  <c r="D610" i="57" l="1"/>
  <c r="C610" i="57"/>
  <c r="E610" i="57" s="1"/>
  <c r="F610" i="57" s="1"/>
  <c r="D567" i="63"/>
  <c r="C567" i="63" s="1"/>
  <c r="E567" i="63" s="1"/>
  <c r="F567" i="63" s="1"/>
  <c r="D611" i="57" l="1"/>
  <c r="C611" i="57"/>
  <c r="E611" i="57" s="1"/>
  <c r="F611" i="57" s="1"/>
  <c r="D612" i="57" s="1"/>
  <c r="C612" i="57" s="1"/>
  <c r="E612" i="57" s="1"/>
  <c r="F612" i="57" s="1"/>
  <c r="D568" i="63"/>
  <c r="C568" i="63" s="1"/>
  <c r="E568" i="63" s="1"/>
  <c r="F568" i="63" s="1"/>
  <c r="D613" i="57" l="1"/>
  <c r="C613" i="57"/>
  <c r="E613" i="57" s="1"/>
  <c r="F613" i="57" s="1"/>
  <c r="D569" i="63"/>
  <c r="C569" i="63" s="1"/>
  <c r="E569" i="63" s="1"/>
  <c r="F569" i="63" s="1"/>
  <c r="D614" i="57" l="1"/>
  <c r="C614" i="57"/>
  <c r="E614" i="57" s="1"/>
  <c r="F614" i="57" s="1"/>
  <c r="D570" i="63"/>
  <c r="C570" i="63" s="1"/>
  <c r="E570" i="63" s="1"/>
  <c r="F570" i="63" s="1"/>
  <c r="D615" i="57" l="1"/>
  <c r="C615" i="57"/>
  <c r="E615" i="57" s="1"/>
  <c r="F615" i="57" s="1"/>
  <c r="D571" i="63"/>
  <c r="C571" i="63" s="1"/>
  <c r="E571" i="63" s="1"/>
  <c r="F571" i="63" s="1"/>
  <c r="D616" i="57" l="1"/>
  <c r="C616" i="57"/>
  <c r="E616" i="57" s="1"/>
  <c r="F616" i="57" s="1"/>
  <c r="D572" i="63"/>
  <c r="C572" i="63" s="1"/>
  <c r="E572" i="63" s="1"/>
  <c r="F572" i="63" s="1"/>
  <c r="D617" i="57" l="1"/>
  <c r="C617" i="57"/>
  <c r="E617" i="57" s="1"/>
  <c r="F617" i="57" s="1"/>
  <c r="D573" i="63"/>
  <c r="C573" i="63" s="1"/>
  <c r="E573" i="63" s="1"/>
  <c r="F573" i="63" s="1"/>
  <c r="D618" i="57" l="1"/>
  <c r="C618" i="57" s="1"/>
  <c r="E618" i="57" s="1"/>
  <c r="F618" i="57" s="1"/>
  <c r="D574" i="63"/>
  <c r="C574" i="63" s="1"/>
  <c r="E574" i="63" s="1"/>
  <c r="F574" i="63" s="1"/>
  <c r="D619" i="57" l="1"/>
  <c r="C619" i="57" s="1"/>
  <c r="E619" i="57" s="1"/>
  <c r="F619" i="57" s="1"/>
  <c r="D575" i="63"/>
  <c r="C575" i="63" s="1"/>
  <c r="E575" i="63" s="1"/>
  <c r="F575" i="63" s="1"/>
  <c r="D620" i="57" l="1"/>
  <c r="C620" i="57" s="1"/>
  <c r="E620" i="57" s="1"/>
  <c r="F620" i="57" s="1"/>
  <c r="D576" i="63"/>
  <c r="C576" i="63" s="1"/>
  <c r="E576" i="63" s="1"/>
  <c r="F576" i="63" s="1"/>
  <c r="D621" i="57" l="1"/>
  <c r="C621" i="57" s="1"/>
  <c r="E621" i="57" s="1"/>
  <c r="F621" i="57" s="1"/>
  <c r="D577" i="63"/>
  <c r="C577" i="63" s="1"/>
  <c r="E577" i="63" s="1"/>
  <c r="F577" i="63" s="1"/>
  <c r="D622" i="57" l="1"/>
  <c r="C622" i="57"/>
  <c r="E622" i="57" s="1"/>
  <c r="F622" i="57" s="1"/>
  <c r="D578" i="63"/>
  <c r="C578" i="63" s="1"/>
  <c r="E578" i="63" s="1"/>
  <c r="F578" i="63" s="1"/>
  <c r="D623" i="57" l="1"/>
  <c r="C623" i="57"/>
  <c r="E623" i="57" s="1"/>
  <c r="F623" i="57" s="1"/>
  <c r="D579" i="63"/>
  <c r="C579" i="63" s="1"/>
  <c r="E579" i="63" s="1"/>
  <c r="F579" i="63" s="1"/>
  <c r="D624" i="57" l="1"/>
  <c r="C624" i="57"/>
  <c r="E624" i="57" s="1"/>
  <c r="F624" i="57" s="1"/>
  <c r="D580" i="63"/>
  <c r="C580" i="63" s="1"/>
  <c r="E580" i="63" s="1"/>
  <c r="F580" i="63" s="1"/>
  <c r="D625" i="57" l="1"/>
  <c r="C625" i="57"/>
  <c r="E625" i="57" s="1"/>
  <c r="F625" i="57" s="1"/>
  <c r="D581" i="63"/>
  <c r="C581" i="63" s="1"/>
  <c r="E581" i="63" s="1"/>
  <c r="F581" i="63" s="1"/>
  <c r="D626" i="57" l="1"/>
  <c r="C626" i="57" s="1"/>
  <c r="E626" i="57" s="1"/>
  <c r="F626" i="57" s="1"/>
  <c r="D582" i="63"/>
  <c r="C582" i="63" s="1"/>
  <c r="E582" i="63" s="1"/>
  <c r="F582" i="63" s="1"/>
  <c r="D627" i="57" l="1"/>
  <c r="C627" i="57"/>
  <c r="E627" i="57" s="1"/>
  <c r="F627" i="57" s="1"/>
  <c r="D583" i="63"/>
  <c r="C583" i="63" s="1"/>
  <c r="E583" i="63" s="1"/>
  <c r="F583" i="63" s="1"/>
  <c r="D628" i="57" l="1"/>
  <c r="C628" i="57" s="1"/>
  <c r="E628" i="57" s="1"/>
  <c r="F628" i="57" s="1"/>
  <c r="D584" i="63"/>
  <c r="C584" i="63" s="1"/>
  <c r="E584" i="63" s="1"/>
  <c r="F584" i="63" s="1"/>
  <c r="D629" i="57" l="1"/>
  <c r="C629" i="57"/>
  <c r="E629" i="57" s="1"/>
  <c r="F629" i="57" s="1"/>
  <c r="D585" i="63"/>
  <c r="C585" i="63" s="1"/>
  <c r="E585" i="63" s="1"/>
  <c r="F585" i="63" s="1"/>
  <c r="D630" i="57" l="1"/>
  <c r="C630" i="57"/>
  <c r="E630" i="57" s="1"/>
  <c r="F630" i="57" s="1"/>
  <c r="D586" i="63"/>
  <c r="C586" i="63" s="1"/>
  <c r="E586" i="63" s="1"/>
  <c r="F586" i="63" s="1"/>
  <c r="D631" i="57" l="1"/>
  <c r="C631" i="57"/>
  <c r="E631" i="57" s="1"/>
  <c r="F631" i="57" s="1"/>
  <c r="D587" i="63"/>
  <c r="C587" i="63" s="1"/>
  <c r="E587" i="63" s="1"/>
  <c r="F587" i="63" s="1"/>
  <c r="D632" i="57" l="1"/>
  <c r="C632" i="57"/>
  <c r="E632" i="57" s="1"/>
  <c r="F632" i="57" s="1"/>
  <c r="D588" i="63"/>
  <c r="C588" i="63" s="1"/>
  <c r="E588" i="63" s="1"/>
  <c r="F588" i="63" s="1"/>
  <c r="D633" i="57" l="1"/>
  <c r="C633" i="57"/>
  <c r="E633" i="57" s="1"/>
  <c r="F633" i="57" s="1"/>
  <c r="D589" i="63"/>
  <c r="C589" i="63" s="1"/>
  <c r="E589" i="63" s="1"/>
  <c r="F589" i="63" s="1"/>
  <c r="D634" i="57" l="1"/>
  <c r="C634" i="57"/>
  <c r="E634" i="57" s="1"/>
  <c r="F634" i="57" s="1"/>
  <c r="D590" i="63"/>
  <c r="C590" i="63" s="1"/>
  <c r="E590" i="63" s="1"/>
  <c r="F590" i="63" s="1"/>
  <c r="D635" i="57" l="1"/>
  <c r="C635" i="57"/>
  <c r="E635" i="57" s="1"/>
  <c r="F635" i="57" s="1"/>
  <c r="D591" i="63"/>
  <c r="C591" i="63" s="1"/>
  <c r="E591" i="63" s="1"/>
  <c r="F591" i="63" s="1"/>
  <c r="D636" i="57" l="1"/>
  <c r="C636" i="57"/>
  <c r="E636" i="57" s="1"/>
  <c r="F636" i="57" s="1"/>
  <c r="D592" i="63"/>
  <c r="C592" i="63" s="1"/>
  <c r="E592" i="63" s="1"/>
  <c r="F592" i="63" s="1"/>
  <c r="D637" i="57" l="1"/>
  <c r="C637" i="57" s="1"/>
  <c r="E637" i="57" s="1"/>
  <c r="F637" i="57" s="1"/>
  <c r="D593" i="63"/>
  <c r="C593" i="63" s="1"/>
  <c r="E593" i="63" s="1"/>
  <c r="F593" i="63" s="1"/>
  <c r="D638" i="57" l="1"/>
  <c r="C638" i="57"/>
  <c r="E638" i="57" s="1"/>
  <c r="F638" i="57" s="1"/>
  <c r="D594" i="63"/>
  <c r="C594" i="63" s="1"/>
  <c r="E594" i="63" s="1"/>
  <c r="F594" i="63" s="1"/>
  <c r="D639" i="57" l="1"/>
  <c r="C639" i="57"/>
  <c r="E639" i="57" s="1"/>
  <c r="F639" i="57" s="1"/>
  <c r="D595" i="63"/>
  <c r="C595" i="63" s="1"/>
  <c r="E595" i="63" s="1"/>
  <c r="F595" i="63" s="1"/>
  <c r="D640" i="57" l="1"/>
  <c r="C640" i="57" s="1"/>
  <c r="E640" i="57" s="1"/>
  <c r="F640" i="57" s="1"/>
  <c r="D596" i="63"/>
  <c r="C596" i="63" s="1"/>
  <c r="E596" i="63" s="1"/>
  <c r="F596" i="63" s="1"/>
  <c r="D641" i="57" l="1"/>
  <c r="C641" i="57" s="1"/>
  <c r="E641" i="57" s="1"/>
  <c r="F641" i="57" s="1"/>
  <c r="D597" i="63"/>
  <c r="C597" i="63" s="1"/>
  <c r="E597" i="63" s="1"/>
  <c r="F597" i="63" s="1"/>
  <c r="D642" i="57" l="1"/>
  <c r="C642" i="57"/>
  <c r="E642" i="57" s="1"/>
  <c r="F642" i="57" s="1"/>
  <c r="D598" i="63"/>
  <c r="C598" i="63" s="1"/>
  <c r="E598" i="63" s="1"/>
  <c r="F598" i="63" s="1"/>
  <c r="D643" i="57" l="1"/>
  <c r="C643" i="57"/>
  <c r="E643" i="57" s="1"/>
  <c r="F643" i="57" s="1"/>
  <c r="D599" i="63"/>
  <c r="C599" i="63" s="1"/>
  <c r="E599" i="63" s="1"/>
  <c r="F599" i="63" s="1"/>
  <c r="D644" i="57" l="1"/>
  <c r="C644" i="57"/>
  <c r="E644" i="57" s="1"/>
  <c r="F644" i="57" s="1"/>
  <c r="D600" i="63"/>
  <c r="C600" i="63" s="1"/>
  <c r="E600" i="63" s="1"/>
  <c r="F600" i="63" s="1"/>
  <c r="D645" i="57" l="1"/>
  <c r="C645" i="57"/>
  <c r="E645" i="57" s="1"/>
  <c r="F645" i="57" s="1"/>
  <c r="D601" i="63"/>
  <c r="C601" i="63" s="1"/>
  <c r="E601" i="63" s="1"/>
  <c r="F601" i="63" s="1"/>
  <c r="D646" i="57" l="1"/>
  <c r="C646" i="57"/>
  <c r="E646" i="57" s="1"/>
  <c r="F646" i="57" s="1"/>
  <c r="D602" i="63"/>
  <c r="C602" i="63" s="1"/>
  <c r="E602" i="63" s="1"/>
  <c r="F602" i="63" s="1"/>
  <c r="D647" i="57" l="1"/>
  <c r="C647" i="57"/>
  <c r="E647" i="57" s="1"/>
  <c r="F647" i="57" s="1"/>
  <c r="D603" i="63"/>
  <c r="C603" i="63" s="1"/>
  <c r="E603" i="63" s="1"/>
  <c r="F603" i="63" s="1"/>
  <c r="D648" i="57" l="1"/>
  <c r="C648" i="57" s="1"/>
  <c r="E648" i="57" s="1"/>
  <c r="F648" i="57" s="1"/>
  <c r="D604" i="63"/>
  <c r="C604" i="63" s="1"/>
  <c r="E604" i="63" s="1"/>
  <c r="F604" i="63" s="1"/>
  <c r="D649" i="57" l="1"/>
  <c r="C649" i="57"/>
  <c r="E649" i="57" s="1"/>
  <c r="F649" i="57" s="1"/>
  <c r="D605" i="63"/>
  <c r="C605" i="63" s="1"/>
  <c r="E605" i="63" s="1"/>
  <c r="F605" i="63" s="1"/>
  <c r="D650" i="57" l="1"/>
  <c r="C650" i="57" s="1"/>
  <c r="E650" i="57" s="1"/>
  <c r="F650" i="57" s="1"/>
  <c r="D606" i="63"/>
  <c r="C606" i="63" s="1"/>
  <c r="E606" i="63" s="1"/>
  <c r="F606" i="63" s="1"/>
  <c r="D651" i="57" l="1"/>
  <c r="C651" i="57" s="1"/>
  <c r="E651" i="57" s="1"/>
  <c r="F651" i="57" s="1"/>
  <c r="D607" i="63"/>
  <c r="C607" i="63" s="1"/>
  <c r="E607" i="63" s="1"/>
  <c r="F607" i="63" s="1"/>
  <c r="D652" i="57" l="1"/>
  <c r="C652" i="57" s="1"/>
  <c r="E652" i="57" s="1"/>
  <c r="F652" i="57" s="1"/>
  <c r="D608" i="63"/>
  <c r="C608" i="63" s="1"/>
  <c r="E608" i="63" s="1"/>
  <c r="F608" i="63" s="1"/>
  <c r="D653" i="57" l="1"/>
  <c r="C653" i="57"/>
  <c r="E653" i="57" s="1"/>
  <c r="F653" i="57" s="1"/>
  <c r="D609" i="63"/>
  <c r="C609" i="63" s="1"/>
  <c r="E609" i="63" s="1"/>
  <c r="F609" i="63" s="1"/>
  <c r="D654" i="57" l="1"/>
  <c r="C654" i="57" s="1"/>
  <c r="E654" i="57" s="1"/>
  <c r="F654" i="57" s="1"/>
  <c r="D610" i="63"/>
  <c r="C610" i="63" s="1"/>
  <c r="E610" i="63" s="1"/>
  <c r="F610" i="63" s="1"/>
  <c r="D655" i="57" l="1"/>
  <c r="C655" i="57"/>
  <c r="E655" i="57" s="1"/>
  <c r="F655" i="57" s="1"/>
  <c r="D611" i="63"/>
  <c r="C611" i="63" s="1"/>
  <c r="E611" i="63" s="1"/>
  <c r="F611" i="63" s="1"/>
  <c r="D656" i="57" l="1"/>
  <c r="C656" i="57"/>
  <c r="E656" i="57" s="1"/>
  <c r="F656" i="57" s="1"/>
  <c r="D612" i="63"/>
  <c r="C612" i="63" s="1"/>
  <c r="E612" i="63" s="1"/>
  <c r="F612" i="63" s="1"/>
  <c r="D657" i="57" l="1"/>
  <c r="C657" i="57"/>
  <c r="E657" i="57" s="1"/>
  <c r="F657" i="57" s="1"/>
  <c r="D613" i="63"/>
  <c r="C613" i="63" s="1"/>
  <c r="E613" i="63" s="1"/>
  <c r="F613" i="63" s="1"/>
  <c r="D658" i="57" l="1"/>
  <c r="C658" i="57" s="1"/>
  <c r="E658" i="57" s="1"/>
  <c r="F658" i="57" s="1"/>
  <c r="D614" i="63"/>
  <c r="C614" i="63" s="1"/>
  <c r="E614" i="63" s="1"/>
  <c r="F614" i="63" s="1"/>
  <c r="D659" i="57" l="1"/>
  <c r="C659" i="57" s="1"/>
  <c r="E659" i="57" s="1"/>
  <c r="F659" i="57" s="1"/>
  <c r="D615" i="63"/>
  <c r="C615" i="63" s="1"/>
  <c r="E615" i="63" s="1"/>
  <c r="F615" i="63" s="1"/>
  <c r="D660" i="57" l="1"/>
  <c r="C660" i="57" s="1"/>
  <c r="E660" i="57" s="1"/>
  <c r="F660" i="57" s="1"/>
  <c r="D616" i="63"/>
  <c r="C616" i="63" s="1"/>
  <c r="E616" i="63" s="1"/>
  <c r="F616" i="63" s="1"/>
  <c r="D661" i="57" l="1"/>
  <c r="C661" i="57" s="1"/>
  <c r="E661" i="57" s="1"/>
  <c r="F661" i="57" s="1"/>
  <c r="D617" i="63"/>
  <c r="C617" i="63" s="1"/>
  <c r="E617" i="63" s="1"/>
  <c r="F617" i="63" s="1"/>
  <c r="D662" i="57" l="1"/>
  <c r="C662" i="57"/>
  <c r="E662" i="57" s="1"/>
  <c r="F662" i="57" s="1"/>
  <c r="D618" i="63"/>
  <c r="C618" i="63" s="1"/>
  <c r="E618" i="63" s="1"/>
  <c r="F618" i="63" s="1"/>
  <c r="D663" i="57" l="1"/>
  <c r="C663" i="57"/>
  <c r="E663" i="57" s="1"/>
  <c r="F663" i="57" s="1"/>
  <c r="D619" i="63"/>
  <c r="C619" i="63" s="1"/>
  <c r="E619" i="63" s="1"/>
  <c r="F619" i="63" s="1"/>
  <c r="D664" i="57" l="1"/>
  <c r="C664" i="57"/>
  <c r="E664" i="57" s="1"/>
  <c r="F664" i="57" s="1"/>
  <c r="D620" i="63"/>
  <c r="C620" i="63" s="1"/>
  <c r="E620" i="63" s="1"/>
  <c r="F620" i="63" s="1"/>
  <c r="D665" i="57" l="1"/>
  <c r="C665" i="57"/>
  <c r="E665" i="57" s="1"/>
  <c r="F665" i="57" s="1"/>
  <c r="D621" i="63"/>
  <c r="C621" i="63" s="1"/>
  <c r="E621" i="63" s="1"/>
  <c r="F621" i="63" s="1"/>
  <c r="D666" i="57" l="1"/>
  <c r="C666" i="57"/>
  <c r="E666" i="57" s="1"/>
  <c r="F666" i="57" s="1"/>
  <c r="D622" i="63"/>
  <c r="C622" i="63" s="1"/>
  <c r="E622" i="63" s="1"/>
  <c r="F622" i="63" s="1"/>
  <c r="D667" i="57" l="1"/>
  <c r="C667" i="57" s="1"/>
  <c r="E667" i="57" s="1"/>
  <c r="F667" i="57" s="1"/>
  <c r="D623" i="63"/>
  <c r="C623" i="63" s="1"/>
  <c r="E623" i="63" s="1"/>
  <c r="F623" i="63" s="1"/>
  <c r="D668" i="57" l="1"/>
  <c r="C668" i="57"/>
  <c r="E668" i="57" s="1"/>
  <c r="F668" i="57" s="1"/>
  <c r="D624" i="63"/>
  <c r="C624" i="63" s="1"/>
  <c r="E624" i="63" s="1"/>
  <c r="F624" i="63" s="1"/>
  <c r="D669" i="57" l="1"/>
  <c r="C669" i="57" s="1"/>
  <c r="E669" i="57" s="1"/>
  <c r="F669" i="57" s="1"/>
  <c r="D625" i="63"/>
  <c r="C625" i="63" s="1"/>
  <c r="E625" i="63" s="1"/>
  <c r="F625" i="63" s="1"/>
  <c r="D670" i="57" l="1"/>
  <c r="C670" i="57" s="1"/>
  <c r="E670" i="57" s="1"/>
  <c r="F670" i="57" s="1"/>
  <c r="D626" i="63"/>
  <c r="C626" i="63" s="1"/>
  <c r="E626" i="63" s="1"/>
  <c r="F626" i="63" s="1"/>
  <c r="D671" i="57" l="1"/>
  <c r="C671" i="57"/>
  <c r="E671" i="57" s="1"/>
  <c r="F671" i="57" s="1"/>
  <c r="D627" i="63"/>
  <c r="C627" i="63" s="1"/>
  <c r="E627" i="63" s="1"/>
  <c r="F627" i="63" s="1"/>
  <c r="D672" i="57" l="1"/>
  <c r="C672" i="57"/>
  <c r="E672" i="57" s="1"/>
  <c r="F672" i="57" s="1"/>
  <c r="D628" i="63"/>
  <c r="C628" i="63" s="1"/>
  <c r="E628" i="63" s="1"/>
  <c r="F628" i="63" s="1"/>
  <c r="D673" i="57" l="1"/>
  <c r="C673" i="57"/>
  <c r="E673" i="57" s="1"/>
  <c r="F673" i="57" s="1"/>
  <c r="D629" i="63"/>
  <c r="C629" i="63" s="1"/>
  <c r="E629" i="63" s="1"/>
  <c r="F629" i="63" s="1"/>
  <c r="D674" i="57" l="1"/>
  <c r="C674" i="57"/>
  <c r="E674" i="57" s="1"/>
  <c r="F674" i="57" s="1"/>
  <c r="D630" i="63"/>
  <c r="C630" i="63"/>
  <c r="E630" i="63" s="1"/>
  <c r="F630" i="63" s="1"/>
  <c r="D675" i="57" l="1"/>
  <c r="C675" i="57" s="1"/>
  <c r="E675" i="57" s="1"/>
  <c r="F675" i="57" s="1"/>
  <c r="D631" i="63"/>
  <c r="C631" i="63" s="1"/>
  <c r="E631" i="63" s="1"/>
  <c r="F631" i="63" s="1"/>
  <c r="D676" i="57" l="1"/>
  <c r="C676" i="57" s="1"/>
  <c r="E676" i="57" s="1"/>
  <c r="D632" i="63"/>
  <c r="C632" i="63"/>
  <c r="E632" i="63" s="1"/>
  <c r="F632" i="63" s="1"/>
  <c r="F676" i="57" l="1"/>
  <c r="D633" i="63"/>
  <c r="C633" i="63" s="1"/>
  <c r="E633" i="63" s="1"/>
  <c r="F633" i="63" s="1"/>
  <c r="D677" i="57" l="1"/>
  <c r="C677" i="57" s="1"/>
  <c r="E677" i="57" s="1"/>
  <c r="D634" i="63"/>
  <c r="C634" i="63" s="1"/>
  <c r="E634" i="63" s="1"/>
  <c r="F634" i="63" s="1"/>
  <c r="F677" i="57" l="1"/>
  <c r="D635" i="63"/>
  <c r="C635" i="63"/>
  <c r="E635" i="63" s="1"/>
  <c r="F635" i="63" s="1"/>
  <c r="D678" i="57" l="1"/>
  <c r="C678" i="57" s="1"/>
  <c r="E678" i="57" s="1"/>
  <c r="D636" i="63"/>
  <c r="C636" i="63" s="1"/>
  <c r="E636" i="63" s="1"/>
  <c r="F636" i="63" s="1"/>
  <c r="F678" i="57" l="1"/>
  <c r="D637" i="63"/>
  <c r="C637" i="63" s="1"/>
  <c r="E637" i="63" s="1"/>
  <c r="F637" i="63" s="1"/>
  <c r="D679" i="57" l="1"/>
  <c r="C679" i="57" s="1"/>
  <c r="E679" i="57" s="1"/>
  <c r="D638" i="63"/>
  <c r="C638" i="63" s="1"/>
  <c r="E638" i="63" s="1"/>
  <c r="F638" i="63" s="1"/>
  <c r="F679" i="57" l="1"/>
  <c r="D639" i="63"/>
  <c r="C639" i="63" s="1"/>
  <c r="E639" i="63" s="1"/>
  <c r="F639" i="63" s="1"/>
  <c r="D680" i="57" l="1"/>
  <c r="C680" i="57" s="1"/>
  <c r="E680" i="57" s="1"/>
  <c r="F680" i="57" s="1"/>
  <c r="D640" i="63"/>
  <c r="C640" i="63" s="1"/>
  <c r="E640" i="63" s="1"/>
  <c r="F640" i="63" s="1"/>
  <c r="D681" i="57" l="1"/>
  <c r="C681" i="57" s="1"/>
  <c r="E681" i="57" s="1"/>
  <c r="F681" i="57" s="1"/>
  <c r="D641" i="63"/>
  <c r="C641" i="63" s="1"/>
  <c r="E641" i="63" s="1"/>
  <c r="F641" i="63" s="1"/>
  <c r="D682" i="57" l="1"/>
  <c r="C682" i="57" s="1"/>
  <c r="E682" i="57" s="1"/>
  <c r="F682" i="57" s="1"/>
  <c r="D642" i="63"/>
  <c r="C642" i="63" s="1"/>
  <c r="E642" i="63" s="1"/>
  <c r="F642" i="63" s="1"/>
  <c r="D683" i="57" l="1"/>
  <c r="C683" i="57" s="1"/>
  <c r="E683" i="57" s="1"/>
  <c r="F683" i="57" s="1"/>
  <c r="D643" i="63"/>
  <c r="C643" i="63" s="1"/>
  <c r="E643" i="63" s="1"/>
  <c r="F643" i="63" s="1"/>
  <c r="D684" i="57" l="1"/>
  <c r="C684" i="57" s="1"/>
  <c r="E684" i="57" s="1"/>
  <c r="F684" i="57" s="1"/>
  <c r="D644" i="63"/>
  <c r="C644" i="63" s="1"/>
  <c r="E644" i="63" s="1"/>
  <c r="F644" i="63" s="1"/>
  <c r="D685" i="57" l="1"/>
  <c r="C685" i="57" s="1"/>
  <c r="E685" i="57" s="1"/>
  <c r="F685" i="57" s="1"/>
  <c r="D645" i="63"/>
  <c r="C645" i="63" s="1"/>
  <c r="E645" i="63" s="1"/>
  <c r="F645" i="63" s="1"/>
  <c r="D686" i="57" l="1"/>
  <c r="C686" i="57" s="1"/>
  <c r="E686" i="57" s="1"/>
  <c r="F686" i="57" s="1"/>
  <c r="D646" i="63"/>
  <c r="C646" i="63" s="1"/>
  <c r="E646" i="63" l="1"/>
  <c r="F646" i="63" s="1"/>
  <c r="D647" i="63" s="1"/>
  <c r="C647" i="63" s="1"/>
  <c r="E647" i="63" s="1"/>
  <c r="F647" i="63" s="1"/>
  <c r="D687" i="57"/>
  <c r="C687" i="57"/>
  <c r="E687" i="57" s="1"/>
  <c r="F687" i="57" s="1"/>
  <c r="D688" i="57" l="1"/>
  <c r="C688" i="57" s="1"/>
  <c r="E688" i="57" s="1"/>
  <c r="F688" i="57" s="1"/>
  <c r="D648" i="63"/>
  <c r="C648" i="63" s="1"/>
  <c r="E648" i="63" s="1"/>
  <c r="F648" i="63" s="1"/>
  <c r="D689" i="57" l="1"/>
  <c r="C689" i="57" s="1"/>
  <c r="E689" i="57" s="1"/>
  <c r="F689" i="57" s="1"/>
  <c r="D649" i="63"/>
  <c r="C649" i="63" s="1"/>
  <c r="E649" i="63" s="1"/>
  <c r="F649" i="63" s="1"/>
  <c r="D690" i="57" l="1"/>
  <c r="C690" i="57" s="1"/>
  <c r="E690" i="57" s="1"/>
  <c r="F690" i="57" s="1"/>
  <c r="D650" i="63"/>
  <c r="C650" i="63" s="1"/>
  <c r="E650" i="63" s="1"/>
  <c r="F650" i="63" s="1"/>
  <c r="D691" i="57" l="1"/>
  <c r="C691" i="57" s="1"/>
  <c r="E691" i="57" s="1"/>
  <c r="F691" i="57" s="1"/>
  <c r="D651" i="63"/>
  <c r="C651" i="63" s="1"/>
  <c r="E651" i="63" s="1"/>
  <c r="F651" i="63" s="1"/>
  <c r="D692" i="57" l="1"/>
  <c r="C692" i="57"/>
  <c r="E692" i="57" s="1"/>
  <c r="F692" i="57" s="1"/>
  <c r="D652" i="63"/>
  <c r="C652" i="63" s="1"/>
  <c r="E652" i="63" s="1"/>
  <c r="F652" i="63" s="1"/>
  <c r="D693" i="57" l="1"/>
  <c r="C693" i="57" s="1"/>
  <c r="E693" i="57" s="1"/>
  <c r="F693" i="57" s="1"/>
  <c r="D653" i="63"/>
  <c r="C653" i="63" s="1"/>
  <c r="E653" i="63" s="1"/>
  <c r="F653" i="63" s="1"/>
  <c r="D694" i="57" l="1"/>
  <c r="C694" i="57" s="1"/>
  <c r="E694" i="57" s="1"/>
  <c r="F694" i="57" s="1"/>
  <c r="D654" i="63"/>
  <c r="C654" i="63" s="1"/>
  <c r="E654" i="63" s="1"/>
  <c r="F654" i="63" s="1"/>
  <c r="D695" i="57" l="1"/>
  <c r="C695" i="57" s="1"/>
  <c r="E695" i="57" s="1"/>
  <c r="F695" i="57" s="1"/>
  <c r="D655" i="63"/>
  <c r="C655" i="63" s="1"/>
  <c r="E655" i="63" s="1"/>
  <c r="F655" i="63" s="1"/>
  <c r="D696" i="57" l="1"/>
  <c r="C696" i="57" s="1"/>
  <c r="E696" i="57" s="1"/>
  <c r="F696" i="57" s="1"/>
  <c r="D656" i="63"/>
  <c r="C656" i="63" s="1"/>
  <c r="E656" i="63" s="1"/>
  <c r="F656" i="63" s="1"/>
  <c r="D697" i="57" l="1"/>
  <c r="C697" i="57" s="1"/>
  <c r="E697" i="57" s="1"/>
  <c r="F697" i="57" s="1"/>
  <c r="D657" i="63"/>
  <c r="C657" i="63" s="1"/>
  <c r="E657" i="63" s="1"/>
  <c r="F657" i="63" s="1"/>
  <c r="D698" i="57" l="1"/>
  <c r="C698" i="57"/>
  <c r="E698" i="57" s="1"/>
  <c r="F698" i="57" s="1"/>
  <c r="D658" i="63"/>
  <c r="C658" i="63" s="1"/>
  <c r="E658" i="63" s="1"/>
  <c r="F658" i="63" s="1"/>
  <c r="D699" i="57" l="1"/>
  <c r="C699" i="57" s="1"/>
  <c r="E699" i="57" s="1"/>
  <c r="F699" i="57" s="1"/>
  <c r="D659" i="63"/>
  <c r="C659" i="63" s="1"/>
  <c r="E659" i="63" s="1"/>
  <c r="F659" i="63" s="1"/>
  <c r="D700" i="57" l="1"/>
  <c r="C700" i="57"/>
  <c r="E700" i="57" s="1"/>
  <c r="F700" i="57" s="1"/>
  <c r="D660" i="63"/>
  <c r="C660" i="63" s="1"/>
  <c r="E660" i="63" s="1"/>
  <c r="F660" i="63" s="1"/>
  <c r="D701" i="57" l="1"/>
  <c r="C701" i="57" s="1"/>
  <c r="E701" i="57" s="1"/>
  <c r="F701" i="57" s="1"/>
  <c r="D661" i="63"/>
  <c r="C661" i="63" s="1"/>
  <c r="E661" i="63" s="1"/>
  <c r="F661" i="63" s="1"/>
  <c r="D702" i="57" l="1"/>
  <c r="C702" i="57"/>
  <c r="E702" i="57" s="1"/>
  <c r="F702" i="57" s="1"/>
  <c r="D662" i="63"/>
  <c r="C662" i="63" s="1"/>
  <c r="E662" i="63" s="1"/>
  <c r="F662" i="63" s="1"/>
  <c r="D703" i="57" l="1"/>
  <c r="C703" i="57" s="1"/>
  <c r="E703" i="57" s="1"/>
  <c r="F703" i="57" s="1"/>
  <c r="D663" i="63"/>
  <c r="C663" i="63" s="1"/>
  <c r="E663" i="63" s="1"/>
  <c r="F663" i="63" s="1"/>
  <c r="D704" i="57" l="1"/>
  <c r="C704" i="57"/>
  <c r="E704" i="57" s="1"/>
  <c r="F704" i="57" s="1"/>
  <c r="D664" i="63"/>
  <c r="C664" i="63" s="1"/>
  <c r="E664" i="63" s="1"/>
  <c r="F664" i="63" s="1"/>
  <c r="D705" i="57" l="1"/>
  <c r="C705" i="57"/>
  <c r="E705" i="57" s="1"/>
  <c r="F705" i="57" s="1"/>
  <c r="D665" i="63"/>
  <c r="C665" i="63"/>
  <c r="E665" i="63" s="1"/>
  <c r="F665" i="63" s="1"/>
  <c r="D706" i="57" l="1"/>
  <c r="C706" i="57"/>
  <c r="E706" i="57" s="1"/>
  <c r="F706" i="57" s="1"/>
  <c r="D707" i="57" s="1"/>
  <c r="C707" i="57" s="1"/>
  <c r="E707" i="57" s="1"/>
  <c r="F707" i="57" s="1"/>
  <c r="D666" i="63"/>
  <c r="C666" i="63" s="1"/>
  <c r="E666" i="63" s="1"/>
  <c r="F666" i="63" s="1"/>
  <c r="D708" i="57" l="1"/>
  <c r="C708" i="57"/>
  <c r="E708" i="57" s="1"/>
  <c r="F708" i="57" s="1"/>
  <c r="D667" i="63"/>
  <c r="C667" i="63" s="1"/>
  <c r="E667" i="63" s="1"/>
  <c r="F667" i="63" s="1"/>
  <c r="D709" i="57" l="1"/>
  <c r="C709" i="57"/>
  <c r="E709" i="57" s="1"/>
  <c r="F709" i="57" s="1"/>
  <c r="D668" i="63"/>
  <c r="C668" i="63" s="1"/>
  <c r="E668" i="63" s="1"/>
  <c r="F668" i="63" s="1"/>
  <c r="D710" i="57" l="1"/>
  <c r="C710" i="57"/>
  <c r="E710" i="57" s="1"/>
  <c r="F710" i="57" s="1"/>
  <c r="D669" i="63"/>
  <c r="C669" i="63" s="1"/>
  <c r="E669" i="63" s="1"/>
  <c r="F669" i="63" s="1"/>
  <c r="D711" i="57" l="1"/>
  <c r="C711" i="57"/>
  <c r="E711" i="57" s="1"/>
  <c r="F711" i="57" s="1"/>
  <c r="D670" i="63"/>
  <c r="C670" i="63" s="1"/>
  <c r="E670" i="63" s="1"/>
  <c r="F670" i="63" s="1"/>
  <c r="D712" i="57" l="1"/>
  <c r="C712" i="57"/>
  <c r="E712" i="57" s="1"/>
  <c r="F712" i="57" s="1"/>
  <c r="D671" i="63"/>
  <c r="C671" i="63" s="1"/>
  <c r="E671" i="63" s="1"/>
  <c r="F671" i="63" s="1"/>
  <c r="D713" i="57" l="1"/>
  <c r="C713" i="57"/>
  <c r="E713" i="57" s="1"/>
  <c r="F713" i="57" s="1"/>
  <c r="D672" i="63"/>
  <c r="C672" i="63" s="1"/>
  <c r="E672" i="63" s="1"/>
  <c r="F672" i="63" s="1"/>
  <c r="D714" i="57" l="1"/>
  <c r="C714" i="57"/>
  <c r="E714" i="57" s="1"/>
  <c r="F714" i="57" s="1"/>
  <c r="D673" i="63"/>
  <c r="C673" i="63" s="1"/>
  <c r="E673" i="63" s="1"/>
  <c r="F673" i="63" s="1"/>
  <c r="D715" i="57" l="1"/>
  <c r="C715" i="57"/>
  <c r="E715" i="57" s="1"/>
  <c r="F715" i="57" s="1"/>
  <c r="D674" i="63"/>
  <c r="C674" i="63" s="1"/>
  <c r="E674" i="63" s="1"/>
  <c r="F674" i="63" s="1"/>
  <c r="D716" i="57" l="1"/>
  <c r="C716" i="57" s="1"/>
  <c r="E716" i="57" s="1"/>
  <c r="F716" i="57" s="1"/>
  <c r="D675" i="63"/>
  <c r="C675" i="63" s="1"/>
  <c r="E675" i="63" s="1"/>
  <c r="F675" i="63" s="1"/>
  <c r="D717" i="57" l="1"/>
  <c r="C717" i="57" s="1"/>
  <c r="E717" i="57" s="1"/>
  <c r="F717" i="57" s="1"/>
  <c r="D676" i="63"/>
  <c r="C676" i="63" s="1"/>
  <c r="E676" i="63" s="1"/>
  <c r="F676" i="63" s="1"/>
  <c r="D718" i="57" l="1"/>
  <c r="C718" i="57" s="1"/>
  <c r="E718" i="57" s="1"/>
  <c r="F718" i="57" s="1"/>
  <c r="D677" i="63"/>
  <c r="C677" i="63"/>
  <c r="E677" i="63" s="1"/>
  <c r="F677" i="63" s="1"/>
  <c r="D719" i="57" l="1"/>
  <c r="C719" i="57" s="1"/>
  <c r="E719" i="57" s="1"/>
  <c r="F719" i="57" s="1"/>
  <c r="D678" i="63"/>
  <c r="C678" i="63" s="1"/>
  <c r="E678" i="63" s="1"/>
  <c r="F678" i="63" s="1"/>
  <c r="D720" i="57" l="1"/>
  <c r="C720" i="57" s="1"/>
  <c r="E720" i="57" s="1"/>
  <c r="F720" i="57" s="1"/>
  <c r="D679" i="63"/>
  <c r="C679" i="63" s="1"/>
  <c r="E679" i="63" s="1"/>
  <c r="F679" i="63" s="1"/>
  <c r="D721" i="57" l="1"/>
  <c r="D680" i="63"/>
  <c r="C680" i="63" s="1"/>
  <c r="E680" i="63" s="1"/>
  <c r="F680" i="63" s="1"/>
  <c r="C721" i="57" l="1"/>
  <c r="E721" i="57" s="1"/>
  <c r="F721" i="57" s="1"/>
  <c r="D681" i="63"/>
  <c r="C681" i="63" s="1"/>
  <c r="E681" i="63" s="1"/>
  <c r="F681" i="63" s="1"/>
  <c r="D722" i="57" l="1"/>
  <c r="D682" i="63"/>
  <c r="C682" i="63" s="1"/>
  <c r="E682" i="63" s="1"/>
  <c r="F682" i="63" s="1"/>
  <c r="C722" i="57" l="1"/>
  <c r="E722" i="57" s="1"/>
  <c r="F722" i="57" s="1"/>
  <c r="D683" i="63"/>
  <c r="C683" i="63" s="1"/>
  <c r="E683" i="63" s="1"/>
  <c r="F683" i="63" s="1"/>
  <c r="D723" i="57" l="1"/>
  <c r="D684" i="63"/>
  <c r="C684" i="63" s="1"/>
  <c r="E684" i="63" s="1"/>
  <c r="F684" i="63" s="1"/>
  <c r="C723" i="57" l="1"/>
  <c r="E723" i="57" s="1"/>
  <c r="F723" i="57" s="1"/>
  <c r="D685" i="63"/>
  <c r="C685" i="63" s="1"/>
  <c r="E685" i="63" s="1"/>
  <c r="F685" i="63" s="1"/>
  <c r="D724" i="57" l="1"/>
  <c r="C724" i="57"/>
  <c r="E724" i="57" s="1"/>
  <c r="F724" i="57" s="1"/>
  <c r="D686" i="63"/>
  <c r="C686" i="63" s="1"/>
  <c r="E686" i="63" s="1"/>
  <c r="F686" i="63" s="1"/>
  <c r="D725" i="57" l="1"/>
  <c r="C725" i="57"/>
  <c r="E725" i="57" s="1"/>
  <c r="F725" i="57" s="1"/>
  <c r="D687" i="63"/>
  <c r="C687" i="63" s="1"/>
  <c r="E687" i="63" s="1"/>
  <c r="F687" i="63" s="1"/>
  <c r="D726" i="57" l="1"/>
  <c r="C726" i="57"/>
  <c r="E726" i="57" s="1"/>
  <c r="F726" i="57" s="1"/>
  <c r="D688" i="63"/>
  <c r="C688" i="63" s="1"/>
  <c r="E688" i="63" s="1"/>
  <c r="F688" i="63" s="1"/>
  <c r="D727" i="57" l="1"/>
  <c r="C727" i="57" s="1"/>
  <c r="E727" i="57" s="1"/>
  <c r="F727" i="57" s="1"/>
  <c r="D689" i="63"/>
  <c r="C689" i="63" s="1"/>
  <c r="E689" i="63" s="1"/>
  <c r="F689" i="63" s="1"/>
  <c r="D728" i="57" l="1"/>
  <c r="C728" i="57"/>
  <c r="E728" i="57" s="1"/>
  <c r="F728" i="57" s="1"/>
  <c r="D690" i="63"/>
  <c r="C690" i="63" s="1"/>
  <c r="E690" i="63" s="1"/>
  <c r="F690" i="63" s="1"/>
  <c r="D729" i="57" l="1"/>
  <c r="C729" i="57"/>
  <c r="E729" i="57" s="1"/>
  <c r="F729" i="57" s="1"/>
  <c r="D691" i="63"/>
  <c r="C691" i="63" s="1"/>
  <c r="E691" i="63" s="1"/>
  <c r="F691" i="63" s="1"/>
  <c r="D730" i="57" l="1"/>
  <c r="C730" i="57" s="1"/>
  <c r="E730" i="57" s="1"/>
  <c r="F730" i="57" s="1"/>
  <c r="D692" i="63"/>
  <c r="C692" i="63" s="1"/>
  <c r="E692" i="63" s="1"/>
  <c r="F692" i="63" s="1"/>
  <c r="D731" i="57" l="1"/>
  <c r="D693" i="63"/>
  <c r="C693" i="63" s="1"/>
  <c r="E693" i="63" s="1"/>
  <c r="F693" i="63" s="1"/>
  <c r="C731" i="57" l="1"/>
  <c r="E731" i="57" s="1"/>
  <c r="D694" i="63"/>
  <c r="C694" i="63" s="1"/>
  <c r="E694" i="63" s="1"/>
  <c r="F694" i="63" s="1"/>
  <c r="F731" i="57" l="1"/>
  <c r="D695" i="63"/>
  <c r="C695" i="63" s="1"/>
  <c r="E695" i="63" s="1"/>
  <c r="F695" i="63" s="1"/>
  <c r="D696" i="63" l="1"/>
  <c r="C696" i="63" s="1"/>
  <c r="E696" i="63" l="1"/>
  <c r="F696" i="63" s="1"/>
  <c r="D697" i="63"/>
  <c r="C697" i="63" s="1"/>
  <c r="E697" i="63" s="1"/>
  <c r="F697" i="63" s="1"/>
  <c r="D698" i="63" l="1"/>
  <c r="C698" i="63" s="1"/>
  <c r="E698" i="63" s="1"/>
  <c r="F698" i="63" s="1"/>
  <c r="D699" i="63" l="1"/>
  <c r="C699" i="63" s="1"/>
  <c r="E699" i="63" s="1"/>
  <c r="F699" i="63" s="1"/>
  <c r="D700" i="63" l="1"/>
  <c r="C700" i="63" s="1"/>
  <c r="E700" i="63" l="1"/>
  <c r="F700" i="63" s="1"/>
  <c r="D701" i="63"/>
  <c r="C701" i="63" s="1"/>
  <c r="E701" i="63" s="1"/>
  <c r="F701" i="63" s="1"/>
  <c r="D702" i="63" l="1"/>
  <c r="C702" i="63"/>
  <c r="E702" i="63" s="1"/>
  <c r="F702" i="63" s="1"/>
  <c r="D703" i="63" l="1"/>
  <c r="C703" i="63"/>
  <c r="E703" i="63" s="1"/>
  <c r="F703" i="63" s="1"/>
  <c r="D704" i="63" l="1"/>
  <c r="C704" i="63"/>
  <c r="E704" i="63" s="1"/>
  <c r="F704" i="63" s="1"/>
  <c r="D705" i="63" l="1"/>
  <c r="C705" i="63"/>
  <c r="E705" i="63" s="1"/>
  <c r="F705" i="63" s="1"/>
  <c r="D706" i="63" l="1"/>
  <c r="C706" i="63"/>
  <c r="E706" i="63" s="1"/>
  <c r="F706" i="63" s="1"/>
  <c r="D707" i="63" l="1"/>
  <c r="C707" i="63"/>
  <c r="E707" i="63" s="1"/>
  <c r="F707" i="63" s="1"/>
  <c r="D708" i="63" l="1"/>
  <c r="C708" i="63"/>
  <c r="E708" i="63" s="1"/>
  <c r="F708" i="63" s="1"/>
  <c r="D709" i="63" l="1"/>
  <c r="C709" i="63"/>
  <c r="E709" i="63" s="1"/>
  <c r="F709" i="63" s="1"/>
  <c r="D710" i="63" l="1"/>
  <c r="C710" i="63"/>
  <c r="E710" i="63" s="1"/>
  <c r="F710" i="63" s="1"/>
  <c r="D711" i="63" l="1"/>
  <c r="C711" i="63" s="1"/>
  <c r="E711" i="63" s="1"/>
  <c r="F711" i="63" s="1"/>
  <c r="D712" i="63" l="1"/>
  <c r="C712" i="63"/>
  <c r="E712" i="63" s="1"/>
  <c r="F712" i="63" s="1"/>
  <c r="D713" i="63" l="1"/>
  <c r="C713" i="63"/>
  <c r="E713" i="63" s="1"/>
  <c r="F713" i="63" s="1"/>
  <c r="D714" i="63" l="1"/>
  <c r="C714" i="63"/>
  <c r="E714" i="63" s="1"/>
  <c r="F714" i="63" s="1"/>
  <c r="D715" i="63" l="1"/>
  <c r="C715" i="63"/>
  <c r="E715" i="63" s="1"/>
  <c r="F715" i="63" s="1"/>
  <c r="D716" i="63" l="1"/>
  <c r="C716" i="63"/>
  <c r="E716" i="63" s="1"/>
  <c r="F716" i="63" s="1"/>
  <c r="D717" i="63" l="1"/>
  <c r="C717" i="63"/>
  <c r="E717" i="63" s="1"/>
  <c r="F717" i="63" s="1"/>
  <c r="D718" i="63" l="1"/>
  <c r="C718" i="63"/>
  <c r="E718" i="63" s="1"/>
  <c r="F718" i="63" s="1"/>
  <c r="D719" i="63" l="1"/>
  <c r="C719" i="63" s="1"/>
  <c r="E719" i="63" s="1"/>
  <c r="F719" i="63" s="1"/>
  <c r="D720" i="63" l="1"/>
  <c r="C720" i="63" s="1"/>
  <c r="E720" i="63" s="1"/>
  <c r="F720" i="63" s="1"/>
  <c r="D721" i="63" l="1"/>
  <c r="C721" i="63" s="1"/>
  <c r="E721" i="63" s="1"/>
  <c r="F721" i="63" s="1"/>
  <c r="D722" i="63" l="1"/>
  <c r="C722" i="63"/>
  <c r="E722" i="63" s="1"/>
  <c r="F722" i="63" s="1"/>
  <c r="D723" i="63" l="1"/>
  <c r="C723" i="63"/>
  <c r="E723" i="63" s="1"/>
  <c r="F723" i="63" s="1"/>
  <c r="D724" i="63" l="1"/>
  <c r="C724" i="63"/>
  <c r="E724" i="63" s="1"/>
  <c r="F724" i="63" s="1"/>
  <c r="D725" i="63" l="1"/>
  <c r="C725" i="63"/>
  <c r="E725" i="63" s="1"/>
  <c r="F725" i="63" s="1"/>
  <c r="D726" i="63" l="1"/>
  <c r="C726" i="63"/>
  <c r="E726" i="63" s="1"/>
  <c r="F726" i="63" s="1"/>
  <c r="D727" i="63" l="1"/>
  <c r="C727" i="63"/>
  <c r="E727" i="63" s="1"/>
  <c r="F727" i="63" s="1"/>
  <c r="D728" i="63" l="1"/>
  <c r="C728" i="63"/>
  <c r="E728" i="63" s="1"/>
  <c r="F728" i="63" s="1"/>
  <c r="D729" i="63" l="1"/>
  <c r="C729" i="63"/>
  <c r="E729" i="63" s="1"/>
  <c r="F729" i="63" s="1"/>
  <c r="D730" i="63" l="1"/>
  <c r="C730" i="63"/>
  <c r="E730" i="63" s="1"/>
  <c r="F730" i="63" s="1"/>
  <c r="D731" i="63" l="1"/>
  <c r="C731" i="63" s="1"/>
  <c r="E731" i="63" s="1"/>
  <c r="F731" i="63" s="1"/>
  <c r="D732" i="63" l="1"/>
  <c r="C732" i="63" s="1"/>
  <c r="E732" i="63" s="1"/>
  <c r="F732" i="63" s="1"/>
  <c r="D733" i="63" l="1"/>
  <c r="C733" i="63"/>
  <c r="E733" i="63" s="1"/>
  <c r="K18" i="63" l="1"/>
  <c r="L18" i="63" s="1"/>
  <c r="J18" i="63"/>
  <c r="F733" i="63"/>
  <c r="K19" i="63" l="1"/>
  <c r="L19" i="63" s="1"/>
  <c r="M18" i="63"/>
  <c r="J19" i="63"/>
  <c r="K20" i="63" l="1"/>
  <c r="L20" i="63" s="1"/>
  <c r="M19" i="63"/>
  <c r="J20" i="63"/>
  <c r="K21" i="63" l="1"/>
  <c r="L21" i="63" s="1"/>
  <c r="M20" i="63"/>
  <c r="J21" i="63"/>
  <c r="K22" i="63" l="1"/>
  <c r="L22" i="63" s="1"/>
  <c r="J22" i="63"/>
  <c r="J23" i="63" s="1"/>
  <c r="M21" i="63"/>
  <c r="K23" i="63" l="1"/>
  <c r="K24" i="63" s="1"/>
  <c r="K25" i="63" s="1"/>
  <c r="M22" i="63"/>
  <c r="J24" i="63"/>
  <c r="L23" i="63" l="1"/>
  <c r="L24" i="63" s="1"/>
  <c r="M23" i="63"/>
  <c r="L25" i="63"/>
  <c r="M24" i="63"/>
  <c r="J25" i="63"/>
  <c r="J26" i="63" s="1"/>
  <c r="K26" i="63"/>
  <c r="K27" i="63" s="1"/>
  <c r="K28" i="63" s="1"/>
  <c r="K29" i="63" s="1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K46" i="63" s="1"/>
  <c r="K47" i="63" s="1"/>
  <c r="K48" i="63" s="1"/>
  <c r="K49" i="63" s="1"/>
  <c r="K50" i="63" s="1"/>
  <c r="M25" i="63" l="1"/>
  <c r="J27" i="63"/>
  <c r="K51" i="63"/>
  <c r="K52" i="63" s="1"/>
  <c r="K53" i="63" s="1"/>
  <c r="K54" i="63" s="1"/>
  <c r="K55" i="63" s="1"/>
  <c r="K56" i="63" s="1"/>
  <c r="K57" i="63" s="1"/>
  <c r="K58" i="63" s="1"/>
  <c r="K59" i="63" s="1"/>
  <c r="K60" i="63" s="1"/>
  <c r="K61" i="63" s="1"/>
  <c r="K62" i="63" s="1"/>
  <c r="K63" i="63" s="1"/>
  <c r="K64" i="63" s="1"/>
  <c r="K65" i="63" s="1"/>
  <c r="K66" i="63" s="1"/>
  <c r="K67" i="63" s="1"/>
  <c r="K68" i="63" s="1"/>
  <c r="K69" i="63" s="1"/>
  <c r="K70" i="63" s="1"/>
  <c r="K71" i="63" s="1"/>
  <c r="K72" i="63" s="1"/>
  <c r="K73" i="63" s="1"/>
  <c r="K74" i="63" s="1"/>
  <c r="K75" i="63" s="1"/>
  <c r="K76" i="63" s="1"/>
  <c r="K77" i="63" s="1"/>
  <c r="L26" i="63"/>
  <c r="L27" i="63" s="1"/>
  <c r="L28" i="63" s="1"/>
  <c r="L29" i="63" s="1"/>
  <c r="L30" i="63" s="1"/>
  <c r="L31" i="63" s="1"/>
  <c r="L32" i="63" s="1"/>
  <c r="M26" i="63"/>
  <c r="L33" i="63" l="1"/>
  <c r="L34" i="63" s="1"/>
  <c r="M27" i="63"/>
  <c r="J28" i="63"/>
  <c r="L35" i="63" l="1"/>
  <c r="L36" i="63" s="1"/>
  <c r="L37" i="63" s="1"/>
  <c r="L38" i="63" s="1"/>
  <c r="L39" i="63" s="1"/>
  <c r="L40" i="63" s="1"/>
  <c r="L41" i="63" s="1"/>
  <c r="L42" i="63" s="1"/>
  <c r="L43" i="63" s="1"/>
  <c r="L44" i="63" s="1"/>
  <c r="L45" i="63" s="1"/>
  <c r="L46" i="63" s="1"/>
  <c r="L47" i="63" s="1"/>
  <c r="L48" i="63" s="1"/>
  <c r="L49" i="63" s="1"/>
  <c r="L50" i="63" s="1"/>
  <c r="L51" i="63" s="1"/>
  <c r="L52" i="63" s="1"/>
  <c r="L53" i="63" s="1"/>
  <c r="L54" i="63" s="1"/>
  <c r="L55" i="63" s="1"/>
  <c r="L56" i="63" s="1"/>
  <c r="L57" i="63" s="1"/>
  <c r="L58" i="63" s="1"/>
  <c r="L59" i="63" s="1"/>
  <c r="L60" i="63" s="1"/>
  <c r="L61" i="63" s="1"/>
  <c r="L62" i="63" s="1"/>
  <c r="L63" i="63" s="1"/>
  <c r="L64" i="63" s="1"/>
  <c r="L65" i="63" s="1"/>
  <c r="L66" i="63" s="1"/>
  <c r="L67" i="63" s="1"/>
  <c r="L68" i="63" s="1"/>
  <c r="L69" i="63" s="1"/>
  <c r="L70" i="63" s="1"/>
  <c r="L71" i="63" s="1"/>
  <c r="L72" i="63" s="1"/>
  <c r="L73" i="63" s="1"/>
  <c r="L74" i="63" s="1"/>
  <c r="L75" i="63" s="1"/>
  <c r="L76" i="63" s="1"/>
  <c r="L77" i="63" s="1"/>
  <c r="M28" i="63"/>
  <c r="J29" i="63"/>
  <c r="M29" i="63" l="1"/>
  <c r="J30" i="63"/>
  <c r="M30" i="63" l="1"/>
  <c r="J31" i="63"/>
  <c r="M31" i="63" l="1"/>
  <c r="J32" i="63"/>
  <c r="M32" i="63" l="1"/>
  <c r="J33" i="63"/>
  <c r="M33" i="63" l="1"/>
  <c r="J34" i="63"/>
  <c r="M34" i="63" l="1"/>
  <c r="J35" i="63"/>
  <c r="M35" i="63" l="1"/>
  <c r="J36" i="63"/>
  <c r="M36" i="63" l="1"/>
  <c r="J37" i="63"/>
  <c r="M37" i="63" l="1"/>
  <c r="J38" i="63"/>
  <c r="M38" i="63" l="1"/>
  <c r="J39" i="63"/>
  <c r="M39" i="63" l="1"/>
  <c r="J40" i="63"/>
  <c r="M40" i="63" l="1"/>
  <c r="J41" i="63"/>
  <c r="M41" i="63" l="1"/>
  <c r="J42" i="63"/>
  <c r="M42" i="63" l="1"/>
  <c r="J43" i="63"/>
  <c r="M43" i="63" l="1"/>
  <c r="J44" i="63"/>
  <c r="M44" i="63" l="1"/>
  <c r="J45" i="63"/>
  <c r="M45" i="63" l="1"/>
  <c r="J46" i="63"/>
  <c r="M46" i="63" l="1"/>
  <c r="J47" i="63"/>
  <c r="M47" i="63" l="1"/>
  <c r="J48" i="63"/>
  <c r="M48" i="63" l="1"/>
  <c r="J49" i="63"/>
  <c r="M49" i="63" l="1"/>
  <c r="J50" i="63"/>
  <c r="M50" i="63" l="1"/>
  <c r="J51" i="63"/>
  <c r="M51" i="63" l="1"/>
  <c r="J52" i="63"/>
  <c r="M52" i="63" l="1"/>
  <c r="J53" i="63"/>
  <c r="M53" i="63" l="1"/>
  <c r="J54" i="63"/>
  <c r="M54" i="63" l="1"/>
  <c r="J55" i="63"/>
  <c r="M55" i="63" l="1"/>
  <c r="J56" i="63"/>
  <c r="M56" i="63" l="1"/>
  <c r="J57" i="63"/>
  <c r="M57" i="63" l="1"/>
  <c r="J58" i="63"/>
  <c r="M58" i="63" l="1"/>
  <c r="J59" i="63"/>
  <c r="M59" i="63" l="1"/>
  <c r="J60" i="63"/>
  <c r="M60" i="63" l="1"/>
  <c r="J61" i="63"/>
  <c r="M61" i="63" l="1"/>
  <c r="J62" i="63"/>
  <c r="M62" i="63" l="1"/>
  <c r="J63" i="63"/>
  <c r="M63" i="63" l="1"/>
  <c r="J64" i="63"/>
  <c r="M64" i="63" l="1"/>
  <c r="J65" i="63"/>
  <c r="M65" i="63" l="1"/>
  <c r="J66" i="63"/>
  <c r="M66" i="63" l="1"/>
  <c r="J67" i="63"/>
  <c r="M67" i="63" l="1"/>
  <c r="J68" i="63"/>
  <c r="M68" i="63" l="1"/>
  <c r="J69" i="63"/>
  <c r="M69" i="63" l="1"/>
  <c r="J70" i="63"/>
  <c r="M70" i="63" l="1"/>
  <c r="J71" i="63"/>
  <c r="M71" i="63" l="1"/>
  <c r="J72" i="63"/>
  <c r="M72" i="63" l="1"/>
  <c r="J73" i="63"/>
  <c r="M73" i="63" l="1"/>
  <c r="J74" i="63"/>
  <c r="M74" i="63" l="1"/>
  <c r="J75" i="63"/>
  <c r="M75" i="63" l="1"/>
  <c r="J76" i="63"/>
  <c r="M76" i="63" l="1"/>
  <c r="J77" i="63"/>
  <c r="M77" i="63" s="1"/>
  <c r="G93" i="4" l="1"/>
  <c r="L93" i="4"/>
  <c r="G94" i="4"/>
  <c r="L94" i="4"/>
  <c r="G95" i="4"/>
  <c r="L95" i="4"/>
  <c r="G96" i="4"/>
  <c r="L96" i="4"/>
  <c r="F102" i="4"/>
  <c r="E61" i="11" s="1"/>
  <c r="E94" i="4" l="1"/>
  <c r="R94" i="4"/>
  <c r="Q94" i="4" s="1"/>
  <c r="U94" i="4" s="1"/>
  <c r="E96" i="4"/>
  <c r="R96" i="4"/>
  <c r="Q96" i="4" s="1"/>
  <c r="U96" i="4" s="1"/>
  <c r="E95" i="4"/>
  <c r="R95" i="4"/>
  <c r="Q95" i="4" s="1"/>
  <c r="U95" i="4" s="1"/>
  <c r="R93" i="4"/>
  <c r="Q93" i="4" s="1"/>
  <c r="E30" i="11"/>
  <c r="E44" i="64"/>
  <c r="L102" i="4"/>
  <c r="E93" i="4"/>
  <c r="G102" i="4"/>
  <c r="Q102" i="4" l="1"/>
  <c r="R102" i="4"/>
  <c r="U93" i="4"/>
  <c r="M41" i="11"/>
  <c r="K102" i="4"/>
  <c r="H61" i="11" s="1"/>
  <c r="F61" i="11" s="1"/>
  <c r="U102" i="4" l="1"/>
  <c r="B10" i="11"/>
  <c r="M78" i="4" l="1"/>
  <c r="M90" i="4" s="1"/>
  <c r="M120" i="4" s="1"/>
  <c r="E5" i="11"/>
  <c r="D7" i="64" s="1"/>
  <c r="F5" i="11"/>
  <c r="O6" i="11"/>
  <c r="O7" i="11"/>
  <c r="O8" i="11"/>
  <c r="O80" i="4" s="1"/>
  <c r="O90" i="4" s="1"/>
  <c r="O120" i="4" s="1"/>
  <c r="E9" i="54" l="1"/>
  <c r="L80" i="4"/>
  <c r="J80" i="4"/>
  <c r="G80" i="4"/>
  <c r="L78" i="4"/>
  <c r="J78" i="4"/>
  <c r="G78" i="4"/>
  <c r="L79" i="4"/>
  <c r="G79" i="4"/>
  <c r="J79" i="4"/>
  <c r="F90" i="4"/>
  <c r="F120" i="4" l="1"/>
  <c r="E64" i="11" s="1"/>
  <c r="E54" i="11" s="1"/>
  <c r="K80" i="4"/>
  <c r="E80" i="4"/>
  <c r="R80" i="4"/>
  <c r="Q80" i="4" s="1"/>
  <c r="U80" i="4" s="1"/>
  <c r="E78" i="4"/>
  <c r="R78" i="4"/>
  <c r="Q78" i="4" s="1"/>
  <c r="U78" i="4" s="1"/>
  <c r="E79" i="4"/>
  <c r="R79" i="4"/>
  <c r="Q79" i="4" s="1"/>
  <c r="U79" i="4" s="1"/>
  <c r="J90" i="4"/>
  <c r="K79" i="4"/>
  <c r="K78" i="4"/>
  <c r="G90" i="4"/>
  <c r="E60" i="11"/>
  <c r="G120" i="4" l="1"/>
  <c r="K90" i="4"/>
  <c r="H60" i="11" s="1"/>
  <c r="J120" i="4"/>
  <c r="G60" i="11"/>
  <c r="E43" i="64"/>
  <c r="E47" i="64" s="1"/>
  <c r="E29" i="11"/>
  <c r="R90" i="4"/>
  <c r="R120" i="4" s="1"/>
  <c r="E5" i="54"/>
  <c r="I90" i="4" l="1"/>
  <c r="D42" i="70"/>
  <c r="D40" i="70"/>
  <c r="G40" i="70" s="1"/>
  <c r="I120" i="4"/>
  <c r="I39" i="4"/>
  <c r="I31" i="4"/>
  <c r="I43" i="4"/>
  <c r="I48" i="4"/>
  <c r="I108" i="4"/>
  <c r="I98" i="4"/>
  <c r="I46" i="4"/>
  <c r="I73" i="4"/>
  <c r="I64" i="4"/>
  <c r="I50" i="4"/>
  <c r="I88" i="4"/>
  <c r="I89" i="4"/>
  <c r="I97" i="4"/>
  <c r="I82" i="4"/>
  <c r="I106" i="4"/>
  <c r="I67" i="4"/>
  <c r="I77" i="4"/>
  <c r="I52" i="4"/>
  <c r="I60" i="4"/>
  <c r="I53" i="4"/>
  <c r="I100" i="4"/>
  <c r="I101" i="4"/>
  <c r="I45" i="4"/>
  <c r="I35" i="4"/>
  <c r="I59" i="4"/>
  <c r="I86" i="4"/>
  <c r="I83" i="4"/>
  <c r="I76" i="4"/>
  <c r="I32" i="4"/>
  <c r="I44" i="4"/>
  <c r="I47" i="4"/>
  <c r="I49" i="4"/>
  <c r="I107" i="4"/>
  <c r="I56" i="4"/>
  <c r="I61" i="4"/>
  <c r="I58" i="4"/>
  <c r="I24" i="4"/>
  <c r="I117" i="4"/>
  <c r="I34" i="4"/>
  <c r="I19" i="4"/>
  <c r="I111" i="4"/>
  <c r="I74" i="4"/>
  <c r="I65" i="4"/>
  <c r="I62" i="4"/>
  <c r="I18" i="4"/>
  <c r="I33" i="4"/>
  <c r="I20" i="4"/>
  <c r="I38" i="4"/>
  <c r="I26" i="4"/>
  <c r="I55" i="4"/>
  <c r="I81" i="4"/>
  <c r="I75" i="4"/>
  <c r="I66" i="4"/>
  <c r="I17" i="4"/>
  <c r="I37" i="4"/>
  <c r="I36" i="4"/>
  <c r="I110" i="4"/>
  <c r="I99" i="4"/>
  <c r="I85" i="4"/>
  <c r="I57" i="4"/>
  <c r="I54" i="4"/>
  <c r="I30" i="4"/>
  <c r="I116" i="4"/>
  <c r="I109" i="4"/>
  <c r="I25" i="4"/>
  <c r="I118" i="4"/>
  <c r="I63" i="4"/>
  <c r="I51" i="4"/>
  <c r="I87" i="4"/>
  <c r="I84" i="4"/>
  <c r="I40" i="4"/>
  <c r="I68" i="4"/>
  <c r="I112" i="4"/>
  <c r="I27" i="4"/>
  <c r="I21" i="4"/>
  <c r="I119" i="4"/>
  <c r="I96" i="4"/>
  <c r="I95" i="4"/>
  <c r="I94" i="4"/>
  <c r="I93" i="4"/>
  <c r="I102" i="4"/>
  <c r="I80" i="4"/>
  <c r="I79" i="4"/>
  <c r="I78" i="4"/>
  <c r="K120" i="4"/>
  <c r="F60" i="11"/>
  <c r="H64" i="11"/>
  <c r="G64" i="11"/>
  <c r="E12" i="54"/>
  <c r="M40" i="11"/>
  <c r="F64" i="11" l="1"/>
  <c r="E20" i="11"/>
  <c r="E35" i="11"/>
  <c r="D19" i="64" l="1"/>
  <c r="F20" i="11"/>
  <c r="E22" i="11"/>
  <c r="Q73" i="4" l="1"/>
  <c r="U73" i="4" s="1"/>
  <c r="E11" i="54"/>
  <c r="E13" i="54" s="1"/>
  <c r="E20" i="54" s="1"/>
  <c r="U82" i="4"/>
  <c r="L90" i="4"/>
  <c r="L120" i="4" l="1"/>
  <c r="M54" i="11" s="1"/>
  <c r="M56" i="11" s="1"/>
  <c r="M58" i="11" s="1"/>
  <c r="J29" i="64" s="1"/>
  <c r="D12" i="70" s="1"/>
  <c r="G12" i="70" s="1"/>
  <c r="Q90" i="4"/>
  <c r="Q120" i="4" s="1"/>
  <c r="U120" i="4" s="1"/>
  <c r="U90" i="4" l="1"/>
  <c r="U121" i="4" l="1"/>
  <c r="F74" i="21"/>
  <c r="F73" i="21"/>
  <c r="G74" i="21" l="1"/>
  <c r="G73" i="21"/>
  <c r="H73" i="21" l="1"/>
  <c r="H74" i="21"/>
  <c r="I73" i="21" l="1"/>
  <c r="I74" i="21"/>
  <c r="J74" i="21" l="1"/>
  <c r="J73" i="21"/>
  <c r="K74" i="21" l="1"/>
  <c r="K73" i="21"/>
  <c r="L73" i="21" l="1"/>
  <c r="L74" i="21"/>
  <c r="M74" i="21" l="1"/>
  <c r="M73" i="21"/>
  <c r="N74" i="21" l="1"/>
  <c r="N73" i="21" l="1"/>
  <c r="O73" i="21"/>
  <c r="O74" i="21"/>
  <c r="P74" i="21" l="1"/>
  <c r="P73" i="21"/>
  <c r="Q74" i="21" l="1"/>
  <c r="Q73" i="21"/>
  <c r="R74" i="21" l="1"/>
  <c r="R73" i="21"/>
  <c r="S74" i="21" l="1"/>
  <c r="S73" i="21"/>
  <c r="T74" i="21" l="1"/>
  <c r="T73" i="21"/>
  <c r="U74" i="21" l="1"/>
  <c r="U73" i="21"/>
  <c r="V74" i="21" l="1"/>
  <c r="V73" i="21"/>
  <c r="W74" i="21" l="1"/>
  <c r="W73" i="21"/>
  <c r="X74" i="21" l="1"/>
  <c r="X73" i="21"/>
  <c r="Y73" i="21" l="1"/>
  <c r="Y74" i="21"/>
  <c r="Z74" i="21" l="1"/>
  <c r="Z73" i="21"/>
  <c r="AA74" i="21" l="1"/>
  <c r="AA73" i="21"/>
  <c r="AB74" i="21" l="1"/>
  <c r="AB73" i="21"/>
  <c r="AC73" i="21" l="1"/>
  <c r="AC74" i="21"/>
  <c r="AD74" i="21" l="1"/>
  <c r="AD73" i="21"/>
  <c r="AE74" i="21" l="1"/>
  <c r="AE73" i="21"/>
  <c r="AF74" i="21" l="1"/>
  <c r="AF73" i="21"/>
  <c r="AG73" i="21" l="1"/>
  <c r="AG74" i="21"/>
  <c r="AH73" i="21" l="1"/>
  <c r="AH74" i="21"/>
  <c r="AI74" i="21" l="1"/>
  <c r="AI73" i="21"/>
  <c r="F30" i="11" l="1"/>
  <c r="F31" i="11"/>
  <c r="B11" i="11" l="1"/>
  <c r="B21" i="11" s="1"/>
  <c r="F25" i="11" l="1"/>
  <c r="F28" i="11"/>
  <c r="F26" i="11"/>
  <c r="F27" i="11"/>
  <c r="F29" i="11"/>
  <c r="H35" i="11"/>
  <c r="H22" i="11" l="1"/>
  <c r="G22" i="11"/>
  <c r="E42" i="70" l="1"/>
  <c r="G42" i="70" s="1"/>
  <c r="E41" i="70"/>
  <c r="E45" i="70" l="1"/>
  <c r="E46" i="70"/>
  <c r="G46" i="70" s="1"/>
  <c r="K56" i="52" l="1"/>
  <c r="O59" i="52"/>
  <c r="P58" i="52" s="1"/>
  <c r="Q59" i="52"/>
  <c r="R58" i="52" s="1"/>
  <c r="AB64" i="52"/>
  <c r="E8" i="67" l="1"/>
  <c r="H37" i="67"/>
  <c r="N33" i="67"/>
  <c r="N29" i="67"/>
  <c r="J34" i="67"/>
  <c r="J30" i="67"/>
  <c r="J26" i="67"/>
  <c r="H31" i="67"/>
  <c r="H27" i="67"/>
  <c r="F33" i="67"/>
  <c r="F29" i="67"/>
  <c r="N32" i="67"/>
  <c r="N28" i="67"/>
  <c r="J33" i="67"/>
  <c r="J29" i="67"/>
  <c r="H34" i="67"/>
  <c r="H30" i="67"/>
  <c r="H26" i="67"/>
  <c r="F32" i="67"/>
  <c r="F28" i="67"/>
  <c r="N37" i="67"/>
  <c r="J37" i="67"/>
  <c r="N31" i="67"/>
  <c r="J32" i="67"/>
  <c r="J28" i="67"/>
  <c r="H29" i="67"/>
  <c r="N34" i="67"/>
  <c r="J27" i="67"/>
  <c r="F36" i="67"/>
  <c r="F30" i="67"/>
  <c r="N27" i="67"/>
  <c r="H33" i="67"/>
  <c r="F37" i="67"/>
  <c r="F31" i="67"/>
  <c r="N26" i="67"/>
  <c r="F27" i="67"/>
  <c r="H32" i="67"/>
  <c r="F26" i="67"/>
  <c r="E9" i="67"/>
  <c r="N30" i="67"/>
  <c r="J31" i="67"/>
  <c r="H28" i="67"/>
  <c r="F34" i="67"/>
  <c r="L34" i="67"/>
  <c r="L32" i="67"/>
  <c r="L30" i="67"/>
  <c r="L31" i="67"/>
  <c r="L33" i="67"/>
  <c r="L37" i="67"/>
  <c r="L29" i="67"/>
  <c r="L28" i="67"/>
  <c r="L26" i="67"/>
  <c r="L27" i="67"/>
  <c r="E10" i="67"/>
  <c r="H39" i="67"/>
  <c r="J39" i="67"/>
  <c r="N39" i="67"/>
  <c r="F39" i="67"/>
  <c r="L39" i="67"/>
  <c r="F88" i="55"/>
  <c r="F82" i="55"/>
  <c r="F79" i="55"/>
  <c r="F78" i="55"/>
  <c r="F87" i="55"/>
  <c r="F84" i="55"/>
  <c r="F83" i="55"/>
  <c r="F62" i="55"/>
  <c r="F57" i="55"/>
  <c r="D34" i="67" s="1"/>
  <c r="F52" i="55"/>
  <c r="D32" i="67" s="1"/>
  <c r="F48" i="55"/>
  <c r="F43" i="55"/>
  <c r="F39" i="55"/>
  <c r="F34" i="55"/>
  <c r="F29" i="55"/>
  <c r="F24" i="55"/>
  <c r="F18" i="55"/>
  <c r="D25" i="4"/>
  <c r="F21" i="55"/>
  <c r="F63" i="55"/>
  <c r="F54" i="55"/>
  <c r="F44" i="55"/>
  <c r="F35" i="55"/>
  <c r="F26" i="55"/>
  <c r="F67" i="55"/>
  <c r="D39" i="67" s="1"/>
  <c r="F61" i="55"/>
  <c r="F56" i="55"/>
  <c r="F51" i="55"/>
  <c r="F46" i="55"/>
  <c r="F42" i="55"/>
  <c r="F38" i="55"/>
  <c r="F33" i="55"/>
  <c r="F28" i="55"/>
  <c r="F22" i="55"/>
  <c r="F17" i="55"/>
  <c r="F41" i="55"/>
  <c r="F32" i="55"/>
  <c r="F16" i="55"/>
  <c r="H31" i="4"/>
  <c r="F58" i="55"/>
  <c r="F49" i="55"/>
  <c r="F40" i="55"/>
  <c r="F30" i="55"/>
  <c r="F20" i="55"/>
  <c r="F19" i="55"/>
  <c r="F64" i="55"/>
  <c r="F60" i="55"/>
  <c r="F55" i="55"/>
  <c r="F50" i="55"/>
  <c r="F45" i="55"/>
  <c r="F36" i="55"/>
  <c r="F27" i="55"/>
  <c r="H39" i="4"/>
  <c r="H117" i="4"/>
  <c r="H19" i="4"/>
  <c r="H74" i="4"/>
  <c r="H62" i="4"/>
  <c r="H33" i="4"/>
  <c r="H38" i="4"/>
  <c r="H55" i="4"/>
  <c r="H75" i="4"/>
  <c r="H17" i="4"/>
  <c r="H36" i="4"/>
  <c r="H99" i="4"/>
  <c r="H57" i="4"/>
  <c r="H30" i="4"/>
  <c r="H109" i="4"/>
  <c r="H118" i="4"/>
  <c r="H51" i="4"/>
  <c r="H84" i="4"/>
  <c r="H43" i="4"/>
  <c r="H108" i="4"/>
  <c r="H46" i="4"/>
  <c r="H64" i="4"/>
  <c r="H88" i="4"/>
  <c r="H97" i="4"/>
  <c r="H106" i="4"/>
  <c r="H77" i="4"/>
  <c r="H60" i="4"/>
  <c r="H100" i="4"/>
  <c r="H45" i="4"/>
  <c r="H59" i="4"/>
  <c r="H83" i="4"/>
  <c r="H32" i="4"/>
  <c r="H47" i="4"/>
  <c r="H107" i="4"/>
  <c r="H61" i="4"/>
  <c r="H24" i="4"/>
  <c r="H34" i="4"/>
  <c r="H111" i="4"/>
  <c r="H65" i="4"/>
  <c r="H18" i="4"/>
  <c r="H20" i="4"/>
  <c r="H26" i="4"/>
  <c r="H81" i="4"/>
  <c r="H66" i="4"/>
  <c r="H37" i="4"/>
  <c r="H110" i="4"/>
  <c r="H85" i="4"/>
  <c r="H54" i="4"/>
  <c r="H116" i="4"/>
  <c r="H25" i="4"/>
  <c r="H63" i="4"/>
  <c r="H87" i="4"/>
  <c r="H48" i="4"/>
  <c r="H98" i="4"/>
  <c r="H73" i="4"/>
  <c r="H50" i="4"/>
  <c r="H89" i="4"/>
  <c r="H82" i="4"/>
  <c r="H67" i="4"/>
  <c r="H52" i="4"/>
  <c r="H53" i="4"/>
  <c r="H101" i="4"/>
  <c r="H35" i="4"/>
  <c r="H86" i="4"/>
  <c r="H76" i="4"/>
  <c r="H44" i="4"/>
  <c r="H49" i="4"/>
  <c r="H56" i="4"/>
  <c r="H58" i="4"/>
  <c r="H21" i="4"/>
  <c r="H40" i="4"/>
  <c r="H112" i="4"/>
  <c r="H27" i="4"/>
  <c r="H119" i="4"/>
  <c r="H68" i="4"/>
  <c r="F75" i="55"/>
  <c r="F85" i="55"/>
  <c r="F80" i="55"/>
  <c r="F89" i="55"/>
  <c r="F90" i="55"/>
  <c r="H96" i="4"/>
  <c r="H95" i="4"/>
  <c r="H93" i="4"/>
  <c r="H94" i="4"/>
  <c r="H102" i="4"/>
  <c r="H80" i="4"/>
  <c r="H79" i="4"/>
  <c r="H78" i="4"/>
  <c r="H90" i="4"/>
  <c r="H120" i="4"/>
  <c r="AC49" i="52"/>
  <c r="AC61" i="52"/>
  <c r="AC52" i="52"/>
  <c r="AC53" i="52"/>
  <c r="AC56" i="52"/>
  <c r="AC62" i="52"/>
  <c r="AC54" i="52"/>
  <c r="AC60" i="52"/>
  <c r="AC57" i="52"/>
  <c r="AC55" i="52"/>
  <c r="AC58" i="52"/>
  <c r="AC51" i="52"/>
  <c r="AC59" i="52"/>
  <c r="AC50" i="52"/>
  <c r="AC63" i="52"/>
  <c r="D27" i="70"/>
  <c r="J55" i="64"/>
  <c r="D28" i="67"/>
  <c r="R56" i="52"/>
  <c r="G28" i="70"/>
  <c r="G32" i="70"/>
  <c r="R57" i="52"/>
  <c r="P56" i="52"/>
  <c r="R55" i="52"/>
  <c r="R54" i="52"/>
  <c r="R53" i="52"/>
  <c r="R52" i="52"/>
  <c r="R51" i="52"/>
  <c r="C28" i="50"/>
  <c r="O8" i="50" s="1"/>
  <c r="P57" i="52"/>
  <c r="P55" i="52"/>
  <c r="P54" i="52"/>
  <c r="P53" i="52"/>
  <c r="P52" i="52"/>
  <c r="P51" i="52"/>
  <c r="D37" i="70"/>
  <c r="G37" i="70" s="1"/>
  <c r="L55" i="52"/>
  <c r="D27" i="50" s="1"/>
  <c r="D28" i="50" s="1"/>
  <c r="L54" i="52"/>
  <c r="L53" i="52"/>
  <c r="L52" i="52"/>
  <c r="L51" i="52"/>
  <c r="AC64" i="52" l="1"/>
  <c r="L56" i="52"/>
  <c r="P59" i="52"/>
  <c r="G66" i="52" s="1"/>
  <c r="D30" i="67"/>
  <c r="J57" i="64"/>
  <c r="D37" i="67"/>
  <c r="J60" i="64"/>
  <c r="D31" i="67"/>
  <c r="J58" i="64"/>
  <c r="D33" i="67"/>
  <c r="J59" i="64"/>
  <c r="D27" i="67"/>
  <c r="J54" i="64"/>
  <c r="D29" i="67"/>
  <c r="J56" i="64"/>
  <c r="D26" i="67"/>
  <c r="J53" i="64"/>
  <c r="E3" i="58"/>
  <c r="C3" i="4"/>
  <c r="D41" i="70" s="1"/>
  <c r="G41" i="70" s="1"/>
  <c r="C5" i="70"/>
  <c r="D45" i="70" s="1"/>
  <c r="G45" i="70" s="1"/>
  <c r="O12" i="50"/>
  <c r="R59" i="52"/>
  <c r="G67" i="52" s="1"/>
  <c r="D36" i="67" l="1"/>
  <c r="J61" i="64"/>
  <c r="E22" i="54"/>
  <c r="E36" i="54" s="1"/>
  <c r="E37" i="54" s="1"/>
  <c r="E13" i="58"/>
  <c r="B14" i="58"/>
  <c r="F119" i="21"/>
  <c r="F120" i="21" s="1"/>
  <c r="O13" i="50"/>
  <c r="J25" i="64"/>
  <c r="E23" i="54" l="1"/>
  <c r="E26" i="54" s="1"/>
  <c r="B15" i="58"/>
  <c r="D14" i="58"/>
  <c r="E14" i="58" s="1"/>
  <c r="I9" i="58"/>
  <c r="I16" i="57" s="1"/>
  <c r="I10" i="58"/>
  <c r="H16" i="57" s="1"/>
  <c r="I10" i="63"/>
  <c r="J26" i="64"/>
  <c r="I10" i="65"/>
  <c r="B62" i="64"/>
  <c r="E42" i="54"/>
  <c r="B52" i="64"/>
  <c r="E39" i="54"/>
  <c r="B55" i="64" l="1"/>
  <c r="B16" i="58"/>
  <c r="D15" i="58"/>
  <c r="E15" i="58" s="1"/>
  <c r="B57" i="64"/>
  <c r="E28" i="54"/>
  <c r="V16" i="57"/>
  <c r="L16" i="57"/>
  <c r="P16" i="57"/>
  <c r="H17" i="57"/>
  <c r="B54" i="64"/>
  <c r="E40" i="54"/>
  <c r="I15" i="57"/>
  <c r="Q15" i="57" s="1"/>
  <c r="R15" i="57" s="1"/>
  <c r="K29" i="11" s="1"/>
  <c r="Q16" i="57"/>
  <c r="R16" i="57" s="1"/>
  <c r="K30" i="11" s="1"/>
  <c r="I17" i="57"/>
  <c r="D16" i="58" l="1"/>
  <c r="E16" i="58" s="1"/>
  <c r="B17" i="58"/>
  <c r="Q17" i="57"/>
  <c r="I18" i="57"/>
  <c r="V17" i="57"/>
  <c r="P17" i="57"/>
  <c r="H18" i="57"/>
  <c r="E44" i="54"/>
  <c r="E46" i="54" s="1"/>
  <c r="K16" i="57"/>
  <c r="M16" i="57" s="1"/>
  <c r="J16" i="57"/>
  <c r="D17" i="58" l="1"/>
  <c r="E17" i="58" s="1"/>
  <c r="B18" i="58"/>
  <c r="D38" i="50"/>
  <c r="L44" i="50"/>
  <c r="O16" i="57"/>
  <c r="N16" i="57"/>
  <c r="K17" i="57"/>
  <c r="M17" i="57" s="1"/>
  <c r="J17" i="57"/>
  <c r="L17" i="57"/>
  <c r="K31" i="54"/>
  <c r="K33" i="54" s="1"/>
  <c r="K35" i="54" s="1"/>
  <c r="Q18" i="57"/>
  <c r="I19" i="57"/>
  <c r="V18" i="57"/>
  <c r="P18" i="57"/>
  <c r="H19" i="57"/>
  <c r="R17" i="57"/>
  <c r="K31" i="11" s="1"/>
  <c r="B19" i="58" l="1"/>
  <c r="D18" i="58"/>
  <c r="R18" i="57"/>
  <c r="K32" i="11" s="1"/>
  <c r="K33" i="11" s="1"/>
  <c r="L18" i="57"/>
  <c r="O17" i="57"/>
  <c r="N17" i="57"/>
  <c r="K18" i="57"/>
  <c r="M18" i="57" s="1"/>
  <c r="J18" i="57"/>
  <c r="Q19" i="57"/>
  <c r="I20" i="57"/>
  <c r="V19" i="57"/>
  <c r="P19" i="57"/>
  <c r="H20" i="57"/>
  <c r="B59" i="64"/>
  <c r="K49" i="54"/>
  <c r="E51" i="11" s="1"/>
  <c r="E18" i="58" l="1"/>
  <c r="D19" i="58"/>
  <c r="E19" i="58" s="1"/>
  <c r="B20" i="58"/>
  <c r="L19" i="57"/>
  <c r="E17" i="11"/>
  <c r="E53" i="11"/>
  <c r="D32" i="64"/>
  <c r="F51" i="11"/>
  <c r="K19" i="57"/>
  <c r="M19" i="57" s="1"/>
  <c r="J19" i="57"/>
  <c r="Q20" i="57"/>
  <c r="I21" i="57"/>
  <c r="V20" i="57"/>
  <c r="P20" i="57"/>
  <c r="H21" i="57"/>
  <c r="R19" i="57"/>
  <c r="O18" i="57"/>
  <c r="N18" i="57"/>
  <c r="B21" i="58" l="1"/>
  <c r="D20" i="58"/>
  <c r="E20" i="58" s="1"/>
  <c r="L20" i="57"/>
  <c r="F67" i="21"/>
  <c r="C63" i="11"/>
  <c r="F53" i="11"/>
  <c r="D34" i="64"/>
  <c r="D35" i="64" s="1"/>
  <c r="F17" i="11"/>
  <c r="D16" i="64"/>
  <c r="E19" i="11"/>
  <c r="K20" i="57"/>
  <c r="M20" i="57" s="1"/>
  <c r="J20" i="57"/>
  <c r="Q21" i="57"/>
  <c r="I22" i="57"/>
  <c r="O19" i="57"/>
  <c r="N19" i="57"/>
  <c r="V21" i="57"/>
  <c r="P21" i="57"/>
  <c r="H22" i="57"/>
  <c r="R20" i="57"/>
  <c r="D21" i="58" l="1"/>
  <c r="B22" i="58"/>
  <c r="F54" i="11"/>
  <c r="R21" i="57"/>
  <c r="L21" i="57"/>
  <c r="O20" i="57"/>
  <c r="N20" i="57"/>
  <c r="K21" i="57"/>
  <c r="M21" i="57" s="1"/>
  <c r="J21" i="57"/>
  <c r="V22" i="57"/>
  <c r="P22" i="57"/>
  <c r="H23" i="57"/>
  <c r="Q22" i="57"/>
  <c r="I23" i="57"/>
  <c r="D18" i="64"/>
  <c r="D20" i="64" s="1"/>
  <c r="F19" i="11"/>
  <c r="E21" i="11"/>
  <c r="F21" i="11" s="1"/>
  <c r="M49" i="11"/>
  <c r="D46" i="64"/>
  <c r="E32" i="11"/>
  <c r="M48" i="11" s="1"/>
  <c r="R22" i="57" l="1"/>
  <c r="D22" i="58"/>
  <c r="E22" i="58" s="1"/>
  <c r="B23" i="58"/>
  <c r="E21" i="58"/>
  <c r="F22" i="11"/>
  <c r="L22" i="57"/>
  <c r="K22" i="57"/>
  <c r="M22" i="57" s="1"/>
  <c r="J22" i="57"/>
  <c r="O21" i="57"/>
  <c r="N21" i="57"/>
  <c r="Q23" i="57"/>
  <c r="I24" i="57"/>
  <c r="M43" i="11"/>
  <c r="M44" i="11" s="1"/>
  <c r="E34" i="11"/>
  <c r="F34" i="11" s="1"/>
  <c r="F32" i="11"/>
  <c r="M47" i="11"/>
  <c r="M51" i="11" s="1"/>
  <c r="V23" i="57"/>
  <c r="P23" i="57"/>
  <c r="H24" i="57"/>
  <c r="B24" i="58" l="1"/>
  <c r="D23" i="58"/>
  <c r="L23" i="57"/>
  <c r="F35" i="11"/>
  <c r="K23" i="57"/>
  <c r="M23" i="57" s="1"/>
  <c r="J23" i="57"/>
  <c r="V24" i="57"/>
  <c r="P24" i="57"/>
  <c r="H25" i="57"/>
  <c r="Q24" i="57"/>
  <c r="I25" i="57"/>
  <c r="R23" i="57"/>
  <c r="O22" i="57"/>
  <c r="N22" i="57"/>
  <c r="E23" i="58" l="1"/>
  <c r="B29" i="58"/>
  <c r="D24" i="58"/>
  <c r="E24" i="58" s="1"/>
  <c r="B26" i="58"/>
  <c r="L24" i="57"/>
  <c r="K24" i="57"/>
  <c r="M24" i="57" s="1"/>
  <c r="J24" i="57"/>
  <c r="Q25" i="57"/>
  <c r="I26" i="57"/>
  <c r="R24" i="57"/>
  <c r="V25" i="57"/>
  <c r="P25" i="57"/>
  <c r="H26" i="57"/>
  <c r="O23" i="57"/>
  <c r="N23" i="57"/>
  <c r="D29" i="58" l="1"/>
  <c r="E29" i="58" s="1"/>
  <c r="B30" i="58"/>
  <c r="D26" i="58"/>
  <c r="E26" i="58" s="1"/>
  <c r="F4" i="21" s="1"/>
  <c r="L25" i="57"/>
  <c r="O24" i="57"/>
  <c r="N24" i="57"/>
  <c r="V26" i="57"/>
  <c r="P26" i="57"/>
  <c r="H27" i="57"/>
  <c r="K25" i="57"/>
  <c r="M25" i="57" s="1"/>
  <c r="J25" i="57"/>
  <c r="Q26" i="57"/>
  <c r="I27" i="57"/>
  <c r="R25" i="57"/>
  <c r="F10" i="21" l="1"/>
  <c r="F19" i="21" s="1"/>
  <c r="F9" i="21"/>
  <c r="F18" i="21" s="1"/>
  <c r="F41" i="21"/>
  <c r="F33" i="21"/>
  <c r="F27" i="21"/>
  <c r="F38" i="21"/>
  <c r="F31" i="21"/>
  <c r="F8" i="21"/>
  <c r="F26" i="21"/>
  <c r="F42" i="21"/>
  <c r="F43" i="21"/>
  <c r="F44" i="21"/>
  <c r="F28" i="21"/>
  <c r="F29" i="21"/>
  <c r="F21" i="21"/>
  <c r="F22" i="21" s="1"/>
  <c r="F16" i="21"/>
  <c r="F11" i="21"/>
  <c r="F13" i="21"/>
  <c r="F12" i="21"/>
  <c r="F30" i="21"/>
  <c r="F14" i="21"/>
  <c r="D30" i="58"/>
  <c r="E30" i="58" s="1"/>
  <c r="B31" i="58"/>
  <c r="L26" i="57"/>
  <c r="O25" i="57"/>
  <c r="N25" i="57"/>
  <c r="R26" i="57"/>
  <c r="K26" i="57"/>
  <c r="M26" i="57" s="1"/>
  <c r="J26" i="57"/>
  <c r="Q27" i="57"/>
  <c r="I28" i="57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V27" i="57"/>
  <c r="P27" i="57"/>
  <c r="H28" i="57"/>
  <c r="F17" i="21" l="1"/>
  <c r="F15" i="21"/>
  <c r="F34" i="21"/>
  <c r="B32" i="58"/>
  <c r="D31" i="58"/>
  <c r="E31" i="58" s="1"/>
  <c r="L27" i="57"/>
  <c r="K27" i="57"/>
  <c r="M27" i="57" s="1"/>
  <c r="J27" i="57"/>
  <c r="G49" i="21"/>
  <c r="G51" i="21" s="1"/>
  <c r="L49" i="21"/>
  <c r="J49" i="21"/>
  <c r="N49" i="21"/>
  <c r="I49" i="21"/>
  <c r="O49" i="21"/>
  <c r="I46" i="57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H49" i="21" s="1"/>
  <c r="V28" i="57"/>
  <c r="H29" i="57"/>
  <c r="R27" i="57"/>
  <c r="O26" i="57"/>
  <c r="N26" i="57"/>
  <c r="P49" i="21" s="1"/>
  <c r="F20" i="21" l="1"/>
  <c r="F23" i="21"/>
  <c r="F36" i="21" s="1"/>
  <c r="F46" i="21" s="1"/>
  <c r="F62" i="21" s="1"/>
  <c r="F63" i="21" s="1"/>
  <c r="F64" i="21" s="1"/>
  <c r="H53" i="21"/>
  <c r="H51" i="21"/>
  <c r="D32" i="58"/>
  <c r="E32" i="58" s="1"/>
  <c r="B33" i="58"/>
  <c r="M49" i="21"/>
  <c r="M60" i="21" s="1"/>
  <c r="K49" i="21"/>
  <c r="K58" i="21" s="1"/>
  <c r="P58" i="21"/>
  <c r="P59" i="21"/>
  <c r="P60" i="21"/>
  <c r="L28" i="57"/>
  <c r="O27" i="57"/>
  <c r="N27" i="57"/>
  <c r="Q49" i="21" s="1"/>
  <c r="K28" i="57"/>
  <c r="M28" i="57" s="1"/>
  <c r="J28" i="57"/>
  <c r="O59" i="21"/>
  <c r="O60" i="21"/>
  <c r="O58" i="21"/>
  <c r="I58" i="21"/>
  <c r="I59" i="21"/>
  <c r="I60" i="21"/>
  <c r="L58" i="21"/>
  <c r="L59" i="21"/>
  <c r="L60" i="21"/>
  <c r="H58" i="21"/>
  <c r="H59" i="21"/>
  <c r="H60" i="21"/>
  <c r="V29" i="57"/>
  <c r="H30" i="57"/>
  <c r="N60" i="21"/>
  <c r="N58" i="21"/>
  <c r="N59" i="21"/>
  <c r="J60" i="21"/>
  <c r="J58" i="21"/>
  <c r="J59" i="21"/>
  <c r="G53" i="21"/>
  <c r="G59" i="21"/>
  <c r="G60" i="21"/>
  <c r="G58" i="21"/>
  <c r="M59" i="21" l="1"/>
  <c r="M58" i="21"/>
  <c r="F68" i="21"/>
  <c r="G67" i="21" s="1"/>
  <c r="K60" i="21"/>
  <c r="K59" i="21"/>
  <c r="B34" i="58"/>
  <c r="D33" i="58"/>
  <c r="E33" i="58" s="1"/>
  <c r="L29" i="57"/>
  <c r="J29" i="57"/>
  <c r="K29" i="57"/>
  <c r="M29" i="57" s="1"/>
  <c r="Q58" i="21"/>
  <c r="Q60" i="21"/>
  <c r="Q59" i="21"/>
  <c r="H31" i="57"/>
  <c r="V30" i="57"/>
  <c r="O28" i="57"/>
  <c r="N28" i="57"/>
  <c r="R49" i="21" s="1"/>
  <c r="F70" i="21" l="1"/>
  <c r="F93" i="21" s="1"/>
  <c r="F94" i="21" s="1"/>
  <c r="G91" i="21" s="1"/>
  <c r="G92" i="21" s="1"/>
  <c r="B35" i="58"/>
  <c r="D34" i="58"/>
  <c r="L30" i="57"/>
  <c r="N29" i="57"/>
  <c r="S49" i="21" s="1"/>
  <c r="O29" i="57"/>
  <c r="V31" i="57"/>
  <c r="H32" i="57"/>
  <c r="R60" i="21"/>
  <c r="R58" i="21"/>
  <c r="R59" i="21"/>
  <c r="J30" i="57"/>
  <c r="K30" i="57"/>
  <c r="M30" i="57" s="1"/>
  <c r="F88" i="21" l="1"/>
  <c r="F98" i="21"/>
  <c r="F99" i="21" s="1"/>
  <c r="G96" i="21" s="1"/>
  <c r="G97" i="21" s="1"/>
  <c r="F103" i="21"/>
  <c r="F104" i="21" s="1"/>
  <c r="F108" i="21"/>
  <c r="F109" i="21" s="1"/>
  <c r="F113" i="21"/>
  <c r="F114" i="21" s="1"/>
  <c r="F71" i="21"/>
  <c r="F89" i="21"/>
  <c r="F138" i="21"/>
  <c r="F139" i="21" s="1"/>
  <c r="E34" i="58"/>
  <c r="B36" i="58"/>
  <c r="D35" i="58"/>
  <c r="E35" i="58" s="1"/>
  <c r="L31" i="57"/>
  <c r="S59" i="21"/>
  <c r="S60" i="21"/>
  <c r="S58" i="21"/>
  <c r="V32" i="57"/>
  <c r="H33" i="57"/>
  <c r="J31" i="57"/>
  <c r="K31" i="57"/>
  <c r="M31" i="57" s="1"/>
  <c r="N30" i="57"/>
  <c r="T49" i="21" s="1"/>
  <c r="O30" i="57"/>
  <c r="F115" i="21" l="1"/>
  <c r="G86" i="21"/>
  <c r="G87" i="21" s="1"/>
  <c r="D36" i="58"/>
  <c r="E36" i="58" s="1"/>
  <c r="B37" i="58"/>
  <c r="L32" i="57"/>
  <c r="F126" i="21"/>
  <c r="B68" i="64" s="1"/>
  <c r="T58" i="21"/>
  <c r="T59" i="21"/>
  <c r="T60" i="21"/>
  <c r="V33" i="57"/>
  <c r="H34" i="57"/>
  <c r="N31" i="57"/>
  <c r="U49" i="21" s="1"/>
  <c r="O31" i="57"/>
  <c r="K32" i="57"/>
  <c r="M32" i="57" s="1"/>
  <c r="J32" i="57"/>
  <c r="D37" i="58" l="1"/>
  <c r="B38" i="58"/>
  <c r="L33" i="57"/>
  <c r="O32" i="57"/>
  <c r="N32" i="57"/>
  <c r="V49" i="21" s="1"/>
  <c r="H35" i="57"/>
  <c r="V34" i="57"/>
  <c r="J33" i="57"/>
  <c r="K33" i="57"/>
  <c r="M33" i="57" s="1"/>
  <c r="U58" i="21"/>
  <c r="U60" i="21"/>
  <c r="U59" i="21"/>
  <c r="D38" i="58" l="1"/>
  <c r="E38" i="58" s="1"/>
  <c r="B39" i="58"/>
  <c r="E37" i="58"/>
  <c r="L34" i="57"/>
  <c r="V60" i="21"/>
  <c r="V58" i="21"/>
  <c r="V59" i="21"/>
  <c r="N33" i="57"/>
  <c r="W49" i="21" s="1"/>
  <c r="O33" i="57"/>
  <c r="J34" i="57"/>
  <c r="K34" i="57"/>
  <c r="M34" i="57" s="1"/>
  <c r="V35" i="57"/>
  <c r="H36" i="57"/>
  <c r="B40" i="58" l="1"/>
  <c r="D39" i="58"/>
  <c r="L35" i="57"/>
  <c r="J35" i="57"/>
  <c r="K35" i="57"/>
  <c r="M35" i="57" s="1"/>
  <c r="W59" i="21"/>
  <c r="W60" i="21"/>
  <c r="W58" i="21"/>
  <c r="N34" i="57"/>
  <c r="X49" i="21" s="1"/>
  <c r="O34" i="57"/>
  <c r="V36" i="57"/>
  <c r="H37" i="57"/>
  <c r="E39" i="58" l="1"/>
  <c r="D40" i="58"/>
  <c r="E40" i="58" s="1"/>
  <c r="B45" i="58"/>
  <c r="B42" i="58"/>
  <c r="L36" i="57"/>
  <c r="X58" i="21"/>
  <c r="X59" i="21"/>
  <c r="X60" i="21"/>
  <c r="V37" i="57"/>
  <c r="H38" i="57"/>
  <c r="K36" i="57"/>
  <c r="M36" i="57" s="1"/>
  <c r="J36" i="57"/>
  <c r="N35" i="57"/>
  <c r="Y49" i="21" s="1"/>
  <c r="O35" i="57"/>
  <c r="E45" i="58" l="1"/>
  <c r="B46" i="58"/>
  <c r="D45" i="58"/>
  <c r="D42" i="58"/>
  <c r="E42" i="58" s="1"/>
  <c r="G4" i="21" s="1"/>
  <c r="L37" i="57"/>
  <c r="O36" i="57"/>
  <c r="N36" i="57"/>
  <c r="Z49" i="21" s="1"/>
  <c r="Y58" i="21"/>
  <c r="Y60" i="21"/>
  <c r="Y59" i="21"/>
  <c r="H39" i="57"/>
  <c r="V38" i="57"/>
  <c r="J37" i="57"/>
  <c r="K37" i="57"/>
  <c r="M37" i="57" s="1"/>
  <c r="G12" i="21" l="1"/>
  <c r="G10" i="21"/>
  <c r="G19" i="21" s="1"/>
  <c r="G21" i="21"/>
  <c r="G22" i="21" s="1"/>
  <c r="G43" i="21"/>
  <c r="G41" i="21"/>
  <c r="G38" i="21"/>
  <c r="G16" i="21"/>
  <c r="G14" i="21"/>
  <c r="G27" i="21"/>
  <c r="G30" i="21"/>
  <c r="G44" i="21"/>
  <c r="G26" i="21"/>
  <c r="G11" i="21"/>
  <c r="G9" i="21"/>
  <c r="G18" i="21" s="1"/>
  <c r="G28" i="21"/>
  <c r="G29" i="21"/>
  <c r="G31" i="21"/>
  <c r="G33" i="21"/>
  <c r="G8" i="21"/>
  <c r="G13" i="21"/>
  <c r="G42" i="21"/>
  <c r="E46" i="58"/>
  <c r="D46" i="58"/>
  <c r="B47" i="58"/>
  <c r="L38" i="57"/>
  <c r="J38" i="57"/>
  <c r="K38" i="57"/>
  <c r="M38" i="57" s="1"/>
  <c r="N37" i="57"/>
  <c r="AA49" i="21" s="1"/>
  <c r="O37" i="57"/>
  <c r="V39" i="57"/>
  <c r="H40" i="57"/>
  <c r="Z60" i="21"/>
  <c r="Z58" i="21"/>
  <c r="Z59" i="21"/>
  <c r="E47" i="58" l="1"/>
  <c r="B48" i="58"/>
  <c r="D47" i="58"/>
  <c r="G34" i="21"/>
  <c r="G15" i="21"/>
  <c r="G20" i="21" s="1"/>
  <c r="G17" i="21"/>
  <c r="L39" i="57"/>
  <c r="AA59" i="21"/>
  <c r="AA60" i="21"/>
  <c r="AA58" i="21"/>
  <c r="J39" i="57"/>
  <c r="K39" i="57"/>
  <c r="M39" i="57" s="1"/>
  <c r="N38" i="57"/>
  <c r="AB49" i="21" s="1"/>
  <c r="O38" i="57"/>
  <c r="V40" i="57"/>
  <c r="H41" i="57"/>
  <c r="G23" i="21" l="1"/>
  <c r="G36" i="21" s="1"/>
  <c r="G46" i="21" s="1"/>
  <c r="G62" i="21" s="1"/>
  <c r="E48" i="58"/>
  <c r="B49" i="58"/>
  <c r="D48" i="58"/>
  <c r="L40" i="57"/>
  <c r="AB58" i="21"/>
  <c r="AB59" i="21"/>
  <c r="AB60" i="21"/>
  <c r="V41" i="57"/>
  <c r="H42" i="57"/>
  <c r="K40" i="57"/>
  <c r="M40" i="57" s="1"/>
  <c r="J40" i="57"/>
  <c r="N39" i="57"/>
  <c r="AC49" i="21" s="1"/>
  <c r="O39" i="57"/>
  <c r="G63" i="21" l="1"/>
  <c r="G64" i="21" s="1"/>
  <c r="G54" i="21"/>
  <c r="G52" i="21"/>
  <c r="G50" i="21"/>
  <c r="E49" i="58"/>
  <c r="D49" i="58"/>
  <c r="B50" i="58"/>
  <c r="L41" i="57"/>
  <c r="AC58" i="21"/>
  <c r="AC60" i="21"/>
  <c r="AC59" i="21"/>
  <c r="H43" i="57"/>
  <c r="V42" i="57"/>
  <c r="J41" i="57"/>
  <c r="K41" i="57"/>
  <c r="M41" i="57" s="1"/>
  <c r="O40" i="57"/>
  <c r="N40" i="57"/>
  <c r="AD49" i="21" s="1"/>
  <c r="G68" i="21" l="1"/>
  <c r="G70" i="21" s="1"/>
  <c r="E50" i="58"/>
  <c r="B51" i="58"/>
  <c r="D50" i="58"/>
  <c r="H67" i="21"/>
  <c r="L42" i="57"/>
  <c r="AD60" i="21"/>
  <c r="AD58" i="21"/>
  <c r="AD59" i="21"/>
  <c r="J42" i="57"/>
  <c r="K42" i="57"/>
  <c r="M42" i="57" s="1"/>
  <c r="N41" i="57"/>
  <c r="AE49" i="21" s="1"/>
  <c r="O41" i="57"/>
  <c r="V43" i="57"/>
  <c r="H44" i="57"/>
  <c r="G78" i="21" l="1"/>
  <c r="G71" i="21"/>
  <c r="G113" i="21"/>
  <c r="G114" i="21" s="1"/>
  <c r="G93" i="21"/>
  <c r="G94" i="21" s="1"/>
  <c r="H91" i="21" s="1"/>
  <c r="G98" i="21"/>
  <c r="G99" i="21" s="1"/>
  <c r="H96" i="21" s="1"/>
  <c r="G88" i="21"/>
  <c r="G108" i="21"/>
  <c r="G109" i="21" s="1"/>
  <c r="G103" i="21"/>
  <c r="G104" i="21" s="1"/>
  <c r="E51" i="58"/>
  <c r="D51" i="58"/>
  <c r="B52" i="58"/>
  <c r="L43" i="57"/>
  <c r="V44" i="57"/>
  <c r="H45" i="57"/>
  <c r="J43" i="57"/>
  <c r="K43" i="57"/>
  <c r="M43" i="57" s="1"/>
  <c r="AE59" i="21"/>
  <c r="AE60" i="21"/>
  <c r="AE58" i="21"/>
  <c r="N42" i="57"/>
  <c r="AF49" i="21" s="1"/>
  <c r="O42" i="57"/>
  <c r="G89" i="21" l="1"/>
  <c r="G138" i="21"/>
  <c r="G139" i="21" s="1"/>
  <c r="E52" i="58"/>
  <c r="B53" i="58"/>
  <c r="D52" i="58"/>
  <c r="H97" i="21"/>
  <c r="H92" i="21"/>
  <c r="L44" i="57"/>
  <c r="H46" i="57"/>
  <c r="V45" i="57"/>
  <c r="AF58" i="21"/>
  <c r="AF59" i="21"/>
  <c r="AF60" i="21"/>
  <c r="J44" i="57"/>
  <c r="K44" i="57"/>
  <c r="M44" i="57" s="1"/>
  <c r="N43" i="57"/>
  <c r="AG49" i="21" s="1"/>
  <c r="O43" i="57"/>
  <c r="E53" i="58" l="1"/>
  <c r="B54" i="58"/>
  <c r="D53" i="58"/>
  <c r="H86" i="21"/>
  <c r="G115" i="21"/>
  <c r="L45" i="57"/>
  <c r="AG58" i="21"/>
  <c r="AG60" i="21"/>
  <c r="AG59" i="21"/>
  <c r="K45" i="57"/>
  <c r="M45" i="57" s="1"/>
  <c r="J45" i="57"/>
  <c r="V46" i="57"/>
  <c r="H47" i="57"/>
  <c r="N44" i="57"/>
  <c r="AH49" i="21" s="1"/>
  <c r="O44" i="57"/>
  <c r="E54" i="58" l="1"/>
  <c r="B55" i="58"/>
  <c r="D54" i="58"/>
  <c r="H87" i="21"/>
  <c r="L46" i="57"/>
  <c r="J46" i="57"/>
  <c r="K46" i="57"/>
  <c r="M46" i="57" s="1"/>
  <c r="O45" i="57"/>
  <c r="N45" i="57"/>
  <c r="AI49" i="21" s="1"/>
  <c r="AH60" i="21"/>
  <c r="AH58" i="21"/>
  <c r="AH59" i="21"/>
  <c r="H48" i="57"/>
  <c r="V47" i="57"/>
  <c r="E55" i="58" l="1"/>
  <c r="B56" i="58"/>
  <c r="D55" i="58"/>
  <c r="L47" i="57"/>
  <c r="AI59" i="21"/>
  <c r="AI60" i="21"/>
  <c r="AI58" i="21"/>
  <c r="J47" i="57"/>
  <c r="K47" i="57"/>
  <c r="M47" i="57" s="1"/>
  <c r="V48" i="57"/>
  <c r="H49" i="57"/>
  <c r="N46" i="57"/>
  <c r="O46" i="57"/>
  <c r="E56" i="58" l="1"/>
  <c r="D56" i="58"/>
  <c r="D58" i="58" s="1"/>
  <c r="E58" i="58" s="1"/>
  <c r="H4" i="21" s="1"/>
  <c r="B58" i="58"/>
  <c r="L48" i="57"/>
  <c r="O47" i="57"/>
  <c r="N47" i="57"/>
  <c r="V49" i="57"/>
  <c r="H50" i="57"/>
  <c r="K48" i="57"/>
  <c r="M48" i="57" s="1"/>
  <c r="J48" i="57"/>
  <c r="H11" i="21" l="1"/>
  <c r="I11" i="21" s="1"/>
  <c r="J11" i="21" s="1"/>
  <c r="K11" i="21" s="1"/>
  <c r="L11" i="21" s="1"/>
  <c r="M11" i="21" s="1"/>
  <c r="N11" i="21" s="1"/>
  <c r="O11" i="21" s="1"/>
  <c r="P11" i="21" s="1"/>
  <c r="Q11" i="21" s="1"/>
  <c r="R11" i="21" s="1"/>
  <c r="S11" i="21" s="1"/>
  <c r="T11" i="21" s="1"/>
  <c r="U11" i="21" s="1"/>
  <c r="V11" i="21" s="1"/>
  <c r="W11" i="21" s="1"/>
  <c r="X11" i="21" s="1"/>
  <c r="Y11" i="21" s="1"/>
  <c r="Z11" i="21" s="1"/>
  <c r="AA11" i="21" s="1"/>
  <c r="AB11" i="21" s="1"/>
  <c r="AC11" i="21" s="1"/>
  <c r="AD11" i="21" s="1"/>
  <c r="AE11" i="21" s="1"/>
  <c r="AF11" i="21" s="1"/>
  <c r="AG11" i="21" s="1"/>
  <c r="AH11" i="21" s="1"/>
  <c r="AI11" i="21" s="1"/>
  <c r="H13" i="21"/>
  <c r="I13" i="21" s="1"/>
  <c r="J13" i="21" s="1"/>
  <c r="K13" i="21" s="1"/>
  <c r="L13" i="21" s="1"/>
  <c r="M13" i="21" s="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X13" i="21" s="1"/>
  <c r="Y13" i="21" s="1"/>
  <c r="Z13" i="21" s="1"/>
  <c r="AA13" i="21" s="1"/>
  <c r="AB13" i="21" s="1"/>
  <c r="AC13" i="21" s="1"/>
  <c r="AD13" i="21" s="1"/>
  <c r="AE13" i="21" s="1"/>
  <c r="AF13" i="21" s="1"/>
  <c r="AG13" i="21" s="1"/>
  <c r="AH13" i="21" s="1"/>
  <c r="AI13" i="21" s="1"/>
  <c r="H29" i="2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AH29" i="21" s="1"/>
  <c r="AI29" i="21" s="1"/>
  <c r="H30" i="2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AH30" i="21" s="1"/>
  <c r="AI30" i="21" s="1"/>
  <c r="H44" i="21"/>
  <c r="I44" i="21" s="1"/>
  <c r="J44" i="21" s="1"/>
  <c r="K44" i="21" s="1"/>
  <c r="L44" i="21" s="1"/>
  <c r="M44" i="21" s="1"/>
  <c r="N44" i="21" s="1"/>
  <c r="O44" i="21" s="1"/>
  <c r="P44" i="21" s="1"/>
  <c r="Q44" i="21" s="1"/>
  <c r="R44" i="21" s="1"/>
  <c r="S44" i="21" s="1"/>
  <c r="T44" i="21" s="1"/>
  <c r="U44" i="21" s="1"/>
  <c r="V44" i="21" s="1"/>
  <c r="W44" i="21" s="1"/>
  <c r="X44" i="21" s="1"/>
  <c r="Y44" i="21" s="1"/>
  <c r="Z44" i="21" s="1"/>
  <c r="AA44" i="21" s="1"/>
  <c r="AB44" i="21" s="1"/>
  <c r="AC44" i="21" s="1"/>
  <c r="AD44" i="21" s="1"/>
  <c r="AE44" i="21" s="1"/>
  <c r="AF44" i="21" s="1"/>
  <c r="AG44" i="21" s="1"/>
  <c r="AH44" i="21" s="1"/>
  <c r="AI44" i="21" s="1"/>
  <c r="H8" i="21"/>
  <c r="H27" i="2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AH27" i="21" s="1"/>
  <c r="AI27" i="21" s="1"/>
  <c r="H26" i="21"/>
  <c r="H28" i="2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H28" i="21" s="1"/>
  <c r="AI28" i="21" s="1"/>
  <c r="H16" i="21"/>
  <c r="I16" i="21" s="1"/>
  <c r="H33" i="2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AA33" i="21" s="1"/>
  <c r="AB33" i="21" s="1"/>
  <c r="AC33" i="21" s="1"/>
  <c r="AD33" i="21" s="1"/>
  <c r="AE33" i="21" s="1"/>
  <c r="AF33" i="21" s="1"/>
  <c r="AG33" i="21" s="1"/>
  <c r="AH33" i="21" s="1"/>
  <c r="AI33" i="21" s="1"/>
  <c r="H42" i="21"/>
  <c r="I42" i="21" s="1"/>
  <c r="J42" i="21" s="1"/>
  <c r="K42" i="21" s="1"/>
  <c r="L42" i="21" s="1"/>
  <c r="M42" i="21" s="1"/>
  <c r="N42" i="21" s="1"/>
  <c r="O42" i="21" s="1"/>
  <c r="P42" i="21" s="1"/>
  <c r="Q42" i="21" s="1"/>
  <c r="R42" i="21" s="1"/>
  <c r="S42" i="21" s="1"/>
  <c r="T42" i="21" s="1"/>
  <c r="U42" i="21" s="1"/>
  <c r="V42" i="21" s="1"/>
  <c r="W42" i="21" s="1"/>
  <c r="X42" i="21" s="1"/>
  <c r="Y42" i="21" s="1"/>
  <c r="Z42" i="21" s="1"/>
  <c r="AA42" i="21" s="1"/>
  <c r="AB42" i="21" s="1"/>
  <c r="AC42" i="21" s="1"/>
  <c r="AD42" i="21" s="1"/>
  <c r="AE42" i="21" s="1"/>
  <c r="AF42" i="21" s="1"/>
  <c r="AG42" i="21" s="1"/>
  <c r="AH42" i="21" s="1"/>
  <c r="AI42" i="21" s="1"/>
  <c r="H12" i="2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Y12" i="21" s="1"/>
  <c r="Z12" i="21" s="1"/>
  <c r="AA12" i="21" s="1"/>
  <c r="AB12" i="21" s="1"/>
  <c r="AC12" i="21" s="1"/>
  <c r="AD12" i="21" s="1"/>
  <c r="AE12" i="21" s="1"/>
  <c r="AF12" i="21" s="1"/>
  <c r="AG12" i="21" s="1"/>
  <c r="AH12" i="21" s="1"/>
  <c r="AI12" i="21" s="1"/>
  <c r="H14" i="21"/>
  <c r="I14" i="21" s="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H31" i="2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AH31" i="21" s="1"/>
  <c r="AI31" i="21" s="1"/>
  <c r="H43" i="21"/>
  <c r="I43" i="21" s="1"/>
  <c r="J43" i="21" s="1"/>
  <c r="K43" i="21" s="1"/>
  <c r="L43" i="21" s="1"/>
  <c r="M43" i="21" s="1"/>
  <c r="N43" i="21" s="1"/>
  <c r="O43" i="21" s="1"/>
  <c r="P43" i="21" s="1"/>
  <c r="Q43" i="21" s="1"/>
  <c r="R43" i="21" s="1"/>
  <c r="S43" i="21" s="1"/>
  <c r="T43" i="21" s="1"/>
  <c r="U43" i="21" s="1"/>
  <c r="V43" i="21" s="1"/>
  <c r="W43" i="21" s="1"/>
  <c r="X43" i="21" s="1"/>
  <c r="Y43" i="21" s="1"/>
  <c r="Z43" i="21" s="1"/>
  <c r="AA43" i="21" s="1"/>
  <c r="AB43" i="21" s="1"/>
  <c r="AC43" i="21" s="1"/>
  <c r="AD43" i="21" s="1"/>
  <c r="AE43" i="21" s="1"/>
  <c r="AF43" i="21" s="1"/>
  <c r="AG43" i="21" s="1"/>
  <c r="AH43" i="21" s="1"/>
  <c r="AI43" i="21" s="1"/>
  <c r="H21" i="21"/>
  <c r="H10" i="21"/>
  <c r="H9" i="21"/>
  <c r="H38" i="21"/>
  <c r="I38" i="21" s="1"/>
  <c r="J38" i="21" s="1"/>
  <c r="K38" i="21" s="1"/>
  <c r="L38" i="21" s="1"/>
  <c r="M38" i="21" s="1"/>
  <c r="N38" i="21" s="1"/>
  <c r="O38" i="21" s="1"/>
  <c r="P38" i="21" s="1"/>
  <c r="Q38" i="21" s="1"/>
  <c r="R38" i="21" s="1"/>
  <c r="S38" i="21" s="1"/>
  <c r="T38" i="21" s="1"/>
  <c r="U38" i="21" s="1"/>
  <c r="V38" i="21" s="1"/>
  <c r="W38" i="21" s="1"/>
  <c r="X38" i="21" s="1"/>
  <c r="Y38" i="21" s="1"/>
  <c r="Z38" i="21" s="1"/>
  <c r="AA38" i="21" s="1"/>
  <c r="AB38" i="21" s="1"/>
  <c r="AC38" i="21" s="1"/>
  <c r="AD38" i="21" s="1"/>
  <c r="AE38" i="21" s="1"/>
  <c r="AF38" i="21" s="1"/>
  <c r="AG38" i="21" s="1"/>
  <c r="AH38" i="21" s="1"/>
  <c r="AI38" i="21" s="1"/>
  <c r="L49" i="57"/>
  <c r="H51" i="57"/>
  <c r="V50" i="57"/>
  <c r="K49" i="57"/>
  <c r="M49" i="57" s="1"/>
  <c r="J49" i="57"/>
  <c r="N48" i="57"/>
  <c r="O48" i="57"/>
  <c r="I10" i="21" l="1"/>
  <c r="H19" i="21"/>
  <c r="H17" i="21"/>
  <c r="I8" i="21"/>
  <c r="H15" i="21"/>
  <c r="H20" i="21" s="1"/>
  <c r="I21" i="21"/>
  <c r="H22" i="21"/>
  <c r="I26" i="21"/>
  <c r="H34" i="21"/>
  <c r="I9" i="21"/>
  <c r="H18" i="21"/>
  <c r="L50" i="57"/>
  <c r="V51" i="57"/>
  <c r="H52" i="57"/>
  <c r="O49" i="57"/>
  <c r="N49" i="57"/>
  <c r="J50" i="57"/>
  <c r="K50" i="57"/>
  <c r="M50" i="57" s="1"/>
  <c r="I22" i="21" l="1"/>
  <c r="J21" i="21"/>
  <c r="I17" i="21"/>
  <c r="J8" i="21"/>
  <c r="I15" i="21"/>
  <c r="I20" i="21" s="1"/>
  <c r="J9" i="21"/>
  <c r="I18" i="21"/>
  <c r="I34" i="21"/>
  <c r="J26" i="21"/>
  <c r="H23" i="21"/>
  <c r="H36" i="21" s="1"/>
  <c r="H46" i="21" s="1"/>
  <c r="H62" i="21" s="1"/>
  <c r="I19" i="21"/>
  <c r="J10" i="21"/>
  <c r="L51" i="57"/>
  <c r="V52" i="57"/>
  <c r="H53" i="57"/>
  <c r="N50" i="57"/>
  <c r="O50" i="57"/>
  <c r="J51" i="57"/>
  <c r="K51" i="57"/>
  <c r="M51" i="57" s="1"/>
  <c r="H63" i="21" l="1"/>
  <c r="H64" i="21" s="1"/>
  <c r="I23" i="21"/>
  <c r="I36" i="21" s="1"/>
  <c r="I46" i="21" s="1"/>
  <c r="I62" i="21" s="1"/>
  <c r="I63" i="21" s="1"/>
  <c r="I64" i="21" s="1"/>
  <c r="H50" i="21"/>
  <c r="H54" i="21"/>
  <c r="H52" i="21"/>
  <c r="J18" i="21"/>
  <c r="K9" i="21"/>
  <c r="K21" i="21"/>
  <c r="J22" i="21"/>
  <c r="J34" i="21"/>
  <c r="K26" i="21"/>
  <c r="I54" i="21"/>
  <c r="K10" i="21"/>
  <c r="J19" i="21"/>
  <c r="K8" i="21"/>
  <c r="J15" i="21"/>
  <c r="J20" i="21" s="1"/>
  <c r="J17" i="21"/>
  <c r="L52" i="57"/>
  <c r="K52" i="57"/>
  <c r="M52" i="57" s="1"/>
  <c r="J52" i="57"/>
  <c r="N51" i="57"/>
  <c r="O51" i="57"/>
  <c r="V53" i="57"/>
  <c r="H54" i="57"/>
  <c r="I50" i="21" l="1"/>
  <c r="I52" i="21"/>
  <c r="L9" i="21"/>
  <c r="K18" i="21"/>
  <c r="L10" i="21"/>
  <c r="K19" i="21"/>
  <c r="I68" i="21"/>
  <c r="I70" i="21" s="1"/>
  <c r="H68" i="21"/>
  <c r="I67" i="21" s="1"/>
  <c r="J23" i="21"/>
  <c r="J36" i="21" s="1"/>
  <c r="J46" i="21" s="1"/>
  <c r="L26" i="21"/>
  <c r="K34" i="21"/>
  <c r="L8" i="21"/>
  <c r="K15" i="21"/>
  <c r="K20" i="21" s="1"/>
  <c r="K17" i="21"/>
  <c r="L21" i="21"/>
  <c r="K22" i="21"/>
  <c r="L53" i="57"/>
  <c r="O52" i="57"/>
  <c r="N52" i="57"/>
  <c r="H55" i="57"/>
  <c r="V54" i="57"/>
  <c r="J53" i="57"/>
  <c r="K53" i="57"/>
  <c r="M53" i="57" s="1"/>
  <c r="J67" i="21" l="1"/>
  <c r="H70" i="21"/>
  <c r="H78" i="21" s="1"/>
  <c r="M8" i="21"/>
  <c r="L15" i="21"/>
  <c r="L20" i="21" s="1"/>
  <c r="L17" i="21"/>
  <c r="M26" i="21"/>
  <c r="L34" i="21"/>
  <c r="I71" i="21"/>
  <c r="I108" i="21"/>
  <c r="I109" i="21" s="1"/>
  <c r="I78" i="21"/>
  <c r="I113" i="21"/>
  <c r="I114" i="21" s="1"/>
  <c r="I103" i="21"/>
  <c r="I104" i="21" s="1"/>
  <c r="M21" i="21"/>
  <c r="L22" i="21"/>
  <c r="J52" i="21"/>
  <c r="J50" i="21"/>
  <c r="J54" i="21"/>
  <c r="J62" i="21"/>
  <c r="J63" i="21" s="1"/>
  <c r="J64" i="21" s="1"/>
  <c r="J68" i="21" s="1"/>
  <c r="J70" i="21" s="1"/>
  <c r="M9" i="21"/>
  <c r="L18" i="21"/>
  <c r="H113" i="21"/>
  <c r="H114" i="21" s="1"/>
  <c r="H108" i="21"/>
  <c r="H109" i="21" s="1"/>
  <c r="H71" i="21"/>
  <c r="H88" i="21"/>
  <c r="H89" i="21" s="1"/>
  <c r="I86" i="21" s="1"/>
  <c r="K23" i="21"/>
  <c r="K36" i="21" s="1"/>
  <c r="K46" i="21" s="1"/>
  <c r="M10" i="21"/>
  <c r="L19" i="21"/>
  <c r="L54" i="57"/>
  <c r="J54" i="57"/>
  <c r="K54" i="57"/>
  <c r="M54" i="57" s="1"/>
  <c r="V55" i="57"/>
  <c r="H56" i="57"/>
  <c r="N53" i="57"/>
  <c r="O53" i="57"/>
  <c r="H103" i="21" l="1"/>
  <c r="H104" i="21" s="1"/>
  <c r="H98" i="21"/>
  <c r="H99" i="21" s="1"/>
  <c r="I96" i="21" s="1"/>
  <c r="K67" i="21"/>
  <c r="H93" i="21"/>
  <c r="H94" i="21" s="1"/>
  <c r="I91" i="21" s="1"/>
  <c r="I92" i="21" s="1"/>
  <c r="I87" i="21"/>
  <c r="I88" i="21" s="1"/>
  <c r="I97" i="21"/>
  <c r="I98" i="21" s="1"/>
  <c r="N26" i="21"/>
  <c r="M34" i="21"/>
  <c r="N10" i="21"/>
  <c r="M19" i="21"/>
  <c r="K52" i="21"/>
  <c r="K62" i="21"/>
  <c r="K63" i="21" s="1"/>
  <c r="K64" i="21" s="1"/>
  <c r="K68" i="21" s="1"/>
  <c r="K70" i="21" s="1"/>
  <c r="K50" i="21"/>
  <c r="K54" i="21"/>
  <c r="M18" i="21"/>
  <c r="N9" i="21"/>
  <c r="N21" i="21"/>
  <c r="M22" i="21"/>
  <c r="L23" i="21"/>
  <c r="L36" i="21" s="1"/>
  <c r="L46" i="21" s="1"/>
  <c r="J103" i="21"/>
  <c r="J104" i="21" s="1"/>
  <c r="J108" i="21"/>
  <c r="J109" i="21" s="1"/>
  <c r="J71" i="21"/>
  <c r="J78" i="21"/>
  <c r="J113" i="21"/>
  <c r="J114" i="21" s="1"/>
  <c r="M15" i="21"/>
  <c r="M20" i="21" s="1"/>
  <c r="M17" i="21"/>
  <c r="N8" i="21"/>
  <c r="L55" i="57"/>
  <c r="V56" i="57"/>
  <c r="H57" i="57"/>
  <c r="N54" i="57"/>
  <c r="O54" i="57"/>
  <c r="J55" i="57"/>
  <c r="K55" i="57"/>
  <c r="M55" i="57" s="1"/>
  <c r="H138" i="21" l="1"/>
  <c r="H139" i="21" s="1"/>
  <c r="H115" i="21"/>
  <c r="I93" i="21"/>
  <c r="I138" i="21" s="1"/>
  <c r="I139" i="21" s="1"/>
  <c r="L67" i="21"/>
  <c r="I89" i="21"/>
  <c r="I99" i="21"/>
  <c r="J96" i="21" s="1"/>
  <c r="M23" i="21"/>
  <c r="M36" i="21" s="1"/>
  <c r="M46" i="21" s="1"/>
  <c r="M62" i="21" s="1"/>
  <c r="M63" i="21" s="1"/>
  <c r="M64" i="21" s="1"/>
  <c r="M68" i="21" s="1"/>
  <c r="M70" i="21" s="1"/>
  <c r="O8" i="21"/>
  <c r="N15" i="21"/>
  <c r="N20" i="21" s="1"/>
  <c r="N17" i="21"/>
  <c r="N22" i="21"/>
  <c r="O21" i="21"/>
  <c r="O10" i="21"/>
  <c r="N19" i="21"/>
  <c r="L50" i="21"/>
  <c r="L54" i="21"/>
  <c r="L62" i="21"/>
  <c r="L63" i="21" s="1"/>
  <c r="L64" i="21" s="1"/>
  <c r="L68" i="21" s="1"/>
  <c r="L70" i="21" s="1"/>
  <c r="L52" i="21"/>
  <c r="O9" i="21"/>
  <c r="N18" i="21"/>
  <c r="K103" i="21"/>
  <c r="K104" i="21" s="1"/>
  <c r="K113" i="21"/>
  <c r="K114" i="21" s="1"/>
  <c r="K108" i="21"/>
  <c r="K109" i="21" s="1"/>
  <c r="K71" i="21"/>
  <c r="K78" i="21"/>
  <c r="O26" i="21"/>
  <c r="N34" i="21"/>
  <c r="L56" i="57"/>
  <c r="V57" i="57"/>
  <c r="H58" i="57"/>
  <c r="K56" i="57"/>
  <c r="M56" i="57" s="1"/>
  <c r="J56" i="57"/>
  <c r="N55" i="57"/>
  <c r="O55" i="57"/>
  <c r="M54" i="21" l="1"/>
  <c r="M50" i="21"/>
  <c r="M52" i="21"/>
  <c r="J97" i="21"/>
  <c r="J98" i="21" s="1"/>
  <c r="I94" i="21"/>
  <c r="J91" i="21" s="1"/>
  <c r="J86" i="21"/>
  <c r="O34" i="21"/>
  <c r="P26" i="21"/>
  <c r="L71" i="21"/>
  <c r="L78" i="21"/>
  <c r="L113" i="21"/>
  <c r="L114" i="21" s="1"/>
  <c r="L108" i="21"/>
  <c r="L109" i="21" s="1"/>
  <c r="L103" i="21"/>
  <c r="L104" i="21" s="1"/>
  <c r="P10" i="21"/>
  <c r="O19" i="21"/>
  <c r="P9" i="21"/>
  <c r="O18" i="21"/>
  <c r="M108" i="21"/>
  <c r="M109" i="21" s="1"/>
  <c r="M113" i="21"/>
  <c r="M114" i="21" s="1"/>
  <c r="M71" i="21"/>
  <c r="M78" i="21"/>
  <c r="M103" i="21"/>
  <c r="M104" i="21" s="1"/>
  <c r="P21" i="21"/>
  <c r="O22" i="21"/>
  <c r="N23" i="21"/>
  <c r="N36" i="21" s="1"/>
  <c r="N46" i="21" s="1"/>
  <c r="M67" i="21"/>
  <c r="N67" i="21" s="1"/>
  <c r="O17" i="21"/>
  <c r="P8" i="21"/>
  <c r="O15" i="21"/>
  <c r="O20" i="21" s="1"/>
  <c r="L57" i="57"/>
  <c r="H59" i="57"/>
  <c r="V58" i="57"/>
  <c r="O56" i="57"/>
  <c r="N56" i="57"/>
  <c r="J57" i="57"/>
  <c r="K57" i="57"/>
  <c r="M57" i="57" s="1"/>
  <c r="J99" i="21" l="1"/>
  <c r="K96" i="21" s="1"/>
  <c r="K97" i="21" s="1"/>
  <c r="K98" i="21" s="1"/>
  <c r="K99" i="21" s="1"/>
  <c r="L96" i="21" s="1"/>
  <c r="J92" i="21"/>
  <c r="I115" i="21"/>
  <c r="J87" i="21"/>
  <c r="J88" i="21" s="1"/>
  <c r="N54" i="21"/>
  <c r="N50" i="21"/>
  <c r="N62" i="21"/>
  <c r="N63" i="21" s="1"/>
  <c r="N64" i="21" s="1"/>
  <c r="N68" i="21" s="1"/>
  <c r="N70" i="21" s="1"/>
  <c r="N52" i="21"/>
  <c r="P18" i="21"/>
  <c r="Q9" i="21"/>
  <c r="O23" i="21"/>
  <c r="O36" i="21" s="1"/>
  <c r="O46" i="21" s="1"/>
  <c r="Q8" i="21"/>
  <c r="P15" i="21"/>
  <c r="P20" i="21" s="1"/>
  <c r="P17" i="21"/>
  <c r="Q26" i="21"/>
  <c r="P34" i="21"/>
  <c r="Q21" i="21"/>
  <c r="P22" i="21"/>
  <c r="Q10" i="21"/>
  <c r="P19" i="21"/>
  <c r="L58" i="57"/>
  <c r="J58" i="57"/>
  <c r="K58" i="57"/>
  <c r="M58" i="57" s="1"/>
  <c r="N57" i="57"/>
  <c r="O57" i="57"/>
  <c r="V59" i="57"/>
  <c r="H60" i="57"/>
  <c r="O67" i="21" l="1"/>
  <c r="L97" i="21"/>
  <c r="L98" i="21" s="1"/>
  <c r="L99" i="21" s="1"/>
  <c r="M96" i="21" s="1"/>
  <c r="J93" i="21"/>
  <c r="J94" i="21" s="1"/>
  <c r="K91" i="21" s="1"/>
  <c r="J89" i="21"/>
  <c r="Q18" i="21"/>
  <c r="R9" i="21"/>
  <c r="R21" i="21"/>
  <c r="Q22" i="21"/>
  <c r="P23" i="21"/>
  <c r="P36" i="21" s="1"/>
  <c r="P46" i="21" s="1"/>
  <c r="R10" i="21"/>
  <c r="Q19" i="21"/>
  <c r="Q15" i="21"/>
  <c r="Q20" i="21" s="1"/>
  <c r="Q17" i="21"/>
  <c r="R8" i="21"/>
  <c r="Q34" i="21"/>
  <c r="R26" i="21"/>
  <c r="O50" i="21"/>
  <c r="O54" i="21"/>
  <c r="O52" i="21"/>
  <c r="O62" i="21"/>
  <c r="O63" i="21" s="1"/>
  <c r="O64" i="21" s="1"/>
  <c r="N103" i="21"/>
  <c r="N104" i="21" s="1"/>
  <c r="N108" i="21"/>
  <c r="N109" i="21" s="1"/>
  <c r="N113" i="21"/>
  <c r="N114" i="21" s="1"/>
  <c r="N78" i="21"/>
  <c r="N71" i="21"/>
  <c r="L59" i="57"/>
  <c r="V60" i="57"/>
  <c r="H61" i="57"/>
  <c r="J59" i="57"/>
  <c r="K59" i="57"/>
  <c r="M59" i="57" s="1"/>
  <c r="N58" i="57"/>
  <c r="O58" i="57"/>
  <c r="Q23" i="21" l="1"/>
  <c r="Q36" i="21" s="1"/>
  <c r="Q46" i="21" s="1"/>
  <c r="Q54" i="21" s="1"/>
  <c r="K92" i="21"/>
  <c r="K93" i="21"/>
  <c r="K94" i="21" s="1"/>
  <c r="L91" i="21" s="1"/>
  <c r="M97" i="21"/>
  <c r="M98" i="21" s="1"/>
  <c r="K86" i="21"/>
  <c r="J115" i="21"/>
  <c r="J138" i="21"/>
  <c r="J139" i="21" s="1"/>
  <c r="O68" i="21"/>
  <c r="P67" i="21" s="1"/>
  <c r="R34" i="21"/>
  <c r="S26" i="21"/>
  <c r="S21" i="21"/>
  <c r="R22" i="21"/>
  <c r="S8" i="21"/>
  <c r="R15" i="21"/>
  <c r="R17" i="21"/>
  <c r="R19" i="21"/>
  <c r="S10" i="21"/>
  <c r="S9" i="21"/>
  <c r="R18" i="21"/>
  <c r="P52" i="21"/>
  <c r="P50" i="21"/>
  <c r="P54" i="21"/>
  <c r="P62" i="21"/>
  <c r="L60" i="57"/>
  <c r="N59" i="57"/>
  <c r="O59" i="57"/>
  <c r="V61" i="57"/>
  <c r="H62" i="57"/>
  <c r="K60" i="57"/>
  <c r="M60" i="57" s="1"/>
  <c r="J60" i="57"/>
  <c r="Q52" i="21" l="1"/>
  <c r="Q50" i="21"/>
  <c r="Q62" i="21"/>
  <c r="Q63" i="21" s="1"/>
  <c r="Q64" i="21" s="1"/>
  <c r="Q68" i="21" s="1"/>
  <c r="Q70" i="21" s="1"/>
  <c r="M99" i="21"/>
  <c r="N96" i="21" s="1"/>
  <c r="N97" i="21" s="1"/>
  <c r="N98" i="21" s="1"/>
  <c r="O70" i="21"/>
  <c r="O108" i="21" s="1"/>
  <c r="O109" i="21" s="1"/>
  <c r="L92" i="21"/>
  <c r="L93" i="21"/>
  <c r="K87" i="21"/>
  <c r="K88" i="21" s="1"/>
  <c r="P63" i="21"/>
  <c r="P64" i="21" s="1"/>
  <c r="P68" i="21" s="1"/>
  <c r="S19" i="21"/>
  <c r="T10" i="21"/>
  <c r="S17" i="21"/>
  <c r="T8" i="21"/>
  <c r="S15" i="21"/>
  <c r="S20" i="21" s="1"/>
  <c r="T26" i="21"/>
  <c r="S34" i="21"/>
  <c r="Q78" i="21"/>
  <c r="Q103" i="21"/>
  <c r="Q104" i="21" s="1"/>
  <c r="Q108" i="21"/>
  <c r="Q109" i="21" s="1"/>
  <c r="Q71" i="21"/>
  <c r="Q113" i="21"/>
  <c r="Q114" i="21" s="1"/>
  <c r="O113" i="21"/>
  <c r="O114" i="21" s="1"/>
  <c r="S18" i="21"/>
  <c r="T9" i="21"/>
  <c r="R20" i="21"/>
  <c r="R23" i="21" s="1"/>
  <c r="R36" i="21" s="1"/>
  <c r="R46" i="21" s="1"/>
  <c r="T21" i="21"/>
  <c r="S22" i="21"/>
  <c r="L61" i="57"/>
  <c r="O60" i="57"/>
  <c r="N60" i="57"/>
  <c r="H63" i="57"/>
  <c r="V62" i="57"/>
  <c r="J61" i="57"/>
  <c r="K61" i="57"/>
  <c r="M61" i="57" s="1"/>
  <c r="O103" i="21" l="1"/>
  <c r="O104" i="21" s="1"/>
  <c r="O78" i="21"/>
  <c r="O71" i="21"/>
  <c r="P70" i="21"/>
  <c r="P103" i="21" s="1"/>
  <c r="P104" i="21" s="1"/>
  <c r="Q67" i="21"/>
  <c r="R67" i="21" s="1"/>
  <c r="N99" i="21"/>
  <c r="O96" i="21" s="1"/>
  <c r="O97" i="21" s="1"/>
  <c r="O98" i="21" s="1"/>
  <c r="L94" i="21"/>
  <c r="M91" i="21" s="1"/>
  <c r="M92" i="21" s="1"/>
  <c r="M93" i="21" s="1"/>
  <c r="M94" i="21" s="1"/>
  <c r="N91" i="21" s="1"/>
  <c r="K138" i="21"/>
  <c r="K139" i="21" s="1"/>
  <c r="K89" i="21"/>
  <c r="U21" i="21"/>
  <c r="T22" i="21"/>
  <c r="T15" i="21"/>
  <c r="T20" i="21" s="1"/>
  <c r="T17" i="21"/>
  <c r="U8" i="21"/>
  <c r="R62" i="21"/>
  <c r="R63" i="21" s="1"/>
  <c r="R64" i="21" s="1"/>
  <c r="R68" i="21" s="1"/>
  <c r="R70" i="21" s="1"/>
  <c r="R52" i="21"/>
  <c r="R50" i="21"/>
  <c r="R54" i="21"/>
  <c r="T34" i="21"/>
  <c r="U26" i="21"/>
  <c r="U10" i="21"/>
  <c r="T19" i="21"/>
  <c r="T18" i="21"/>
  <c r="U9" i="21"/>
  <c r="S23" i="21"/>
  <c r="S36" i="21" s="1"/>
  <c r="S46" i="21" s="1"/>
  <c r="L62" i="57"/>
  <c r="V63" i="57"/>
  <c r="H64" i="57"/>
  <c r="N61" i="57"/>
  <c r="O61" i="57"/>
  <c r="J62" i="57"/>
  <c r="K62" i="57"/>
  <c r="M62" i="57" s="1"/>
  <c r="P71" i="21" l="1"/>
  <c r="P108" i="21"/>
  <c r="P109" i="21" s="1"/>
  <c r="P78" i="21"/>
  <c r="P113" i="21"/>
  <c r="P114" i="21" s="1"/>
  <c r="O99" i="21"/>
  <c r="P96" i="21" s="1"/>
  <c r="P97" i="21" s="1"/>
  <c r="N92" i="21"/>
  <c r="N93" i="21" s="1"/>
  <c r="L86" i="21"/>
  <c r="K115" i="21"/>
  <c r="V9" i="21"/>
  <c r="U18" i="21"/>
  <c r="U19" i="21"/>
  <c r="V10" i="21"/>
  <c r="T23" i="21"/>
  <c r="T36" i="21" s="1"/>
  <c r="T46" i="21" s="1"/>
  <c r="V26" i="21"/>
  <c r="U34" i="21"/>
  <c r="S54" i="21"/>
  <c r="S52" i="21"/>
  <c r="S62" i="21"/>
  <c r="S63" i="21" s="1"/>
  <c r="S64" i="21" s="1"/>
  <c r="S50" i="21"/>
  <c r="V8" i="21"/>
  <c r="U15" i="21"/>
  <c r="U20" i="21" s="1"/>
  <c r="U17" i="21"/>
  <c r="V21" i="21"/>
  <c r="U22" i="21"/>
  <c r="R78" i="21"/>
  <c r="R71" i="21"/>
  <c r="R103" i="21"/>
  <c r="R104" i="21" s="1"/>
  <c r="R108" i="21"/>
  <c r="R109" i="21" s="1"/>
  <c r="R113" i="21"/>
  <c r="R114" i="21" s="1"/>
  <c r="S67" i="21"/>
  <c r="L63" i="57"/>
  <c r="V64" i="57"/>
  <c r="H65" i="57"/>
  <c r="J63" i="57"/>
  <c r="K63" i="57"/>
  <c r="M63" i="57" s="1"/>
  <c r="N62" i="57"/>
  <c r="O62" i="57"/>
  <c r="P98" i="21" l="1"/>
  <c r="P99" i="21" s="1"/>
  <c r="Q96" i="21" s="1"/>
  <c r="N94" i="21"/>
  <c r="O91" i="21" s="1"/>
  <c r="O92" i="21" s="1"/>
  <c r="L87" i="21"/>
  <c r="L88" i="21" s="1"/>
  <c r="V22" i="21"/>
  <c r="W21" i="21"/>
  <c r="W26" i="21"/>
  <c r="V34" i="21"/>
  <c r="V19" i="21"/>
  <c r="W10" i="21"/>
  <c r="T62" i="21"/>
  <c r="T63" i="21" s="1"/>
  <c r="T64" i="21" s="1"/>
  <c r="T69" i="21" s="1"/>
  <c r="T70" i="21" s="1"/>
  <c r="T54" i="21"/>
  <c r="T52" i="21"/>
  <c r="T50" i="21"/>
  <c r="U23" i="21"/>
  <c r="U36" i="21" s="1"/>
  <c r="S68" i="21"/>
  <c r="T67" i="21" s="1"/>
  <c r="U67" i="21" s="1"/>
  <c r="W8" i="21"/>
  <c r="V17" i="21"/>
  <c r="V15" i="21"/>
  <c r="V20" i="21" s="1"/>
  <c r="V18" i="21"/>
  <c r="W9" i="21"/>
  <c r="L64" i="57"/>
  <c r="N63" i="57"/>
  <c r="O63" i="57"/>
  <c r="K64" i="57"/>
  <c r="M64" i="57" s="1"/>
  <c r="J64" i="57"/>
  <c r="V65" i="57"/>
  <c r="H66" i="57"/>
  <c r="Q97" i="21" l="1"/>
  <c r="L138" i="21"/>
  <c r="L139" i="21" s="1"/>
  <c r="L89" i="21"/>
  <c r="O93" i="21"/>
  <c r="O94" i="21" s="1"/>
  <c r="P91" i="21" s="1"/>
  <c r="X8" i="21"/>
  <c r="W15" i="21"/>
  <c r="W20" i="21" s="1"/>
  <c r="W17" i="21"/>
  <c r="F121" i="21"/>
  <c r="F125" i="21" s="1"/>
  <c r="U46" i="21"/>
  <c r="X26" i="21"/>
  <c r="W34" i="21"/>
  <c r="T71" i="21"/>
  <c r="T108" i="21"/>
  <c r="T109" i="21" s="1"/>
  <c r="T103" i="21"/>
  <c r="T104" i="21" s="1"/>
  <c r="T113" i="21"/>
  <c r="T114" i="21" s="1"/>
  <c r="T78" i="21"/>
  <c r="X10" i="21"/>
  <c r="W19" i="21"/>
  <c r="W22" i="21"/>
  <c r="X21" i="21"/>
  <c r="W18" i="21"/>
  <c r="X9" i="21"/>
  <c r="V23" i="21"/>
  <c r="V36" i="21" s="1"/>
  <c r="V46" i="21" s="1"/>
  <c r="S70" i="21"/>
  <c r="L65" i="57"/>
  <c r="H67" i="57"/>
  <c r="V66" i="57"/>
  <c r="J65" i="57"/>
  <c r="K65" i="57"/>
  <c r="M65" i="57" s="1"/>
  <c r="O64" i="57"/>
  <c r="N64" i="57"/>
  <c r="Q98" i="21" l="1"/>
  <c r="Q99" i="21" s="1"/>
  <c r="R96" i="21" s="1"/>
  <c r="P92" i="21"/>
  <c r="P93" i="21"/>
  <c r="P94" i="21" s="1"/>
  <c r="Q91" i="21" s="1"/>
  <c r="M86" i="21"/>
  <c r="L115" i="21"/>
  <c r="V52" i="21"/>
  <c r="V50" i="21"/>
  <c r="V54" i="21"/>
  <c r="V62" i="21"/>
  <c r="V63" i="21" s="1"/>
  <c r="V64" i="21" s="1"/>
  <c r="V68" i="21" s="1"/>
  <c r="V70" i="21" s="1"/>
  <c r="X34" i="21"/>
  <c r="Y26" i="21"/>
  <c r="W23" i="21"/>
  <c r="W36" i="21" s="1"/>
  <c r="W46" i="21" s="1"/>
  <c r="Y9" i="21"/>
  <c r="X18" i="21"/>
  <c r="U50" i="21"/>
  <c r="U54" i="21"/>
  <c r="U62" i="21"/>
  <c r="U63" i="21" s="1"/>
  <c r="U64" i="21" s="1"/>
  <c r="U52" i="21"/>
  <c r="X15" i="21"/>
  <c r="X20" i="21" s="1"/>
  <c r="X17" i="21"/>
  <c r="Y8" i="21"/>
  <c r="Y10" i="21"/>
  <c r="X19" i="21"/>
  <c r="B67" i="64"/>
  <c r="B63" i="64"/>
  <c r="S71" i="21"/>
  <c r="S103" i="21"/>
  <c r="S104" i="21" s="1"/>
  <c r="S78" i="21"/>
  <c r="S113" i="21"/>
  <c r="S114" i="21" s="1"/>
  <c r="S108" i="21"/>
  <c r="S109" i="21" s="1"/>
  <c r="Y21" i="21"/>
  <c r="X22" i="21"/>
  <c r="L66" i="57"/>
  <c r="J66" i="57"/>
  <c r="K66" i="57"/>
  <c r="M66" i="57" s="1"/>
  <c r="N65" i="57"/>
  <c r="O65" i="57"/>
  <c r="V67" i="57"/>
  <c r="H68" i="57"/>
  <c r="R97" i="21" l="1"/>
  <c r="R98" i="21" s="1"/>
  <c r="R99" i="21" s="1"/>
  <c r="S96" i="21" s="1"/>
  <c r="S97" i="21" s="1"/>
  <c r="S98" i="21" s="1"/>
  <c r="Q92" i="21"/>
  <c r="Q93" i="21" s="1"/>
  <c r="Q94" i="21" s="1"/>
  <c r="R91" i="21" s="1"/>
  <c r="M87" i="21"/>
  <c r="M88" i="21" s="1"/>
  <c r="M138" i="21" s="1"/>
  <c r="M139" i="21" s="1"/>
  <c r="Z9" i="21"/>
  <c r="Y18" i="21"/>
  <c r="V103" i="21"/>
  <c r="V104" i="21" s="1"/>
  <c r="V108" i="21"/>
  <c r="V109" i="21" s="1"/>
  <c r="V113" i="21"/>
  <c r="V114" i="21" s="1"/>
  <c r="V71" i="21"/>
  <c r="V78" i="21"/>
  <c r="X23" i="21"/>
  <c r="X36" i="21" s="1"/>
  <c r="X46" i="21" s="1"/>
  <c r="W54" i="21"/>
  <c r="W52" i="21"/>
  <c r="W62" i="21"/>
  <c r="W63" i="21" s="1"/>
  <c r="W64" i="21" s="1"/>
  <c r="W50" i="21"/>
  <c r="Y34" i="21"/>
  <c r="Z26" i="21"/>
  <c r="Y22" i="21"/>
  <c r="Z21" i="21"/>
  <c r="Z10" i="21"/>
  <c r="Y19" i="21"/>
  <c r="Y15" i="21"/>
  <c r="Y20" i="21" s="1"/>
  <c r="Y17" i="21"/>
  <c r="Z8" i="21"/>
  <c r="U68" i="21"/>
  <c r="V67" i="21" s="1"/>
  <c r="W67" i="21" s="1"/>
  <c r="L67" i="57"/>
  <c r="N66" i="57"/>
  <c r="O66" i="57"/>
  <c r="V68" i="57"/>
  <c r="H69" i="57"/>
  <c r="J67" i="57"/>
  <c r="K67" i="57"/>
  <c r="M67" i="57" s="1"/>
  <c r="U70" i="21" l="1"/>
  <c r="R92" i="21"/>
  <c r="R93" i="21"/>
  <c r="R94" i="21" s="1"/>
  <c r="S91" i="21" s="1"/>
  <c r="M89" i="21"/>
  <c r="S99" i="21"/>
  <c r="T96" i="21" s="1"/>
  <c r="AA8" i="21"/>
  <c r="Z15" i="21"/>
  <c r="Z20" i="21" s="1"/>
  <c r="Z17" i="21"/>
  <c r="Z19" i="21"/>
  <c r="AA10" i="21"/>
  <c r="AA21" i="21"/>
  <c r="Z22" i="21"/>
  <c r="X54" i="21"/>
  <c r="X62" i="21"/>
  <c r="X63" i="21" s="1"/>
  <c r="X64" i="21" s="1"/>
  <c r="X52" i="21"/>
  <c r="X50" i="21"/>
  <c r="U71" i="21"/>
  <c r="U113" i="21"/>
  <c r="U114" i="21" s="1"/>
  <c r="U103" i="21"/>
  <c r="U104" i="21" s="1"/>
  <c r="U78" i="21"/>
  <c r="U108" i="21"/>
  <c r="U109" i="21" s="1"/>
  <c r="Y23" i="21"/>
  <c r="Y36" i="21" s="1"/>
  <c r="Y46" i="21" s="1"/>
  <c r="W68" i="21"/>
  <c r="W70" i="21" s="1"/>
  <c r="AA26" i="21"/>
  <c r="Z34" i="21"/>
  <c r="AA9" i="21"/>
  <c r="Z18" i="21"/>
  <c r="L68" i="57"/>
  <c r="V69" i="57"/>
  <c r="H70" i="57"/>
  <c r="K68" i="57"/>
  <c r="M68" i="57" s="1"/>
  <c r="J68" i="57"/>
  <c r="N67" i="57"/>
  <c r="O67" i="57"/>
  <c r="S92" i="21" l="1"/>
  <c r="S93" i="21"/>
  <c r="S94" i="21" s="1"/>
  <c r="T91" i="21" s="1"/>
  <c r="N86" i="21"/>
  <c r="M115" i="21"/>
  <c r="X67" i="21"/>
  <c r="T97" i="21"/>
  <c r="T98" i="21" s="1"/>
  <c r="AB26" i="21"/>
  <c r="AA34" i="21"/>
  <c r="W71" i="21"/>
  <c r="W103" i="21"/>
  <c r="W104" i="21" s="1"/>
  <c r="W108" i="21"/>
  <c r="W109" i="21" s="1"/>
  <c r="W78" i="21"/>
  <c r="W113" i="21"/>
  <c r="W114" i="21" s="1"/>
  <c r="AB9" i="21"/>
  <c r="AA18" i="21"/>
  <c r="Y54" i="21"/>
  <c r="Y62" i="21"/>
  <c r="Y63" i="21" s="1"/>
  <c r="Y64" i="21" s="1"/>
  <c r="Y52" i="21"/>
  <c r="Y50" i="21"/>
  <c r="AB21" i="21"/>
  <c r="AA22" i="21"/>
  <c r="Z23" i="21"/>
  <c r="Z36" i="21" s="1"/>
  <c r="Z46" i="21" s="1"/>
  <c r="X68" i="21"/>
  <c r="AA19" i="21"/>
  <c r="AB10" i="21"/>
  <c r="AB8" i="21"/>
  <c r="AA15" i="21"/>
  <c r="AA20" i="21" s="1"/>
  <c r="AA17" i="21"/>
  <c r="L69" i="57"/>
  <c r="O68" i="57"/>
  <c r="N68" i="57"/>
  <c r="H71" i="57"/>
  <c r="V70" i="57"/>
  <c r="J69" i="57"/>
  <c r="K69" i="57"/>
  <c r="M69" i="57" s="1"/>
  <c r="Y67" i="21" l="1"/>
  <c r="T92" i="21"/>
  <c r="T93" i="21"/>
  <c r="N87" i="21"/>
  <c r="N88" i="21" s="1"/>
  <c r="N138" i="21" s="1"/>
  <c r="N139" i="21" s="1"/>
  <c r="T99" i="21"/>
  <c r="U96" i="21" s="1"/>
  <c r="Z52" i="21"/>
  <c r="Z50" i="21"/>
  <c r="Z54" i="21"/>
  <c r="Z62" i="21"/>
  <c r="Z63" i="21" s="1"/>
  <c r="Z64" i="21" s="1"/>
  <c r="Z68" i="21" s="1"/>
  <c r="Z70" i="21" s="1"/>
  <c r="AC9" i="21"/>
  <c r="AB18" i="21"/>
  <c r="AA23" i="21"/>
  <c r="AA36" i="21" s="1"/>
  <c r="AA46" i="21" s="1"/>
  <c r="X70" i="21"/>
  <c r="Y68" i="21"/>
  <c r="Z67" i="21" s="1"/>
  <c r="Y70" i="21"/>
  <c r="AB17" i="21"/>
  <c r="AC8" i="21"/>
  <c r="AB15" i="21"/>
  <c r="AB20" i="21" s="1"/>
  <c r="AC21" i="21"/>
  <c r="AB22" i="21"/>
  <c r="AB19" i="21"/>
  <c r="AC10" i="21"/>
  <c r="AC26" i="21"/>
  <c r="AB34" i="21"/>
  <c r="L70" i="57"/>
  <c r="J70" i="57"/>
  <c r="K70" i="57"/>
  <c r="M70" i="57" s="1"/>
  <c r="V71" i="57"/>
  <c r="H72" i="57"/>
  <c r="N69" i="57"/>
  <c r="O69" i="57"/>
  <c r="N89" i="21" l="1"/>
  <c r="O86" i="21"/>
  <c r="N115" i="21"/>
  <c r="U97" i="21"/>
  <c r="T94" i="21"/>
  <c r="U91" i="21" s="1"/>
  <c r="AC34" i="21"/>
  <c r="AD26" i="21"/>
  <c r="AC22" i="21"/>
  <c r="AD21" i="21"/>
  <c r="AD8" i="21"/>
  <c r="AC15" i="21"/>
  <c r="AC20" i="21" s="1"/>
  <c r="AC17" i="21"/>
  <c r="X71" i="21"/>
  <c r="X108" i="21"/>
  <c r="X109" i="21" s="1"/>
  <c r="X78" i="21"/>
  <c r="X113" i="21"/>
  <c r="X114" i="21" s="1"/>
  <c r="X103" i="21"/>
  <c r="X104" i="21" s="1"/>
  <c r="Z78" i="21"/>
  <c r="Z103" i="21"/>
  <c r="Z104" i="21" s="1"/>
  <c r="Z108" i="21"/>
  <c r="Z109" i="21" s="1"/>
  <c r="Z113" i="21"/>
  <c r="Z114" i="21" s="1"/>
  <c r="Z71" i="21"/>
  <c r="AA50" i="21"/>
  <c r="AA54" i="21"/>
  <c r="AA52" i="21"/>
  <c r="AA62" i="21"/>
  <c r="AA63" i="21" s="1"/>
  <c r="AA64" i="21" s="1"/>
  <c r="AA68" i="21" s="1"/>
  <c r="AA70" i="21" s="1"/>
  <c r="Y108" i="21"/>
  <c r="Y109" i="21" s="1"/>
  <c r="Y71" i="21"/>
  <c r="Y103" i="21"/>
  <c r="Y104" i="21" s="1"/>
  <c r="Y78" i="21"/>
  <c r="Y113" i="21"/>
  <c r="Y114" i="21" s="1"/>
  <c r="AD10" i="21"/>
  <c r="AC19" i="21"/>
  <c r="AB23" i="21"/>
  <c r="AB36" i="21" s="1"/>
  <c r="AB46" i="21" s="1"/>
  <c r="AA67" i="21"/>
  <c r="AC18" i="21"/>
  <c r="AD9" i="21"/>
  <c r="L71" i="57"/>
  <c r="V72" i="57"/>
  <c r="H73" i="57"/>
  <c r="J71" i="57"/>
  <c r="K71" i="57"/>
  <c r="M71" i="57" s="1"/>
  <c r="N70" i="57"/>
  <c r="O70" i="57"/>
  <c r="U98" i="21" l="1"/>
  <c r="U99" i="21" s="1"/>
  <c r="V96" i="21" s="1"/>
  <c r="U92" i="21"/>
  <c r="U93" i="21" s="1"/>
  <c r="O87" i="21"/>
  <c r="O88" i="21" s="1"/>
  <c r="AB67" i="21"/>
  <c r="AE9" i="21"/>
  <c r="AD18" i="21"/>
  <c r="AD22" i="21"/>
  <c r="AE21" i="21"/>
  <c r="AD19" i="21"/>
  <c r="AE10" i="21"/>
  <c r="AA103" i="21"/>
  <c r="AA104" i="21" s="1"/>
  <c r="AA113" i="21"/>
  <c r="AA114" i="21" s="1"/>
  <c r="AA78" i="21"/>
  <c r="AA71" i="21"/>
  <c r="AA108" i="21"/>
  <c r="AA109" i="21" s="1"/>
  <c r="AC23" i="21"/>
  <c r="AC36" i="21" s="1"/>
  <c r="AC46" i="21" s="1"/>
  <c r="AE26" i="21"/>
  <c r="AD34" i="21"/>
  <c r="AB52" i="21"/>
  <c r="AB50" i="21"/>
  <c r="AB54" i="21"/>
  <c r="AB62" i="21"/>
  <c r="AB63" i="21" s="1"/>
  <c r="AB64" i="21" s="1"/>
  <c r="AD17" i="21"/>
  <c r="AE8" i="21"/>
  <c r="AD15" i="21"/>
  <c r="AD20" i="21" s="1"/>
  <c r="L72" i="57"/>
  <c r="K72" i="57"/>
  <c r="M72" i="57" s="1"/>
  <c r="J72" i="57"/>
  <c r="N71" i="57"/>
  <c r="O71" i="57"/>
  <c r="V73" i="57"/>
  <c r="H74" i="57"/>
  <c r="V97" i="21" l="1"/>
  <c r="V98" i="21" s="1"/>
  <c r="V99" i="21" s="1"/>
  <c r="W96" i="21" s="1"/>
  <c r="W97" i="21" s="1"/>
  <c r="W98" i="21" s="1"/>
  <c r="AD23" i="21"/>
  <c r="AD36" i="21" s="1"/>
  <c r="AD46" i="21" s="1"/>
  <c r="U94" i="21"/>
  <c r="V91" i="21" s="1"/>
  <c r="V92" i="21" s="1"/>
  <c r="V93" i="21" s="1"/>
  <c r="V94" i="21" s="1"/>
  <c r="W91" i="21" s="1"/>
  <c r="O138" i="21"/>
  <c r="O139" i="21" s="1"/>
  <c r="O89" i="21"/>
  <c r="AF26" i="21"/>
  <c r="AE34" i="21"/>
  <c r="AF21" i="21"/>
  <c r="AE22" i="21"/>
  <c r="AF8" i="21"/>
  <c r="AE15" i="21"/>
  <c r="AE20" i="21" s="1"/>
  <c r="AE17" i="21"/>
  <c r="AC62" i="21"/>
  <c r="AC63" i="21" s="1"/>
  <c r="AC64" i="21" s="1"/>
  <c r="AC52" i="21"/>
  <c r="AC50" i="21"/>
  <c r="AC54" i="21"/>
  <c r="AE19" i="21"/>
  <c r="AF10" i="21"/>
  <c r="AB68" i="21"/>
  <c r="AC67" i="21" s="1"/>
  <c r="AE18" i="21"/>
  <c r="AF9" i="21"/>
  <c r="L73" i="57"/>
  <c r="O72" i="57"/>
  <c r="N72" i="57"/>
  <c r="H75" i="57"/>
  <c r="V75" i="57" s="1"/>
  <c r="V74" i="57"/>
  <c r="J73" i="57"/>
  <c r="K73" i="57"/>
  <c r="M73" i="57" s="1"/>
  <c r="AD62" i="21" l="1"/>
  <c r="AD63" i="21" s="1"/>
  <c r="AD64" i="21" s="1"/>
  <c r="AD68" i="21" s="1"/>
  <c r="AD70" i="21" s="1"/>
  <c r="AD54" i="21"/>
  <c r="AD50" i="21"/>
  <c r="AD52" i="21"/>
  <c r="AB70" i="21"/>
  <c r="AB78" i="21" s="1"/>
  <c r="W92" i="21"/>
  <c r="W93" i="21" s="1"/>
  <c r="W94" i="21" s="1"/>
  <c r="X91" i="21" s="1"/>
  <c r="W99" i="21"/>
  <c r="X96" i="21" s="1"/>
  <c r="P86" i="21"/>
  <c r="O115" i="21"/>
  <c r="AC68" i="21"/>
  <c r="AD67" i="21" s="1"/>
  <c r="AE67" i="21" s="1"/>
  <c r="AF22" i="21"/>
  <c r="AG21" i="21"/>
  <c r="AE23" i="21"/>
  <c r="AE36" i="21" s="1"/>
  <c r="AE46" i="21" s="1"/>
  <c r="AG9" i="21"/>
  <c r="AF18" i="21"/>
  <c r="AD108" i="21"/>
  <c r="AD109" i="21" s="1"/>
  <c r="AD113" i="21"/>
  <c r="AD114" i="21" s="1"/>
  <c r="AD71" i="21"/>
  <c r="AD78" i="21"/>
  <c r="AD103" i="21"/>
  <c r="AD104" i="21" s="1"/>
  <c r="AF19" i="21"/>
  <c r="AG10" i="21"/>
  <c r="AF15" i="21"/>
  <c r="AF20" i="21" s="1"/>
  <c r="AF17" i="21"/>
  <c r="AG8" i="21"/>
  <c r="AG26" i="21"/>
  <c r="AF34" i="21"/>
  <c r="L74" i="57"/>
  <c r="J74" i="57"/>
  <c r="J75" i="57" s="1"/>
  <c r="K74" i="57"/>
  <c r="M74" i="57" s="1"/>
  <c r="N73" i="57"/>
  <c r="O73" i="57"/>
  <c r="AB108" i="21" l="1"/>
  <c r="AB109" i="21" s="1"/>
  <c r="AB113" i="21"/>
  <c r="AB114" i="21" s="1"/>
  <c r="AB103" i="21"/>
  <c r="AB104" i="21" s="1"/>
  <c r="AC70" i="21"/>
  <c r="AC108" i="21" s="1"/>
  <c r="AC109" i="21" s="1"/>
  <c r="AB71" i="21"/>
  <c r="X92" i="21"/>
  <c r="X93" i="21" s="1"/>
  <c r="X94" i="21" s="1"/>
  <c r="Y91" i="21" s="1"/>
  <c r="X97" i="21"/>
  <c r="X98" i="21" s="1"/>
  <c r="AF23" i="21"/>
  <c r="AF36" i="21" s="1"/>
  <c r="AF46" i="21" s="1"/>
  <c r="AF62" i="21" s="1"/>
  <c r="AF63" i="21" s="1"/>
  <c r="AF64" i="21" s="1"/>
  <c r="AF68" i="21" s="1"/>
  <c r="AF70" i="21" s="1"/>
  <c r="P87" i="21"/>
  <c r="P88" i="21" s="1"/>
  <c r="P138" i="21" s="1"/>
  <c r="P139" i="21" s="1"/>
  <c r="AE50" i="21"/>
  <c r="AE54" i="21"/>
  <c r="AE52" i="21"/>
  <c r="AE62" i="21"/>
  <c r="AE63" i="21" s="1"/>
  <c r="AE64" i="21" s="1"/>
  <c r="AE68" i="21" s="1"/>
  <c r="AE70" i="21" s="1"/>
  <c r="AG34" i="21"/>
  <c r="AH26" i="21"/>
  <c r="AH10" i="21"/>
  <c r="AG19" i="21"/>
  <c r="AH21" i="21"/>
  <c r="AG22" i="21"/>
  <c r="AH8" i="21"/>
  <c r="AG15" i="21"/>
  <c r="AG20" i="21" s="1"/>
  <c r="AG17" i="21"/>
  <c r="AG18" i="21"/>
  <c r="AH9" i="21"/>
  <c r="K75" i="57"/>
  <c r="L75" i="57"/>
  <c r="O75" i="57" s="1"/>
  <c r="N74" i="57"/>
  <c r="O74" i="57"/>
  <c r="AC103" i="21" l="1"/>
  <c r="AC104" i="21" s="1"/>
  <c r="AF54" i="21"/>
  <c r="AC113" i="21"/>
  <c r="AC114" i="21" s="1"/>
  <c r="AC71" i="21"/>
  <c r="AC78" i="21"/>
  <c r="X99" i="21"/>
  <c r="Y96" i="21" s="1"/>
  <c r="Y97" i="21" s="1"/>
  <c r="Y98" i="21" s="1"/>
  <c r="Y99" i="21" s="1"/>
  <c r="Z96" i="21" s="1"/>
  <c r="N75" i="57"/>
  <c r="P89" i="21"/>
  <c r="P115" i="21" s="1"/>
  <c r="Y92" i="21"/>
  <c r="AF50" i="21"/>
  <c r="AG23" i="21"/>
  <c r="AG36" i="21" s="1"/>
  <c r="AG46" i="21" s="1"/>
  <c r="AG62" i="21" s="1"/>
  <c r="AG63" i="21" s="1"/>
  <c r="AG64" i="21" s="1"/>
  <c r="AG68" i="21" s="1"/>
  <c r="AG70" i="21" s="1"/>
  <c r="AF52" i="21"/>
  <c r="AE78" i="21"/>
  <c r="AE71" i="21"/>
  <c r="AE113" i="21"/>
  <c r="AE114" i="21" s="1"/>
  <c r="AE108" i="21"/>
  <c r="AE109" i="21" s="1"/>
  <c r="AE103" i="21"/>
  <c r="AE104" i="21" s="1"/>
  <c r="AF67" i="21"/>
  <c r="AG67" i="21" s="1"/>
  <c r="AH17" i="21"/>
  <c r="AH15" i="21"/>
  <c r="AH20" i="21" s="1"/>
  <c r="AI8" i="21"/>
  <c r="AH19" i="21"/>
  <c r="AI10" i="21"/>
  <c r="AI19" i="21" s="1"/>
  <c r="AF108" i="21"/>
  <c r="AF109" i="21" s="1"/>
  <c r="AF103" i="21"/>
  <c r="AF104" i="21" s="1"/>
  <c r="AF113" i="21"/>
  <c r="AF114" i="21" s="1"/>
  <c r="AF78" i="21"/>
  <c r="AF71" i="21"/>
  <c r="AH18" i="21"/>
  <c r="AI9" i="21"/>
  <c r="AI18" i="21" s="1"/>
  <c r="AH34" i="21"/>
  <c r="AI26" i="21"/>
  <c r="AI34" i="21" s="1"/>
  <c r="AH22" i="21"/>
  <c r="AI21" i="21"/>
  <c r="AI22" i="21" s="1"/>
  <c r="M75" i="57"/>
  <c r="Q86" i="21" l="1"/>
  <c r="AH67" i="21"/>
  <c r="AG50" i="21"/>
  <c r="AG52" i="21"/>
  <c r="AG54" i="21"/>
  <c r="Y93" i="21"/>
  <c r="Y94" i="21" s="1"/>
  <c r="Z91" i="21" s="1"/>
  <c r="Z97" i="21"/>
  <c r="Z98" i="21" s="1"/>
  <c r="Z99" i="21" s="1"/>
  <c r="AA96" i="21" s="1"/>
  <c r="Q87" i="21"/>
  <c r="Q88" i="21" s="1"/>
  <c r="AI15" i="21"/>
  <c r="AI20" i="21" s="1"/>
  <c r="AI17" i="21"/>
  <c r="AH23" i="21"/>
  <c r="AH36" i="21" s="1"/>
  <c r="AH46" i="21" s="1"/>
  <c r="AG71" i="21"/>
  <c r="AG113" i="21"/>
  <c r="AG114" i="21" s="1"/>
  <c r="AG103" i="21"/>
  <c r="AG104" i="21" s="1"/>
  <c r="AG108" i="21"/>
  <c r="AG109" i="21" s="1"/>
  <c r="AG78" i="21"/>
  <c r="Z92" i="21" l="1"/>
  <c r="Z93" i="21" s="1"/>
  <c r="Q138" i="21"/>
  <c r="Q139" i="21" s="1"/>
  <c r="Q89" i="21"/>
  <c r="AA97" i="21"/>
  <c r="AA98" i="21" s="1"/>
  <c r="AI23" i="21"/>
  <c r="AI36" i="21" s="1"/>
  <c r="AI46" i="21" s="1"/>
  <c r="AH50" i="21"/>
  <c r="AH54" i="21"/>
  <c r="AH52" i="21"/>
  <c r="AH62" i="21"/>
  <c r="Z94" i="21" l="1"/>
  <c r="AA91" i="21" s="1"/>
  <c r="AA92" i="21" s="1"/>
  <c r="AA93" i="21" s="1"/>
  <c r="AA94" i="21" s="1"/>
  <c r="AB91" i="21" s="1"/>
  <c r="AB92" i="21" s="1"/>
  <c r="AB93" i="21" s="1"/>
  <c r="AB94" i="21" s="1"/>
  <c r="AC91" i="21" s="1"/>
  <c r="AA99" i="21"/>
  <c r="AB96" i="21" s="1"/>
  <c r="R86" i="21"/>
  <c r="Q115" i="21"/>
  <c r="AH63" i="21"/>
  <c r="AH64" i="21" s="1"/>
  <c r="AH68" i="21" s="1"/>
  <c r="AI52" i="21"/>
  <c r="AI54" i="21"/>
  <c r="AI62" i="21"/>
  <c r="AI63" i="21" s="1"/>
  <c r="AI64" i="21" s="1"/>
  <c r="AI68" i="21" s="1"/>
  <c r="AI70" i="21" s="1"/>
  <c r="AI50" i="21"/>
  <c r="AC92" i="21" l="1"/>
  <c r="AC93" i="21" s="1"/>
  <c r="AB97" i="21"/>
  <c r="R87" i="21"/>
  <c r="R88" i="21" s="1"/>
  <c r="AH70" i="21"/>
  <c r="AI67" i="21"/>
  <c r="AI78" i="21"/>
  <c r="AI71" i="21"/>
  <c r="AI108" i="21"/>
  <c r="AI109" i="21" s="1"/>
  <c r="AI103" i="21"/>
  <c r="AI104" i="21" s="1"/>
  <c r="AI113" i="21"/>
  <c r="AI114" i="21" s="1"/>
  <c r="AC94" i="21" l="1"/>
  <c r="AD91" i="21" s="1"/>
  <c r="R138" i="21"/>
  <c r="R139" i="21" s="1"/>
  <c r="R89" i="21"/>
  <c r="AD92" i="21"/>
  <c r="AB98" i="21"/>
  <c r="AB99" i="21" s="1"/>
  <c r="AC96" i="21" s="1"/>
  <c r="AH78" i="21"/>
  <c r="AH103" i="21"/>
  <c r="AH104" i="21" s="1"/>
  <c r="AH108" i="21"/>
  <c r="AH109" i="21" s="1"/>
  <c r="AH113" i="21"/>
  <c r="AH114" i="21" s="1"/>
  <c r="AH71" i="21"/>
  <c r="AC97" i="21" l="1"/>
  <c r="AD93" i="21"/>
  <c r="AD94" i="21" s="1"/>
  <c r="AE91" i="21" s="1"/>
  <c r="S86" i="21"/>
  <c r="R115" i="21"/>
  <c r="AE92" i="21" l="1"/>
  <c r="AC98" i="21"/>
  <c r="AC99" i="21" s="1"/>
  <c r="AD96" i="21" s="1"/>
  <c r="S87" i="21"/>
  <c r="S88" i="21" s="1"/>
  <c r="S138" i="21" s="1"/>
  <c r="S139" i="21" s="1"/>
  <c r="AD97" i="21" l="1"/>
  <c r="AD98" i="21" s="1"/>
  <c r="AD99" i="21" s="1"/>
  <c r="AE96" i="21" s="1"/>
  <c r="AE93" i="21"/>
  <c r="AE94" i="21" s="1"/>
  <c r="AF91" i="21" s="1"/>
  <c r="S89" i="21"/>
  <c r="AE97" i="21" l="1"/>
  <c r="AE98" i="21" s="1"/>
  <c r="AE99" i="21" s="1"/>
  <c r="AF96" i="21" s="1"/>
  <c r="AF92" i="21"/>
  <c r="T86" i="21"/>
  <c r="S115" i="21"/>
  <c r="AF97" i="21" l="1"/>
  <c r="AF98" i="21" s="1"/>
  <c r="AF99" i="21" s="1"/>
  <c r="AG96" i="21" s="1"/>
  <c r="T87" i="21"/>
  <c r="AF93" i="21"/>
  <c r="AF94" i="21" s="1"/>
  <c r="AG91" i="21" s="1"/>
  <c r="T88" i="21" l="1"/>
  <c r="T138" i="21" s="1"/>
  <c r="T139" i="21" s="1"/>
  <c r="AG92" i="21"/>
  <c r="AG93" i="21" s="1"/>
  <c r="AG97" i="21"/>
  <c r="AG98" i="21" s="1"/>
  <c r="AG99" i="21" s="1"/>
  <c r="AH96" i="21" s="1"/>
  <c r="T89" i="21" l="1"/>
  <c r="AH97" i="21"/>
  <c r="AH98" i="21" s="1"/>
  <c r="AG94" i="21"/>
  <c r="AH91" i="21" s="1"/>
  <c r="AH99" i="21" l="1"/>
  <c r="AI96" i="21" s="1"/>
  <c r="AI97" i="21" s="1"/>
  <c r="AI98" i="21" s="1"/>
  <c r="U86" i="21"/>
  <c r="T115" i="21"/>
  <c r="AH92" i="21"/>
  <c r="AH93" i="21" s="1"/>
  <c r="AH94" i="21" l="1"/>
  <c r="AI91" i="21" s="1"/>
  <c r="AI99" i="21"/>
  <c r="U87" i="21"/>
  <c r="U88" i="21"/>
  <c r="U138" i="21" s="1"/>
  <c r="U139" i="21" s="1"/>
  <c r="AI92" i="21"/>
  <c r="AI93" i="21" s="1"/>
  <c r="AI94" i="21" s="1"/>
  <c r="U89" i="21" l="1"/>
  <c r="V86" i="21" l="1"/>
  <c r="U115" i="21"/>
  <c r="F127" i="21" s="1"/>
  <c r="B69" i="64" s="1"/>
  <c r="F128" i="21" l="1"/>
  <c r="B70" i="64" s="1"/>
  <c r="V87" i="21"/>
  <c r="V88" i="21" s="1"/>
  <c r="V138" i="21" s="1"/>
  <c r="V139" i="21" s="1"/>
  <c r="V89" i="21" l="1"/>
  <c r="D14" i="70"/>
  <c r="G14" i="70" s="1"/>
  <c r="W86" i="21" l="1"/>
  <c r="V115" i="21"/>
  <c r="W87" i="21" l="1"/>
  <c r="W88" i="21" s="1"/>
  <c r="W138" i="21" s="1"/>
  <c r="W139" i="21" s="1"/>
  <c r="W89" i="21" l="1"/>
  <c r="W115" i="21" s="1"/>
  <c r="X86" i="21" l="1"/>
  <c r="X87" i="21" s="1"/>
  <c r="X88" i="21" s="1"/>
  <c r="X138" i="21" s="1"/>
  <c r="X139" i="21" s="1"/>
  <c r="X89" i="21" l="1"/>
  <c r="Y86" i="21" s="1"/>
  <c r="Y87" i="21" s="1"/>
  <c r="Y88" i="21" s="1"/>
  <c r="Y138" i="21" s="1"/>
  <c r="Y139" i="21" s="1"/>
  <c r="X115" i="21" l="1"/>
  <c r="Y89" i="21"/>
  <c r="Z86" i="21" s="1"/>
  <c r="Y115" i="21" l="1"/>
  <c r="Z87" i="21"/>
  <c r="Z88" i="21" s="1"/>
  <c r="Z138" i="21" s="1"/>
  <c r="Z139" i="21" s="1"/>
  <c r="Z89" i="21" l="1"/>
  <c r="AA86" i="21" s="1"/>
  <c r="Z115" i="21" l="1"/>
  <c r="AA87" i="21"/>
  <c r="AA88" i="21" s="1"/>
  <c r="AA138" i="21" s="1"/>
  <c r="AA139" i="21" s="1"/>
  <c r="AA89" i="21" l="1"/>
  <c r="AB86" i="21" l="1"/>
  <c r="AA115" i="21"/>
  <c r="AB87" i="21" l="1"/>
  <c r="AB88" i="21" s="1"/>
  <c r="AB138" i="21" s="1"/>
  <c r="AB139" i="21" s="1"/>
  <c r="AB89" i="21" l="1"/>
  <c r="AC86" i="21" l="1"/>
  <c r="AB115" i="21"/>
  <c r="AC87" i="21" l="1"/>
  <c r="AC88" i="21" s="1"/>
  <c r="AC138" i="21" s="1"/>
  <c r="AC139" i="21" s="1"/>
  <c r="AC89" i="21" l="1"/>
  <c r="AC115" i="21" l="1"/>
  <c r="AD86" i="21"/>
  <c r="AD87" i="21" l="1"/>
  <c r="AD88" i="21" s="1"/>
  <c r="AD138" i="21" s="1"/>
  <c r="AD139" i="21" s="1"/>
  <c r="AD89" i="21" l="1"/>
  <c r="AE86" i="21"/>
  <c r="AD115" i="21"/>
  <c r="AE87" i="21" l="1"/>
  <c r="AE88" i="21" s="1"/>
  <c r="AE138" i="21" s="1"/>
  <c r="AE139" i="21" s="1"/>
  <c r="AE89" i="21" l="1"/>
  <c r="AF86" i="21" l="1"/>
  <c r="AE115" i="21"/>
  <c r="AF87" i="21" l="1"/>
  <c r="AF88" i="21" s="1"/>
  <c r="AF138" i="21" s="1"/>
  <c r="AF139" i="21" s="1"/>
  <c r="AF89" i="21" l="1"/>
  <c r="AF115" i="21" l="1"/>
  <c r="AG86" i="21"/>
  <c r="AG87" i="21" l="1"/>
  <c r="AG88" i="21" s="1"/>
  <c r="AG138" i="21" s="1"/>
  <c r="AG139" i="21" s="1"/>
  <c r="AG89" i="21" l="1"/>
  <c r="AH86" i="21" s="1"/>
  <c r="AG115" i="21" l="1"/>
  <c r="AH87" i="21"/>
  <c r="AH88" i="21" s="1"/>
  <c r="AH138" i="21" s="1"/>
  <c r="AH139" i="21" s="1"/>
  <c r="AH89" i="21" l="1"/>
  <c r="AI86" i="21" s="1"/>
  <c r="AH115" i="21" l="1"/>
  <c r="AI87" i="21"/>
  <c r="AI88" i="21" s="1"/>
  <c r="AI138" i="21" s="1"/>
  <c r="AI139" i="21" s="1"/>
  <c r="AI89" i="21" l="1"/>
  <c r="AI11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</authors>
  <commentList>
    <comment ref="D40" authorId="0" shapeId="0" xr:uid="{0418BD00-2862-5849-93ED-817729CD66D8}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See hidden PHA_Average_HDD_CDD tab for explanation.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Ingber</author>
    <author>Jason Glazer</author>
    <author>David Kretch</author>
  </authors>
  <commentList>
    <comment ref="P109" authorId="0" shapeId="0" xr:uid="{A2D64029-DBCA-5146-A63C-AF46752C0E9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table 39</t>
        </r>
      </text>
    </comment>
    <comment ref="S110" authorId="0" shapeId="0" xr:uid="{2D7F353C-53FF-1047-9EFD-ADA8FDCD583D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T110" authorId="0" shapeId="0" xr:uid="{863EEC6D-8572-F74E-8503-A71323AAC8C9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This ratio was benchmark value was defined as a ratio of #3bedroom sf det, consumpitionl; determined by dividing 48,552 by10,202 ,  in Riley table 39  </t>
        </r>
      </text>
    </comment>
    <comment ref="S111" authorId="0" shapeId="0" xr:uid="{A74B147B-F706-5A44-8F99-AB77243CA89C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S112" authorId="0" shapeId="0" xr:uid="{6031BD51-D400-324B-A56E-DF6F78D5CBDB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3" authorId="0" shapeId="0" xr:uid="{7AAD2A73-9CB8-6647-B896-9FBE94EF08B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4" authorId="0" shapeId="0" xr:uid="{C7A31D30-7106-C94E-8838-E8A19C258FD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P117" authorId="0" shapeId="0" xr:uid="{684B72FF-5E05-194A-BB89-51EA9D545AD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2014 update report table 39
</t>
        </r>
      </text>
    </comment>
    <comment ref="P131" authorId="1" shapeId="0" xr:uid="{BCFBA21A-0A01-7842-A696-AE90CFDB7D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S131" authorId="1" shapeId="0" xr:uid="{CDCAD862-DCE3-DE40-BEA3-075D34F5ADC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T131" authorId="1" shapeId="0" xr:uid="{60CCF951-A766-2648-B045-2343EBE661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P135" authorId="0" shapeId="0" xr:uid="{A3C62A6A-A229-8F45-9B73-E04B87D19DE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by structure adjustment
</t>
        </r>
      </text>
    </comment>
    <comment ref="S135" authorId="0" shapeId="0" xr:uid="{BECA155E-0547-344F-ACE8-D95A66D10DA1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T135" authorId="0" shapeId="0" xr:uid="{7B55C765-8F62-784F-9F20-9A63DE8A5C1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P141" authorId="1" shapeId="0" xr:uid="{1A13A801-814D-894D-9D07-528938AF318A}">
      <text>
        <r>
          <rPr>
            <b/>
            <sz val="8"/>
            <color indexed="81"/>
            <rFont val="Tahoma"/>
            <family val="2"/>
          </rPr>
          <t xml:space="preserve">Joshua Ingber:
</t>
        </r>
      </text>
    </comment>
    <comment ref="S141" authorId="1" shapeId="0" xr:uid="{8348B97B-0D3C-284A-8F58-A7E04C04EA2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1" authorId="1" shapeId="0" xr:uid="{47D1BB2E-8F89-444C-A886-7540392F65FC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2" authorId="1" shapeId="0" xr:uid="{5B17AEE9-5934-164F-B564-61B895E4059A}">
      <text>
        <r>
          <rPr>
            <b/>
            <sz val="8"/>
            <color indexed="81"/>
            <rFont val="Tahoma"/>
            <family val="2"/>
          </rPr>
          <t xml:space="preserve">Joshua Ingber:
 Heat Pump Adjustment from Riley june-2014
</t>
        </r>
      </text>
    </comment>
    <comment ref="S142" authorId="1" shapeId="0" xr:uid="{52FD10A4-625E-9745-B37F-69CF2B26A364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2" authorId="1" shapeId="0" xr:uid="{0850EEF2-934A-2D4D-9DA3-33F9A0F7F0CB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3" authorId="1" shapeId="0" xr:uid="{DAEA7BAF-21E6-E74A-813F-6CCEF2DDAE33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3" authorId="1" shapeId="0" xr:uid="{23082B73-6DC5-F645-A517-FC362EB8EB8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3" authorId="1" shapeId="0" xr:uid="{B7C9B93A-14B4-F448-85F7-E78AB6DEDF0E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4" authorId="1" shapeId="0" xr:uid="{B3C2824B-8820-6346-8458-42FA53A7F47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4" authorId="1" shapeId="0" xr:uid="{462600F1-66FD-3D42-A745-1C79B8DB0819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4" authorId="1" shapeId="0" xr:uid="{012E6E6F-69EF-984E-B6D6-06ADB46212C1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5" authorId="1" shapeId="0" xr:uid="{5786DBA8-89C5-2C41-A877-96547DECA954}">
      <text>
        <r>
          <rPr>
            <b/>
            <sz val="8"/>
            <color indexed="81"/>
            <rFont val="Tahoma"/>
            <family val="2"/>
          </rPr>
          <t>Joshua Ingber:
  Heat Pump Adjustment from Riley june-2014</t>
        </r>
      </text>
    </comment>
    <comment ref="S145" authorId="1" shapeId="0" xr:uid="{468DEC0E-C92A-D841-8525-D9993C4DF03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5" authorId="1" shapeId="0" xr:uid="{5F46BA58-6D2A-0649-8825-019901A7C26D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6" authorId="1" shapeId="0" xr:uid="{ECF1A315-1965-5449-A346-7B3CA84F66A0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7" authorId="1" shapeId="0" xr:uid="{F7F425B9-DBD1-F148-938C-6494B9181A3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7" authorId="1" shapeId="0" xr:uid="{E4D66B03-4FA2-5142-B22E-13991959EB95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8" authorId="1" shapeId="0" xr:uid="{FFDC98F1-2DA4-8740-AA7F-2486CE10E30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8" authorId="1" shapeId="0" xr:uid="{A9789432-BE1E-CA47-B891-6B8FD39F5191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9" authorId="1" shapeId="0" xr:uid="{EA1B36D2-68C9-EA4F-90A9-D95B7005F45C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9" authorId="1" shapeId="0" xr:uid="{5784703C-B7F7-D44C-A888-46FB44394282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50" authorId="1" shapeId="0" xr:uid="{1A54CA3B-5421-7347-B84A-96B9947F1B8B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50" authorId="1" shapeId="0" xr:uid="{62ECC810-E039-1A47-91D6-31374F8E50FA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O152" authorId="0" shapeId="0" xr:uid="{48E9BF09-EF72-6E4C-9BDF-A9741255F730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50% of Natural Gas
</t>
        </r>
      </text>
    </comment>
    <comment ref="P152" authorId="0" shapeId="0" xr:uid="{FBC5263B-725F-A54C-8803-7603D521630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50% of Natural Gas</t>
        </r>
      </text>
    </comment>
    <comment ref="O153" authorId="0" shapeId="0" xr:uid="{9946AF12-3024-034F-8BC9-1C1057DE9FC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3" authorId="0" shapeId="0" xr:uid="{E0FC83F6-5D44-434C-A2CF-FDBD20DFD94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55" authorId="0" shapeId="0" xr:uid="{2E22A891-108F-6C46-B0F3-1F68AD019BE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5" authorId="0" shapeId="0" xr:uid="{901CC9E4-C210-5440-B0EE-DEB94D979BC8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65" authorId="1" shapeId="0" xr:uid="{EE369339-B289-6845-ADBD-68214BE92829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P165" authorId="1" shapeId="0" xr:uid="{030DEA35-4AF3-094C-AB6E-2018B99158FD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W165" authorId="1" shapeId="0" xr:uid="{5EE51B11-E064-7B44-B8B0-47BDB837C8B5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same as natural gas</t>
        </r>
      </text>
    </comment>
    <comment ref="L167" authorId="2" shapeId="0" xr:uid="{D4307D13-DBB0-0E4B-BB20-E0E30A0611ED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198" authorId="2" shapeId="0" xr:uid="{8A7F62D0-7EEC-EA4E-BFFD-0E0213C36757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220" authorId="2" shapeId="0" xr:uid="{E9953333-C64F-C944-82EA-5D8042F3F659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</commentList>
</comments>
</file>

<file path=xl/sharedStrings.xml><?xml version="1.0" encoding="utf-8"?>
<sst xmlns="http://schemas.openxmlformats.org/spreadsheetml/2006/main" count="6795" uniqueCount="1446">
  <si>
    <t>Total Reserves Assumed by New Partnership</t>
  </si>
  <si>
    <t>Outstanding Balances of Project Reserves Held by Seller</t>
  </si>
  <si>
    <t>Estimated Construction Period Cash Flow</t>
  </si>
  <si>
    <t xml:space="preserve"> Estimated Cash Flow During Const</t>
  </si>
  <si>
    <t>Renewable Energy Investment Tax Credits (ITC)</t>
  </si>
  <si>
    <t>Total ITC</t>
  </si>
  <si>
    <t>ITCs Available for Syndication</t>
  </si>
  <si>
    <t>Price Per ITC</t>
  </si>
  <si>
    <t>Total ITC Equity Raised</t>
  </si>
  <si>
    <t>Rebates</t>
  </si>
  <si>
    <t>Lease-up</t>
  </si>
  <si>
    <t>% Land (Appr.)</t>
  </si>
  <si>
    <t>Valuation Cap Rate (%)</t>
  </si>
  <si>
    <t>LP Share of ITC</t>
  </si>
  <si>
    <t>Market Study Market Rent</t>
  </si>
  <si>
    <t>Affordable Rents % of Market Study Market Rent</t>
  </si>
  <si>
    <t>Affordable Rents % of Appraisal Market Rent</t>
  </si>
  <si>
    <t>NET CASH FLOW AFTER DEVELOPER FEE</t>
  </si>
  <si>
    <t>DEFERRED DEVELOPER FEE</t>
  </si>
  <si>
    <t>Proposed Mix</t>
  </si>
  <si>
    <t>Perm Fin Conversion</t>
  </si>
  <si>
    <t>Const Type</t>
  </si>
  <si>
    <t>Renewable Energy Expenditures</t>
  </si>
  <si>
    <t>Energy Efficiency Expenditures</t>
  </si>
  <si>
    <t>Net Acquisition Cost</t>
  </si>
  <si>
    <t xml:space="preserve">  (Less Assumed Reserves)</t>
  </si>
  <si>
    <t>Supportive Housing</t>
  </si>
  <si>
    <t>Depr. Comm</t>
  </si>
  <si>
    <t>as of (date)</t>
  </si>
  <si>
    <t>Explain Disposition of Reserves Upon Acquisition</t>
  </si>
  <si>
    <t>Immediate Capital Needs per PNA</t>
  </si>
  <si>
    <t># Residential Buildings</t>
  </si>
  <si>
    <t># Community Buildings</t>
  </si>
  <si>
    <t>Market</t>
  </si>
  <si>
    <t xml:space="preserve">Market Rate Units </t>
  </si>
  <si>
    <t>SQFT</t>
  </si>
  <si>
    <t>LIHTC Affordability Analysis (excluding manager's unit)</t>
  </si>
  <si>
    <t xml:space="preserve">     By Square Foot</t>
  </si>
  <si>
    <t>Appraisal Market Rent</t>
  </si>
  <si>
    <t>Renewable Energy ITC Eligible</t>
  </si>
  <si>
    <t>5-Year MACRS</t>
  </si>
  <si>
    <t>None</t>
  </si>
  <si>
    <t>Cash Flow</t>
  </si>
  <si>
    <t>Limited Partnership Mgt. Fee</t>
  </si>
  <si>
    <t>$ CF allocated to fee</t>
  </si>
  <si>
    <t xml:space="preserve">  Beginning Balance</t>
  </si>
  <si>
    <t>Appraisal Expenses</t>
  </si>
  <si>
    <t>Appraisal Date</t>
  </si>
  <si>
    <t>Underwritten</t>
  </si>
  <si>
    <t>Year 2</t>
  </si>
  <si>
    <t>Year 3</t>
  </si>
  <si>
    <t>3-Year Avg</t>
  </si>
  <si>
    <t>Rent and Operating Subsidies</t>
  </si>
  <si>
    <t>Manager's unit</t>
  </si>
  <si>
    <t>Ownership &amp; Development Team Information</t>
  </si>
  <si>
    <t>Family</t>
  </si>
  <si>
    <t>Special Needs</t>
  </si>
  <si>
    <t>Partnership Closing</t>
  </si>
  <si>
    <t>Construction Start</t>
  </si>
  <si>
    <t>Physical Needs and Rehab Scope</t>
  </si>
  <si>
    <t>Proposed Rehab Budget (including contractor O&amp;P, P&amp;P bond, insurance &amp; contingency)</t>
  </si>
  <si>
    <t>Items identified by PNA as in poor condition</t>
  </si>
  <si>
    <t>Indicate items identified by PNA as immediate needs that will not be addressed in scope</t>
  </si>
  <si>
    <t>Calculated Annual Rehab/ NC Credit</t>
  </si>
  <si>
    <t xml:space="preserve">        Eligible Rehab/NC Basis</t>
  </si>
  <si>
    <t xml:space="preserve">    Qualified Rehab/NC Basis</t>
  </si>
  <si>
    <t>Total Qualified Basis</t>
  </si>
  <si>
    <t>Rehab/NC</t>
  </si>
  <si>
    <t>Conversion (mos after closing)</t>
  </si>
  <si>
    <t>LIHTC Acquisition</t>
  </si>
  <si>
    <t xml:space="preserve">    LIHTC Rehab/New Construction </t>
  </si>
  <si>
    <t>LIHTC Total</t>
  </si>
  <si>
    <t>Addressed in Scope-of-Work?</t>
  </si>
  <si>
    <t xml:space="preserve">Date of Physical Need Assessment </t>
  </si>
  <si>
    <t>Historic Actuals</t>
  </si>
  <si>
    <t>Marketability</t>
  </si>
  <si>
    <t>Refrigerator</t>
  </si>
  <si>
    <t>Appraised Value</t>
  </si>
  <si>
    <t xml:space="preserve">   Total Gross Potential Residential Rental</t>
  </si>
  <si>
    <t>Maintenance Personnel</t>
  </si>
  <si>
    <t xml:space="preserve">   Total Payroll/Payroll Taxes and Benefits</t>
  </si>
  <si>
    <t>Acquisition Developer Fee</t>
  </si>
  <si>
    <t>Months</t>
  </si>
  <si>
    <t xml:space="preserve">Weighted Average Percent Lease-up </t>
  </si>
  <si>
    <t xml:space="preserve">   Commercial Vacancy Allowance</t>
  </si>
  <si>
    <t>RESERVE CONTRIBUTIONS</t>
  </si>
  <si>
    <t>Replacement Reserve</t>
  </si>
  <si>
    <t>Other Reserve</t>
  </si>
  <si>
    <t>Gross Potential Residential Rental Income</t>
  </si>
  <si>
    <t>Unrestricted Units</t>
  </si>
  <si>
    <r>
      <t xml:space="preserve">Other </t>
    </r>
    <r>
      <rPr>
        <sz val="9"/>
        <rFont val="Calibri"/>
        <family val="2"/>
        <scheme val="minor"/>
      </rPr>
      <t>(explain)</t>
    </r>
  </si>
  <si>
    <t>DEBT SERVICE HARD LOANS</t>
  </si>
  <si>
    <t xml:space="preserve">      Debt Coverage Ratio</t>
  </si>
  <si>
    <t>% Funded During Construction</t>
  </si>
  <si>
    <t>Avail dur const</t>
  </si>
  <si>
    <t>Construction &amp; Bridge Loans</t>
  </si>
  <si>
    <t>Loan Type</t>
  </si>
  <si>
    <t>Amortization of First Loan</t>
  </si>
  <si>
    <t>Principal</t>
  </si>
  <si>
    <t>Interest</t>
  </si>
  <si>
    <t>Monthly Payment</t>
  </si>
  <si>
    <t>Start Date</t>
  </si>
  <si>
    <t>Rate</t>
  </si>
  <si>
    <t xml:space="preserve">Term </t>
  </si>
  <si>
    <t>Period</t>
  </si>
  <si>
    <t>Payment</t>
  </si>
  <si>
    <t>Balance</t>
  </si>
  <si>
    <t>MIP</t>
  </si>
  <si>
    <t>=</t>
  </si>
  <si>
    <t xml:space="preserve">Ending </t>
  </si>
  <si>
    <t>&gt;</t>
  </si>
  <si>
    <t>Year</t>
  </si>
  <si>
    <t>Expense</t>
  </si>
  <si>
    <t>&lt;</t>
  </si>
  <si>
    <t>TOTAL</t>
  </si>
  <si>
    <t>Occupancy at Construction Closing</t>
  </si>
  <si>
    <t>Monthly Lease-up</t>
  </si>
  <si>
    <t>Key Dates</t>
  </si>
  <si>
    <t>Qualified Occupancy</t>
  </si>
  <si>
    <t>Total Units</t>
  </si>
  <si>
    <t>Percent Rented</t>
  </si>
  <si>
    <t>Weighted Average</t>
  </si>
  <si>
    <t>Conversion (mos after closing</t>
  </si>
  <si>
    <t>NET CASH FLOW AFTER HARD LOAN DEBT SERVICE</t>
  </si>
  <si>
    <t>Equity bridge</t>
  </si>
  <si>
    <t>Underwritten Interest Rate</t>
  </si>
  <si>
    <t>CO-GP/MM Name</t>
  </si>
  <si>
    <t>CO-GP/MM</t>
  </si>
  <si>
    <t>Annual Restricted Rents</t>
  </si>
  <si>
    <t>Gross Potential--Rent Restricted Units</t>
  </si>
  <si>
    <t>Residential Project Totals</t>
  </si>
  <si>
    <t xml:space="preserve">      By Unit</t>
  </si>
  <si>
    <t xml:space="preserve">   Total Gross Potential Rent</t>
  </si>
  <si>
    <t xml:space="preserve">   Total  Residential Square Feet</t>
  </si>
  <si>
    <r>
      <t xml:space="preserve">Gross Potential--Other </t>
    </r>
    <r>
      <rPr>
        <sz val="9"/>
        <rFont val="Calibri"/>
        <family val="2"/>
        <scheme val="minor"/>
      </rPr>
      <t>(explain)</t>
    </r>
    <r>
      <rPr>
        <sz val="11"/>
        <rFont val="Calibri"/>
        <family val="2"/>
        <scheme val="minor"/>
      </rPr>
      <t xml:space="preserve"> </t>
    </r>
  </si>
  <si>
    <t>Other Income Residential</t>
  </si>
  <si>
    <t>Parking</t>
  </si>
  <si>
    <t>Residential Vacancy Loss</t>
  </si>
  <si>
    <t xml:space="preserve">   Total Other Income Residential</t>
  </si>
  <si>
    <t>Commercial Rental Income</t>
  </si>
  <si>
    <t xml:space="preserve"> </t>
  </si>
  <si>
    <t xml:space="preserve">Gross Potential Commercial Rental </t>
  </si>
  <si>
    <t>Commercial Vacancy Loss</t>
  </si>
  <si>
    <t>Gross Effective Income</t>
  </si>
  <si>
    <t>Required DSC</t>
  </si>
  <si>
    <t>First Mortgage Lender:</t>
  </si>
  <si>
    <t>Interest Rate</t>
  </si>
  <si>
    <t>Amortization</t>
  </si>
  <si>
    <t>Loan Amount</t>
  </si>
  <si>
    <t>Repayment Obligation</t>
  </si>
  <si>
    <t>Hard</t>
  </si>
  <si>
    <t>Payment Obligation</t>
  </si>
  <si>
    <t>and</t>
  </si>
  <si>
    <t>Amortizing</t>
  </si>
  <si>
    <t>Annual Mandatory Debt  Service</t>
  </si>
  <si>
    <t>SOURCES</t>
  </si>
  <si>
    <t>Construction Loan</t>
  </si>
  <si>
    <t>Interest Income</t>
  </si>
  <si>
    <t>GP Equity</t>
  </si>
  <si>
    <t>TOTAL SOURCES</t>
  </si>
  <si>
    <t>USES</t>
  </si>
  <si>
    <t>Developer Fees / Costs</t>
  </si>
  <si>
    <t>Reserves</t>
  </si>
  <si>
    <t>Construction Period Income</t>
  </si>
  <si>
    <t>-</t>
  </si>
  <si>
    <t>Permanent Sources and Uses</t>
  </si>
  <si>
    <t>Construction Sources and Uses</t>
  </si>
  <si>
    <t>Mortgage Financing and Debt Service Coverage (DSC) Analysis</t>
  </si>
  <si>
    <t>Supportable  Loan</t>
  </si>
  <si>
    <t xml:space="preserve">Hard portion of fee: </t>
  </si>
  <si>
    <t>Gross Potential Commercial Income</t>
  </si>
  <si>
    <t xml:space="preserve">  Gross Effective Income</t>
  </si>
  <si>
    <t>RENTAL INCOME</t>
  </si>
  <si>
    <t>Management Fees</t>
  </si>
  <si>
    <t>Payroll</t>
  </si>
  <si>
    <t>OPERATING EXPENSES</t>
  </si>
  <si>
    <t>Other Expenses</t>
  </si>
  <si>
    <t xml:space="preserve">   Total Operating Expenses</t>
  </si>
  <si>
    <t>Acquisition Costs</t>
  </si>
  <si>
    <t>Non Depreciable (non-acquisition)</t>
  </si>
  <si>
    <t>Amortized</t>
  </si>
  <si>
    <t xml:space="preserve">Commercial </t>
  </si>
  <si>
    <t>Federal Grants</t>
  </si>
  <si>
    <t>Other Ineligible Costs</t>
  </si>
  <si>
    <t xml:space="preserve">Historic Tax Credits </t>
  </si>
  <si>
    <t>DDA/QCT Basis Boost</t>
  </si>
  <si>
    <t>Applicable Fraction</t>
  </si>
  <si>
    <t xml:space="preserve">            Land</t>
  </si>
  <si>
    <t xml:space="preserve">            Other Non-Eligible Costs</t>
  </si>
  <si>
    <t>Total Supportable Tax Credits</t>
  </si>
  <si>
    <t>Credit Surplus (Shortfall)</t>
  </si>
  <si>
    <t>Tax Credit Equity</t>
  </si>
  <si>
    <t>Total LIHTCs</t>
  </si>
  <si>
    <t>LP Share of LIHTC</t>
  </si>
  <si>
    <t>Price Per LIHTC</t>
  </si>
  <si>
    <t>Total LIHTC Equity Raised</t>
  </si>
  <si>
    <t>LIHTCs Available for Syndication</t>
  </si>
  <si>
    <t>Total Tax Credit Investment</t>
  </si>
  <si>
    <t>Reserve Escalation:</t>
  </si>
  <si>
    <t>Revenue Escalation:</t>
  </si>
  <si>
    <t>Expense Escalation:</t>
  </si>
  <si>
    <t>Taxes Escalation:</t>
  </si>
  <si>
    <t>Amount</t>
  </si>
  <si>
    <t>Per unit</t>
  </si>
  <si>
    <t>Administrative Expenses</t>
  </si>
  <si>
    <t>Advertising &amp; Marketing</t>
  </si>
  <si>
    <t>Office Expenses</t>
  </si>
  <si>
    <t xml:space="preserve">Legal </t>
  </si>
  <si>
    <t xml:space="preserve">   Total Administrative</t>
  </si>
  <si>
    <t>Repairs and Maintenance</t>
  </si>
  <si>
    <t>Supplies</t>
  </si>
  <si>
    <t>Redecorating</t>
  </si>
  <si>
    <t>Exterminating</t>
  </si>
  <si>
    <t>Elevators</t>
  </si>
  <si>
    <t>Grounds Maintenance</t>
  </si>
  <si>
    <t xml:space="preserve">   Total Repairs and Maintenance</t>
  </si>
  <si>
    <t>Utilities</t>
  </si>
  <si>
    <t>Other (explain)</t>
  </si>
  <si>
    <t>Property &amp; Liability Insurance</t>
  </si>
  <si>
    <t xml:space="preserve">   Total Taxes and Insurance</t>
  </si>
  <si>
    <t>Total Operating Expenses</t>
  </si>
  <si>
    <t>Accounting/Audit</t>
  </si>
  <si>
    <t>Total Management</t>
  </si>
  <si>
    <t>On-site Manager</t>
  </si>
  <si>
    <t>Leasing Agent</t>
  </si>
  <si>
    <t xml:space="preserve">  Total Utilities</t>
  </si>
  <si>
    <t xml:space="preserve"> Reserves</t>
  </si>
  <si>
    <t xml:space="preserve">   Total Reserves</t>
  </si>
  <si>
    <t>Security</t>
  </si>
  <si>
    <t>Repairs</t>
  </si>
  <si>
    <t>Trash Removal</t>
  </si>
  <si>
    <t xml:space="preserve">   Total Other Expenses</t>
  </si>
  <si>
    <t>Stabilized Operating Expenses</t>
  </si>
  <si>
    <t>Income</t>
  </si>
  <si>
    <t>Gross Potential--Unrestricted Units</t>
  </si>
  <si>
    <t>Utility Allow</t>
  </si>
  <si>
    <t>Unit Mix</t>
  </si>
  <si>
    <t>0br</t>
  </si>
  <si>
    <t>1br</t>
  </si>
  <si>
    <t>2br</t>
  </si>
  <si>
    <t>3br</t>
  </si>
  <si>
    <t>4+br</t>
  </si>
  <si>
    <t>Income Restrictions</t>
  </si>
  <si>
    <t>% AMI</t>
  </si>
  <si>
    <t>Source</t>
  </si>
  <si>
    <t>Term</t>
  </si>
  <si>
    <t>PBV</t>
  </si>
  <si>
    <t>ACC</t>
  </si>
  <si>
    <t>Unrestricted</t>
  </si>
  <si>
    <t>Effective Date</t>
  </si>
  <si>
    <t>Maximum Rents</t>
  </si>
  <si>
    <t>SRO</t>
  </si>
  <si>
    <t>Gas</t>
  </si>
  <si>
    <t>Space Heating</t>
  </si>
  <si>
    <t>Cooking</t>
  </si>
  <si>
    <t>Hot Water</t>
  </si>
  <si>
    <t>Electricity</t>
  </si>
  <si>
    <t>AC</t>
  </si>
  <si>
    <t>Range</t>
  </si>
  <si>
    <t>Rent Restricted Units</t>
  </si>
  <si>
    <t>Max Rents by AMI ($)</t>
  </si>
  <si>
    <t>Household Size  (Persons)</t>
  </si>
  <si>
    <t>Unit Type</t>
  </si>
  <si>
    <t>Water/Sewer</t>
  </si>
  <si>
    <t>Baths</t>
  </si>
  <si>
    <t>subsidy type</t>
  </si>
  <si>
    <t>Project-Based Sec 8</t>
  </si>
  <si>
    <t>NA</t>
  </si>
  <si>
    <t>Projected Rent</t>
  </si>
  <si>
    <t>Annual Project Rent</t>
  </si>
  <si>
    <t>AMI Rent Level</t>
  </si>
  <si>
    <t>Bed-rooms</t>
  </si>
  <si>
    <t>Subsidy Overhang</t>
  </si>
  <si>
    <t>Square Feet</t>
  </si>
  <si>
    <t>Annual  Rent</t>
  </si>
  <si>
    <t>Market Rate Unit Totals</t>
  </si>
  <si>
    <t>Number</t>
  </si>
  <si>
    <t>Percent</t>
  </si>
  <si>
    <t>Project Unit Mix</t>
  </si>
  <si>
    <t>Affordability Analysis</t>
  </si>
  <si>
    <t xml:space="preserve">        Total Development Costs</t>
  </si>
  <si>
    <t xml:space="preserve">        Total Acquisition Costs</t>
  </si>
  <si>
    <t xml:space="preserve">        Less:</t>
  </si>
  <si>
    <t xml:space="preserve">            Federal Grants</t>
  </si>
  <si>
    <t xml:space="preserve">        Eligible Acquisition Basis</t>
  </si>
  <si>
    <t xml:space="preserve">        Applicable Fraction</t>
  </si>
  <si>
    <t xml:space="preserve">        Qualified Acquisition Basis</t>
  </si>
  <si>
    <t xml:space="preserve">        Tax Credit Rate</t>
  </si>
  <si>
    <t>Calculated Acquisition Credit</t>
  </si>
  <si>
    <t>Total Acquisition Credits</t>
  </si>
  <si>
    <t>Total Rehab/NC Credits</t>
  </si>
  <si>
    <t xml:space="preserve">       Calculated State Credit Amount</t>
  </si>
  <si>
    <t xml:space="preserve">       State Credits Allocated</t>
  </si>
  <si>
    <t>Title and Recording</t>
  </si>
  <si>
    <t>TOTAL PERMANENT FINANCING</t>
  </si>
  <si>
    <t>RESERVES</t>
  </si>
  <si>
    <t>Operating Reserve</t>
  </si>
  <si>
    <t>Capitalized Replacement Reserve</t>
  </si>
  <si>
    <t>Appraisal</t>
  </si>
  <si>
    <t>TOTAL RESERVES</t>
  </si>
  <si>
    <t>Consulting Fee</t>
  </si>
  <si>
    <t>TOTAL DEVELOPER COSTS</t>
  </si>
  <si>
    <t>TOTAL PROJECTS COSTS</t>
  </si>
  <si>
    <t>Rent Reserve</t>
  </si>
  <si>
    <t>Other: Explain</t>
  </si>
  <si>
    <t>Acquisition</t>
  </si>
  <si>
    <t xml:space="preserve">Amortized </t>
  </si>
  <si>
    <t>Expensed</t>
  </si>
  <si>
    <t>Non-Dep-reciable</t>
  </si>
  <si>
    <t>% Depr</t>
  </si>
  <si>
    <t>Mortgage Insurance/MIP</t>
  </si>
  <si>
    <t>Developer Legal</t>
  </si>
  <si>
    <t>Construction Lender Legal</t>
  </si>
  <si>
    <t>Taxes and Insurance</t>
  </si>
  <si>
    <t>Tax and Insurance Escrows</t>
  </si>
  <si>
    <t>Project Information</t>
  </si>
  <si>
    <t>Project Name</t>
  </si>
  <si>
    <t>Project Address</t>
  </si>
  <si>
    <t>Rehab Type</t>
  </si>
  <si>
    <t>Moderate Rehab</t>
  </si>
  <si>
    <t>Substantial Rehab</t>
  </si>
  <si>
    <t>New  Const &amp; Rehab</t>
  </si>
  <si>
    <t>Vacant</t>
  </si>
  <si>
    <t>Current Occupancy</t>
  </si>
  <si>
    <t>Occupied</t>
  </si>
  <si>
    <t>Current Occupancy %</t>
  </si>
  <si>
    <t>Partial Occupancy</t>
  </si>
  <si>
    <t>Construction Occupancy</t>
  </si>
  <si>
    <t>Legal Name</t>
  </si>
  <si>
    <t>GP/MM Name</t>
  </si>
  <si>
    <t>yes_no</t>
  </si>
  <si>
    <t>Is GP/MM a Subsidiary of a Non-Profit?</t>
  </si>
  <si>
    <t>LP</t>
  </si>
  <si>
    <t>Other LP</t>
  </si>
  <si>
    <t>GP/MM</t>
  </si>
  <si>
    <t>Site and Buildings</t>
  </si>
  <si>
    <t xml:space="preserve">Site Acreage </t>
  </si>
  <si>
    <t>Ownership Interests (%)</t>
  </si>
  <si>
    <t>Year of Most Recent Rehab</t>
  </si>
  <si>
    <t>Property Manager</t>
  </si>
  <si>
    <t>Developer</t>
  </si>
  <si>
    <t xml:space="preserve">Senior </t>
  </si>
  <si>
    <t>9% Tax Credits</t>
  </si>
  <si>
    <t>Development Costs</t>
  </si>
  <si>
    <t>Total</t>
  </si>
  <si>
    <t>Loan</t>
  </si>
  <si>
    <t>Household Size Income Adjust. Factor</t>
  </si>
  <si>
    <t>TOTAL USES</t>
  </si>
  <si>
    <t>Other</t>
  </si>
  <si>
    <t>Totals</t>
  </si>
  <si>
    <t>No</t>
  </si>
  <si>
    <t>Yes</t>
  </si>
  <si>
    <t>Market Study</t>
  </si>
  <si>
    <t>Affordable Housing Cost As a % of Income</t>
  </si>
  <si>
    <t>No. of Bedrooms</t>
  </si>
  <si>
    <t>Applied to this Project</t>
  </si>
  <si>
    <t xml:space="preserve">Interest </t>
  </si>
  <si>
    <t>Developer Fee</t>
  </si>
  <si>
    <t>Max. Allowed</t>
  </si>
  <si>
    <t>Units</t>
  </si>
  <si>
    <t>Total Adjusted Threshold Basis</t>
  </si>
  <si>
    <t>Per Unit</t>
  </si>
  <si>
    <t>Monthly</t>
  </si>
  <si>
    <t>Payments</t>
  </si>
  <si>
    <t>Net Operating Income</t>
  </si>
  <si>
    <t>Unit Size</t>
  </si>
  <si>
    <t># of Units</t>
  </si>
  <si>
    <t>Manager's Unit</t>
  </si>
  <si>
    <t>Type</t>
  </si>
  <si>
    <t>Contract price: Land + Build</t>
  </si>
  <si>
    <t>% Land</t>
  </si>
  <si>
    <t>Land Acquisition</t>
  </si>
  <si>
    <t>% Buildings Comm</t>
  </si>
  <si>
    <t>% Buildings Res</t>
  </si>
  <si>
    <t>Legal &amp; Broker Fees</t>
  </si>
  <si>
    <t>Relocation</t>
  </si>
  <si>
    <t>Other:</t>
  </si>
  <si>
    <t>Buildings Acquisition</t>
  </si>
  <si>
    <t>% Total</t>
  </si>
  <si>
    <t>Depreciable Residential</t>
  </si>
  <si>
    <t>Off-Site Improvements</t>
  </si>
  <si>
    <t>Structures</t>
  </si>
  <si>
    <t>Contractor Overhead</t>
  </si>
  <si>
    <t>Contractor Profit</t>
  </si>
  <si>
    <t>Payment and Performance Bond</t>
  </si>
  <si>
    <t>Contractor Liability Insurance</t>
  </si>
  <si>
    <t>TOTAL ACQUISITION COSTS</t>
  </si>
  <si>
    <t>Survey</t>
  </si>
  <si>
    <t>Bond Cost of Issuance</t>
  </si>
  <si>
    <t>Real Estate Taxes</t>
  </si>
  <si>
    <t>Closing Costs</t>
  </si>
  <si>
    <t>State Credits</t>
  </si>
  <si>
    <t>Total State Low Income Tax Credits</t>
  </si>
  <si>
    <t>Total State LIHTC</t>
  </si>
  <si>
    <t>LP Share of State LIHTC</t>
  </si>
  <si>
    <t>State LIHTCs Available for Syndication</t>
  </si>
  <si>
    <t>Price Per State LIHTC</t>
  </si>
  <si>
    <t>Total State LIHTC Equity Raised</t>
  </si>
  <si>
    <t>State LIHTCs</t>
  </si>
  <si>
    <t xml:space="preserve">Federal LIHTCs </t>
  </si>
  <si>
    <t>State Low Income Housing Tax Credits</t>
  </si>
  <si>
    <t>Data entry informational, not tied to calculations</t>
  </si>
  <si>
    <t>Bedrooms</t>
  </si>
  <si>
    <t>LP Asset Mgt Fee Escalation:</t>
  </si>
  <si>
    <t>GP Asset Mgt Fee Escalation:</t>
  </si>
  <si>
    <t>Annual</t>
  </si>
  <si>
    <t>Escalation</t>
  </si>
  <si>
    <t>Amortization of Second Loan</t>
  </si>
  <si>
    <t>End Year:</t>
  </si>
  <si>
    <t xml:space="preserve">   Payments</t>
  </si>
  <si>
    <t xml:space="preserve">   Beginning Balance</t>
  </si>
  <si>
    <t xml:space="preserve">   Interest</t>
  </si>
  <si>
    <t xml:space="preserve">   Ending Balance</t>
  </si>
  <si>
    <t>Construction Completion Month #</t>
  </si>
  <si>
    <t>Units Vacated During Construction</t>
  </si>
  <si>
    <t>Units Temporarily Vacated During Construction</t>
  </si>
  <si>
    <t>Units Leased</t>
  </si>
  <si>
    <t>Units Paying Rent</t>
  </si>
  <si>
    <t>Project Info</t>
  </si>
  <si>
    <t>Rents</t>
  </si>
  <si>
    <t>Stabilized Operations and Debts (Including Financing Assumptions)</t>
  </si>
  <si>
    <t>Lease-Up</t>
  </si>
  <si>
    <t>Historical Operations</t>
  </si>
  <si>
    <t>Amortization, Loan 1</t>
  </si>
  <si>
    <t>Amortization, Loan 2</t>
  </si>
  <si>
    <t>Amortization, Loan 3</t>
  </si>
  <si>
    <t>Average Loan Balance</t>
  </si>
  <si>
    <t>Conv. date</t>
  </si>
  <si>
    <t>Gross Potential--Unrestricted Units (Including Manager's)</t>
  </si>
  <si>
    <t>Ann. 9%  Limit:</t>
  </si>
  <si>
    <t>Max. Credits Permitted</t>
  </si>
  <si>
    <t>Year 1</t>
  </si>
  <si>
    <t>Year:</t>
  </si>
  <si>
    <t>Tab</t>
  </si>
  <si>
    <t>Did the appraisal use market or restricted rents to determine value under the income capitalization approach?</t>
  </si>
  <si>
    <t>Capitalized Value Based on Projected NOI</t>
  </si>
  <si>
    <t>Cap Rate:</t>
  </si>
  <si>
    <t>Total Basis Limit</t>
  </si>
  <si>
    <t>Lender Loan 1</t>
  </si>
  <si>
    <t>Lender Loan 2</t>
  </si>
  <si>
    <t>Equal to amount of Perm. First Mortgage Loan</t>
  </si>
  <si>
    <t>Developer Share of RR</t>
  </si>
  <si>
    <t>Monthly Pmt.</t>
  </si>
  <si>
    <t>Year 1 Amount:</t>
  </si>
  <si>
    <t>Social Services Escalation:</t>
  </si>
  <si>
    <t>Net Operating Income Net of Reserves and Social Services</t>
  </si>
  <si>
    <t>Land Lease Payment</t>
  </si>
  <si>
    <t>REFINANCE TEST</t>
  </si>
  <si>
    <t>Summary</t>
  </si>
  <si>
    <t xml:space="preserve">Construction/Perm. Loan </t>
  </si>
  <si>
    <t>Initial Occupancy (PIS)</t>
  </si>
  <si>
    <t>Bank of America</t>
  </si>
  <si>
    <t xml:space="preserve">    Cash Out (Gap)</t>
  </si>
  <si>
    <t xml:space="preserve">    Less:  Subordinate Debt/Equity</t>
  </si>
  <si>
    <t>Total LIHTC Equity</t>
  </si>
  <si>
    <t xml:space="preserve">    Max Loan Based on DSCR</t>
  </si>
  <si>
    <t>Federal Tax Credit Price</t>
  </si>
  <si>
    <t xml:space="preserve">   Debt Coverage Ratio</t>
  </si>
  <si>
    <t xml:space="preserve">   Amortization Period (Years)</t>
  </si>
  <si>
    <t>Tax Credit Rate</t>
  </si>
  <si>
    <t xml:space="preserve">    First Mortgage Interest Rate, Year 15</t>
  </si>
  <si>
    <t>NOI</t>
  </si>
  <si>
    <t>Year 15</t>
  </si>
  <si>
    <t>Federal LIHTC</t>
  </si>
  <si>
    <t>Repairs/Maint</t>
  </si>
  <si>
    <t>Administrative</t>
  </si>
  <si>
    <t>Uses of Funds</t>
  </si>
  <si>
    <t>Constr. Completion</t>
  </si>
  <si>
    <t>AMORT. (YRS)</t>
  </si>
  <si>
    <t>INT. RATE</t>
  </si>
  <si>
    <t>AMOUNT</t>
  </si>
  <si>
    <t xml:space="preserve">PERMANENT  </t>
  </si>
  <si>
    <t>TERM (MOS)</t>
  </si>
  <si>
    <t>CONSTRUCTION</t>
  </si>
  <si>
    <t>Sources of Funds</t>
  </si>
  <si>
    <t>Project Name:</t>
  </si>
  <si>
    <t>Taxes and Insur.</t>
  </si>
  <si>
    <t>Manage. Fees</t>
  </si>
  <si>
    <t>Qualified Acquisition Basis</t>
  </si>
  <si>
    <t>Annual Acquisition Credits</t>
  </si>
  <si>
    <t>Annual Rehabilitation Credits</t>
  </si>
  <si>
    <t>LP Equity</t>
  </si>
  <si>
    <t>Year 15 Refinance Test</t>
  </si>
  <si>
    <t>Gross Rents</t>
  </si>
  <si>
    <t>Rental Subsidy</t>
  </si>
  <si>
    <t>Vacancy</t>
  </si>
  <si>
    <t>Gross Effect. Inc.</t>
  </si>
  <si>
    <t>Oper. Expenses</t>
  </si>
  <si>
    <t>Initial Occup. (PIS)</t>
  </si>
  <si>
    <t>Qualified Occup.</t>
  </si>
  <si>
    <t>Perm Fin. Conversion</t>
  </si>
  <si>
    <t xml:space="preserve">    NOI</t>
  </si>
  <si>
    <t>NOI Year 15</t>
  </si>
  <si>
    <t>Max. Loan</t>
  </si>
  <si>
    <t>Less:  Outst. Sub. Debt</t>
  </si>
  <si>
    <t>Cash Out (Gap)</t>
  </si>
  <si>
    <t>Stab. Net Operating Income</t>
  </si>
  <si>
    <t>Assumed New Int. Rate</t>
  </si>
  <si>
    <t>Assumed New Amort.</t>
  </si>
  <si>
    <t>Assumed New DCR</t>
  </si>
  <si>
    <t>Deferred Costs</t>
  </si>
  <si>
    <t>Other Deferred Costs</t>
  </si>
  <si>
    <t>Costs Deferred Until Conversion</t>
  </si>
  <si>
    <t>(% of Hard Fee)</t>
  </si>
  <si>
    <t>Developer Fee Pay-In Schedule</t>
  </si>
  <si>
    <t>Deferred Developer Fee</t>
  </si>
  <si>
    <t>Land Lease Payment Escalation:</t>
  </si>
  <si>
    <t>HUD Median Income, Alameda Co., Family of 4</t>
  </si>
  <si>
    <t>HUD VLI Limit, Alameda Co., Family of 4</t>
  </si>
  <si>
    <t>Effective Median Income, 100% AMI and Below</t>
  </si>
  <si>
    <t>Payment Standards (Vouchers)</t>
  </si>
  <si>
    <t>Basic/Lighting</t>
  </si>
  <si>
    <t>Garbage</t>
  </si>
  <si>
    <t>SF</t>
  </si>
  <si>
    <t>Square Feet Per Unit</t>
  </si>
  <si>
    <t>Affordable Residential Costs</t>
  </si>
  <si>
    <t>Commercial Costs</t>
  </si>
  <si>
    <t>Market Rate Resid. Costs</t>
  </si>
  <si>
    <t>ACQUISITION COSTS</t>
  </si>
  <si>
    <t>SOFT COSTS</t>
  </si>
  <si>
    <t>Legal</t>
  </si>
  <si>
    <t>Utility Fees</t>
  </si>
  <si>
    <t>Construction Management</t>
  </si>
  <si>
    <t>Title/Recordi./Closing: Constr.</t>
  </si>
  <si>
    <t>Title/Recordi./Closing: Perm.</t>
  </si>
  <si>
    <t>Marketing</t>
  </si>
  <si>
    <t>Prevailing Wage Monitoring</t>
  </si>
  <si>
    <t xml:space="preserve">Other:            </t>
  </si>
  <si>
    <t>TOTAL SOFT COSTS</t>
  </si>
  <si>
    <t>Property Taxes During Construction</t>
  </si>
  <si>
    <t>Insurance During Construction</t>
  </si>
  <si>
    <t>City Loan Fee (2.5% of Current Loan Request)</t>
  </si>
  <si>
    <t>City Loan Fee (2% of Previous Award)</t>
  </si>
  <si>
    <t>City Loan Fee (1% of Previous Award)</t>
  </si>
  <si>
    <t>Construction Loan Interest</t>
  </si>
  <si>
    <t>FINANCING &amp; CARRYINGCOSTS</t>
  </si>
  <si>
    <t>Perm Lender Expenses + Counsel</t>
  </si>
  <si>
    <t>Perm Loan Origination Fee</t>
  </si>
  <si>
    <t>Construction Inspection and Testing</t>
  </si>
  <si>
    <t>TOTAL FINANCING AND CARRY COSTS</t>
  </si>
  <si>
    <t>SYNDICATION COSTS</t>
  </si>
  <si>
    <t>Syndication Legal</t>
  </si>
  <si>
    <t>Syndication Consultant Fees</t>
  </si>
  <si>
    <t>LIHTC Fees</t>
  </si>
  <si>
    <t>Syndication Accounting</t>
  </si>
  <si>
    <t>Architecture/Engineering</t>
  </si>
  <si>
    <t>Construction Bond Premium</t>
  </si>
  <si>
    <t>Construction Testing/Inspection</t>
  </si>
  <si>
    <t>Soils Report/Geological Survey</t>
  </si>
  <si>
    <t>Environmental: Phase I, II, lead, asbestos</t>
  </si>
  <si>
    <t>Environmental Review: CEQA/NEPA</t>
  </si>
  <si>
    <t>HARD CONSTRUCTION COSTS</t>
  </si>
  <si>
    <t>Option Payments/Holding Costs</t>
  </si>
  <si>
    <t>OFFSITE IMPROVE AND RELOCATION COSTS</t>
  </si>
  <si>
    <t>TOTAL PROJECT</t>
  </si>
  <si>
    <t>MARKET RATE RESID</t>
  </si>
  <si>
    <t>AFFORDABLE RESID</t>
  </si>
  <si>
    <t>COMMERCIAL</t>
  </si>
  <si>
    <t>Construction</t>
  </si>
  <si>
    <t>Int. Rate Benchmark/Spread</t>
  </si>
  <si>
    <t xml:space="preserve">Construction/Bridge Loan Interest:  Constr. </t>
  </si>
  <si>
    <t>Construction/Bridge Loan Interest:  Lease-Up</t>
  </si>
  <si>
    <t>Oakland City Loan(s)</t>
  </si>
  <si>
    <t xml:space="preserve">GP Equity </t>
  </si>
  <si>
    <t>Contributed Developer Fee</t>
  </si>
  <si>
    <t>Equity Bridge Financing (Constr.)</t>
  </si>
  <si>
    <t>DEVELOPER FEE</t>
  </si>
  <si>
    <t>Soft Costs</t>
  </si>
  <si>
    <t>Syndication Costs</t>
  </si>
  <si>
    <t>TOTAL HARD COSTS</t>
  </si>
  <si>
    <t>Hard Construction Costs</t>
  </si>
  <si>
    <t>Off-Site Improvements and Relocation</t>
  </si>
  <si>
    <t>TOTAL OFFSITE IMPROVEMENTS AND RELOCATION</t>
  </si>
  <si>
    <t>9% LIHTCs?</t>
  </si>
  <si>
    <t>Financing  and Carry Costs</t>
  </si>
  <si>
    <t>Rental/Interest Income</t>
  </si>
  <si>
    <t>Funding Gap (Surplus)</t>
  </si>
  <si>
    <t>Closing/Construction</t>
  </si>
  <si>
    <t>Conversion/8609</t>
  </si>
  <si>
    <t>Deferred Fee Paid from Cash Flow</t>
  </si>
  <si>
    <t>Contributed as GP Equity</t>
  </si>
  <si>
    <t>Fixed</t>
  </si>
  <si>
    <t xml:space="preserve">     If Fixed, Payment Equals:</t>
  </si>
  <si>
    <t>% of Outstand. Principal Balance</t>
  </si>
  <si>
    <t>Units Leased Per Month</t>
  </si>
  <si>
    <t>Conversion Year</t>
  </si>
  <si>
    <t>Conversion Month</t>
  </si>
  <si>
    <t>Construction Start Year</t>
  </si>
  <si>
    <t>Construction Start Month #</t>
  </si>
  <si>
    <t>Construction Completion Year</t>
  </si>
  <si>
    <t>Initial Occupancy Year</t>
  </si>
  <si>
    <t>Initial Occupancy Month #</t>
  </si>
  <si>
    <t>Total Soft Loan Debt Balance</t>
  </si>
  <si>
    <t>Alameda Co. A1 Monitoring Fee</t>
  </si>
  <si>
    <t>City of Oakland Monitoring Fee</t>
  </si>
  <si>
    <t>Total Manager's Units</t>
  </si>
  <si>
    <t>4+ Bedrooms</t>
  </si>
  <si>
    <t>Lender Loan 3</t>
  </si>
  <si>
    <t>Plus:  Prevailing Wage Boost</t>
  </si>
  <si>
    <t>Plus:  Subterranean Parking Boost</t>
  </si>
  <si>
    <t>Plus:  Day Care Center Boost</t>
  </si>
  <si>
    <t>Plus:  100% Special Needs Boost</t>
  </si>
  <si>
    <t>Plus:  Elevator Boost</t>
  </si>
  <si>
    <t>Adjusted Threshold Basis Limit</t>
  </si>
  <si>
    <t>Qualified Constr./Rehab. Basis</t>
  </si>
  <si>
    <t>Project Financial Analysis Model</t>
  </si>
  <si>
    <t>City of Oakland</t>
  </si>
  <si>
    <t>Amortization of Third Loan</t>
  </si>
  <si>
    <t>Amortization (Months)</t>
  </si>
  <si>
    <t xml:space="preserve">    Less:  Outstanding Amortizing Debt</t>
  </si>
  <si>
    <t>Depreciable</t>
  </si>
  <si>
    <t>PBV Subsidy Contract Rent</t>
  </si>
  <si>
    <t>Net PBV Subsidy Contract Rent</t>
  </si>
  <si>
    <t>Other Subsidy or Projected Rent</t>
  </si>
  <si>
    <t>Max Net Compl. Rent</t>
  </si>
  <si>
    <t>Sources and Uses and Construction Financing Assumptions</t>
  </si>
  <si>
    <t>Source:  Oakland Housing Authority</t>
  </si>
  <si>
    <t>Oakland Housing Authority</t>
  </si>
  <si>
    <t>Special Needs Units</t>
  </si>
  <si>
    <t>Homeless Units</t>
  </si>
  <si>
    <t>Owner Legal</t>
  </si>
  <si>
    <t>Construction Loan Origination Fees</t>
  </si>
  <si>
    <t>Accounting/Tax Prep.</t>
  </si>
  <si>
    <t>Post-Construction Audit/Cost Cert</t>
  </si>
  <si>
    <t xml:space="preserve">    Adjusted Eligible Rehab/NC Basis (Min Elig. Or Basis Limit)</t>
  </si>
  <si>
    <t>Less:  Outst. Amort. Debt</t>
  </si>
  <si>
    <t>Stablized Operations and Debt</t>
  </si>
  <si>
    <t>Tax Credit Analysis</t>
  </si>
  <si>
    <t>Projected Cash Flow</t>
  </si>
  <si>
    <t>Plus:  Project Labor Agreement</t>
  </si>
  <si>
    <t>Plus:  Item e Features</t>
  </si>
  <si>
    <t>Plan Check and Permits</t>
  </si>
  <si>
    <t>Development Impact Fees</t>
  </si>
  <si>
    <t>Plus:  High Opportunity Area</t>
  </si>
  <si>
    <t>% Res:</t>
  </si>
  <si>
    <t>General Conditions (or Total GC Costs)</t>
  </si>
  <si>
    <t xml:space="preserve">Hard Cost Contingency </t>
  </si>
  <si>
    <t xml:space="preserve">Soft Cost Contingency                     </t>
  </si>
  <si>
    <t>Demolition</t>
  </si>
  <si>
    <t>Transition Reserve</t>
  </si>
  <si>
    <t xml:space="preserve">Affordable Residential Vacancy Loss </t>
  </si>
  <si>
    <t xml:space="preserve">    Homeless Units</t>
  </si>
  <si>
    <t xml:space="preserve">    Special Needs Units</t>
  </si>
  <si>
    <t xml:space="preserve">    Other Affordable Units</t>
  </si>
  <si>
    <t>Total SF</t>
  </si>
  <si>
    <t>TC Units</t>
  </si>
  <si>
    <t>Spec. Needs Units</t>
  </si>
  <si>
    <t>Other Rent Restricted Units</t>
  </si>
  <si>
    <t>Annual Homeless Rent</t>
  </si>
  <si>
    <t>PBV Units</t>
  </si>
  <si>
    <t>Special Needs PBV</t>
  </si>
  <si>
    <t>Homeless  PBV</t>
  </si>
  <si>
    <t>Resid. Receipts</t>
  </si>
  <si>
    <t>First Mortgage</t>
  </si>
  <si>
    <t>Subordinate Amortizing/Hard Loans</t>
  </si>
  <si>
    <t>Subordinate Residual Receipts/Deferred Loans</t>
  </si>
  <si>
    <t>Subordinate Lender:</t>
  </si>
  <si>
    <t>% of Res. Receipts:</t>
  </si>
  <si>
    <t xml:space="preserve">Market-Rate Residential Vacancy Loss </t>
  </si>
  <si>
    <t>REPAYMENT OF RESIDUAL RECEIPTS DEBT</t>
  </si>
  <si>
    <t>Deferred</t>
  </si>
  <si>
    <t xml:space="preserve"> Existing Building Information</t>
  </si>
  <si>
    <t xml:space="preserve">  </t>
  </si>
  <si>
    <t>Capital Needs over the Term (current $) per PNA</t>
  </si>
  <si>
    <t xml:space="preserve">Per PNA, required annual reserve to address over-the-term needs for items not addressed in scope-of-work </t>
  </si>
  <si>
    <t>Site Improvements</t>
  </si>
  <si>
    <t>Mandatory Monitoring Fees</t>
  </si>
  <si>
    <t>Subordinate Lender :</t>
  </si>
  <si>
    <t>GP Asset Management Fee</t>
  </si>
  <si>
    <t>4% Tax Credits</t>
  </si>
  <si>
    <t>State Tax Credits</t>
  </si>
  <si>
    <t>Energy ITCs</t>
  </si>
  <si>
    <t>Price Per Credit</t>
  </si>
  <si>
    <t xml:space="preserve">LP Share </t>
  </si>
  <si>
    <t>Deductions from LIHTC Basis</t>
  </si>
  <si>
    <t>Voluntary Reductions</t>
  </si>
  <si>
    <t>Tax Credit Assumptions</t>
  </si>
  <si>
    <t>Current Occup. Units</t>
  </si>
  <si>
    <t>100% Lease-Up</t>
  </si>
  <si>
    <t xml:space="preserve">Total Operating Expenses, Reserves and Soc. Serv. </t>
  </si>
  <si>
    <t>LP Asset Management Fee</t>
  </si>
  <si>
    <t>Years</t>
  </si>
  <si>
    <t>% of Residual Receipts to Developer Fee Until Paid Off</t>
  </si>
  <si>
    <t xml:space="preserve">% of Residual Receipts to Developer </t>
  </si>
  <si>
    <t>Interest Rate on Developer Fee</t>
  </si>
  <si>
    <t>Refinance Test Assumptions</t>
  </si>
  <si>
    <t>First Mortgage Interest Rate, Year 15</t>
  </si>
  <si>
    <t>Amortization Period</t>
  </si>
  <si>
    <t>Debt Coverage Ratio</t>
  </si>
  <si>
    <t>Developer Residual Receipts and Deferred Developer Fee</t>
  </si>
  <si>
    <t>Homeless</t>
  </si>
  <si>
    <t>Population(s) Served</t>
  </si>
  <si>
    <t>Prevailing Wage Boost</t>
  </si>
  <si>
    <t>Project Labor Agreement</t>
  </si>
  <si>
    <t>Subterranean Parking Boost</t>
  </si>
  <si>
    <t>Day Care Center Boost</t>
  </si>
  <si>
    <t>100% Special Needs Boost</t>
  </si>
  <si>
    <t xml:space="preserve"> Item e Features</t>
  </si>
  <si>
    <t>Seismic Upgrade/Env. Remed.</t>
  </si>
  <si>
    <t>Elevator Boost</t>
  </si>
  <si>
    <t>High Opportunity Area</t>
  </si>
  <si>
    <t>Eligible LIHTC Basis Boosts</t>
  </si>
  <si>
    <t>Max. Possible</t>
  </si>
  <si>
    <t>This Project</t>
  </si>
  <si>
    <t>Eligible for  DDA/QCT 130% Basis Boost?</t>
  </si>
  <si>
    <t>Tax-Exempt Bonds?</t>
  </si>
  <si>
    <t xml:space="preserve">Instructions </t>
  </si>
  <si>
    <t>Acquisition Basis</t>
  </si>
  <si>
    <t>Credits Requested (Input If &lt;E46, Otherwise Leave Blank)</t>
  </si>
  <si>
    <t>Federal LIHTCs Requested if Less than Above</t>
  </si>
  <si>
    <t xml:space="preserve">Calculated Maximum Federal LIHTCs </t>
  </si>
  <si>
    <t>NC/Rehab Basis</t>
  </si>
  <si>
    <t xml:space="preserve">Renewable </t>
  </si>
  <si>
    <t>Tax-Exempt Bond 50% Test</t>
  </si>
  <si>
    <t xml:space="preserve">Total Residual Receipts </t>
  </si>
  <si>
    <t>Refinance Test:  Cash Out (Funding Gap)</t>
  </si>
  <si>
    <t>Funding Gap?</t>
  </si>
  <si>
    <t xml:space="preserve"> Thresholds</t>
  </si>
  <si>
    <t>Proposed</t>
  </si>
  <si>
    <t>Occupancy at Closing</t>
  </si>
  <si>
    <t>Units Temp. Vacated During Constr.</t>
  </si>
  <si>
    <t>GP/LP Asset Management Fees</t>
  </si>
  <si>
    <t>Loan Monitoring Fees</t>
  </si>
  <si>
    <t>First Mortgage Loan</t>
  </si>
  <si>
    <t>Refinance 15 Years After Qualified Occupancy</t>
  </si>
  <si>
    <t>Total Residual Receipts Payments</t>
  </si>
  <si>
    <t>% of Net Cash Flow</t>
  </si>
  <si>
    <t>Total Residual Receipts</t>
  </si>
  <si>
    <t xml:space="preserve">    Qualified Occupancy</t>
  </si>
  <si>
    <t xml:space="preserve">   15 Years After Qualified Occupancy</t>
  </si>
  <si>
    <t>Existing Buildings</t>
  </si>
  <si>
    <t>All Projects</t>
  </si>
  <si>
    <t>Sources &amp; Uses</t>
  </si>
  <si>
    <t>Dev. Costs</t>
  </si>
  <si>
    <t>Stabilized Ops. And Debt</t>
  </si>
  <si>
    <r>
      <t xml:space="preserve">Input data into all </t>
    </r>
    <r>
      <rPr>
        <sz val="14"/>
        <color theme="1"/>
        <rFont val="Calibri"/>
        <family val="2"/>
        <scheme val="minor"/>
      </rPr>
      <t>Yellow Shaded Cells in the Above Tabs:</t>
    </r>
  </si>
  <si>
    <t>Actual Amount/Ratio</t>
  </si>
  <si>
    <t>Type of Project:</t>
  </si>
  <si>
    <t>Equals ?</t>
  </si>
  <si>
    <t>Exceeds?</t>
  </si>
  <si>
    <t>Does Not Exceed?</t>
  </si>
  <si>
    <t>Meets Requirement</t>
  </si>
  <si>
    <t>Depreciable Basis</t>
  </si>
  <si>
    <t>Aggregate Basis</t>
  </si>
  <si>
    <t>Tax-Exempt Constr. Debt</t>
  </si>
  <si>
    <t>TE Debt as % of Aggreg. Basis</t>
  </si>
  <si>
    <t>Total Check</t>
  </si>
  <si>
    <t>Plus:  Land Acquisition</t>
  </si>
  <si>
    <t>Bonds As % of Agg. Basis</t>
  </si>
  <si>
    <t>Threshold</t>
  </si>
  <si>
    <t>Site Environmental Remediation</t>
  </si>
  <si>
    <t>NOI Loss w/o Subsidy</t>
  </si>
  <si>
    <t>First Mortg. Loss</t>
  </si>
  <si>
    <t>Monthly:</t>
  </si>
  <si>
    <t>Subordinate Hard Loan</t>
  </si>
  <si>
    <t>Subordinate Soft Loan</t>
  </si>
  <si>
    <t>Explanation if Not Met</t>
  </si>
  <si>
    <t>&gt;20% -30%</t>
  </si>
  <si>
    <t>&gt;50%-60%</t>
  </si>
  <si>
    <t xml:space="preserve">&gt;30%-50% </t>
  </si>
  <si>
    <t>&gt;60%-80%</t>
  </si>
  <si>
    <t>&gt;80-100%</t>
  </si>
  <si>
    <t>&gt;100%-120%</t>
  </si>
  <si>
    <t/>
  </si>
  <si>
    <t>&gt;=20%</t>
  </si>
  <si>
    <t>Committed?</t>
  </si>
  <si>
    <t>Year Built</t>
  </si>
  <si>
    <t>Number of Stories</t>
  </si>
  <si>
    <t>Const Period Occupancy %</t>
  </si>
  <si>
    <t>Populations Served</t>
  </si>
  <si>
    <t>Senior</t>
  </si>
  <si>
    <t>Current*</t>
  </si>
  <si>
    <t>Calculated Credit Amt**</t>
  </si>
  <si>
    <t>Allocation**</t>
  </si>
  <si>
    <t xml:space="preserve">Total </t>
  </si>
  <si>
    <t>Accessible Units</t>
  </si>
  <si>
    <t>Gross Potential--Homeless Units</t>
  </si>
  <si>
    <t>Gross Potential--Special Needs Units</t>
  </si>
  <si>
    <t>Gross Potential--Other Rent Restricted Units</t>
  </si>
  <si>
    <t xml:space="preserve">   Residential Vacancy--Homeless Units</t>
  </si>
  <si>
    <t xml:space="preserve">   Residential Vacancy --Special Needs</t>
  </si>
  <si>
    <t>Gross Potential--Other</t>
  </si>
  <si>
    <t xml:space="preserve">   Residential Vacancy--Other Rent. Restr.</t>
  </si>
  <si>
    <t xml:space="preserve">Gross Potential--PBV Subsidy </t>
  </si>
  <si>
    <t xml:space="preserve">    </t>
  </si>
  <si>
    <t>Median Income, Calculation of Affordable Rents</t>
  </si>
  <si>
    <t xml:space="preserve">Source:  </t>
  </si>
  <si>
    <t>TCAC Minimum Operating Costs</t>
  </si>
  <si>
    <t>At/Risk and Non-Targeted</t>
  </si>
  <si>
    <t>Large Family</t>
  </si>
  <si>
    <t>Elevator</t>
  </si>
  <si>
    <t>Non-Elevator</t>
  </si>
  <si>
    <t>Maximum Operating Cost Thresholds</t>
  </si>
  <si>
    <t>Baseline Multifamily</t>
  </si>
  <si>
    <t>Annual/Periodic Updates</t>
  </si>
  <si>
    <t>Per Bedroom</t>
  </si>
  <si>
    <t>CTCAC Housing Type</t>
  </si>
  <si>
    <t>Select One:</t>
  </si>
  <si>
    <t>Self-Score</t>
  </si>
  <si>
    <t>Tie-Breaker Score</t>
  </si>
  <si>
    <t>THIS SECTION TO BE COMPLETED FOR TAX CREDIT PROJECTS ONLY</t>
  </si>
  <si>
    <t>Elevator or Non-Elevator</t>
  </si>
  <si>
    <t>Operating Cost Per Unit</t>
  </si>
  <si>
    <t xml:space="preserve">   CTCAC Operating Cost Minimum</t>
  </si>
  <si>
    <t xml:space="preserve">   Operating Cost Maximum</t>
  </si>
  <si>
    <t>Development Cost</t>
  </si>
  <si>
    <t>Social Services Coordination</t>
  </si>
  <si>
    <t xml:space="preserve">  TDC Excluding Seller Loan and GP Equity</t>
  </si>
  <si>
    <t>Contingencies</t>
  </si>
  <si>
    <t xml:space="preserve">   Hard Cost Contingency:  Acq./Rehab</t>
  </si>
  <si>
    <t xml:space="preserve">   Hard Cost Contingency:  New Construction</t>
  </si>
  <si>
    <t xml:space="preserve">   Soft Cost Contingency</t>
  </si>
  <si>
    <t xml:space="preserve">   Hard Cost (Total Construction Contract)</t>
  </si>
  <si>
    <t>Total Bedrooms</t>
  </si>
  <si>
    <t>Total BRs</t>
  </si>
  <si>
    <t>Affordable Residential</t>
  </si>
  <si>
    <t>Commercial</t>
  </si>
  <si>
    <t>Total TC SF</t>
  </si>
  <si>
    <t>Unit SF</t>
  </si>
  <si>
    <t xml:space="preserve">    Rent-Restr. Units</t>
  </si>
  <si>
    <t xml:space="preserve">    Manager's Units</t>
  </si>
  <si>
    <t>Market-Rate Residential</t>
  </si>
  <si>
    <t xml:space="preserve">    Common Areas</t>
  </si>
  <si>
    <t>Total Net Building Square Feet</t>
  </si>
  <si>
    <t>Number of Units</t>
  </si>
  <si>
    <t>Affordable Residential Bldg SF</t>
  </si>
  <si>
    <t xml:space="preserve">   TDC (Total Residential Project Costs)</t>
  </si>
  <si>
    <t>Per Net SF</t>
  </si>
  <si>
    <t>Affordable Residential SF</t>
  </si>
  <si>
    <t>Seller Loan for Property Acquisition</t>
  </si>
  <si>
    <t>CTCAC Limit: Contractor Overhead and Profit</t>
  </si>
  <si>
    <t>CTCAC Limit: Developer Fee</t>
  </si>
  <si>
    <t xml:space="preserve">  Total Developer Fee </t>
  </si>
  <si>
    <t xml:space="preserve">   Deferred Fee Paid from Cash Flow</t>
  </si>
  <si>
    <t xml:space="preserve">   Dev. Fee Contributed as GP Equity</t>
  </si>
  <si>
    <t xml:space="preserve">  CTCAC Limit on Total Developer Fee in Tax Credit Basis</t>
  </si>
  <si>
    <t>CTCAC Developer Fee Limits</t>
  </si>
  <si>
    <t>Services and Service Providers</t>
  </si>
  <si>
    <t>Provider</t>
  </si>
  <si>
    <t>FTE</t>
  </si>
  <si>
    <t>Funding Source</t>
  </si>
  <si>
    <t>Annual Funding Amount</t>
  </si>
  <si>
    <t>General Information</t>
  </si>
  <si>
    <t>PHA/Zip Code* Lookup</t>
  </si>
  <si>
    <t>AL001</t>
  </si>
  <si>
    <t>*If zip code is unavailable, choose adjacent zip code.</t>
  </si>
  <si>
    <t>Name of Housing Authority/City</t>
  </si>
  <si>
    <t>State</t>
  </si>
  <si>
    <t>Form Date</t>
  </si>
  <si>
    <t>July 31,2015</t>
  </si>
  <si>
    <t>Include Allowance for Air Conditioning</t>
  </si>
  <si>
    <t>Climate Data (Degree Days)</t>
  </si>
  <si>
    <t>HDD Jan</t>
  </si>
  <si>
    <t>required</t>
  </si>
  <si>
    <t>HDD Feb</t>
  </si>
  <si>
    <t>HDD Mar</t>
  </si>
  <si>
    <t>HDD Apr</t>
  </si>
  <si>
    <t>HDD May</t>
  </si>
  <si>
    <t>HDD Jun</t>
  </si>
  <si>
    <t>HDD Jul</t>
  </si>
  <si>
    <t>HDD Aug</t>
  </si>
  <si>
    <t>HDD Sep</t>
  </si>
  <si>
    <t>HDD Oct</t>
  </si>
  <si>
    <t>HDD Nov</t>
  </si>
  <si>
    <t>HDD Dec</t>
  </si>
  <si>
    <t>HDD Annual</t>
  </si>
  <si>
    <t>CDD Jan</t>
  </si>
  <si>
    <t>CDD Feb</t>
  </si>
  <si>
    <t>CDD Mar</t>
  </si>
  <si>
    <t>CDD Apr</t>
  </si>
  <si>
    <t>CDD May</t>
  </si>
  <si>
    <t>CDD Jun</t>
  </si>
  <si>
    <t>CDD Jul</t>
  </si>
  <si>
    <t>CDD Aug</t>
  </si>
  <si>
    <t>CDD Sep</t>
  </si>
  <si>
    <t>CDD Oct</t>
  </si>
  <si>
    <t>CDD Nov</t>
  </si>
  <si>
    <t>CDD Dec</t>
  </si>
  <si>
    <t>CDD Annual</t>
  </si>
  <si>
    <t>Typical Low Temp</t>
  </si>
  <si>
    <t>Previous</t>
  </si>
  <si>
    <t>Current</t>
  </si>
  <si>
    <t>Change in Tariff</t>
  </si>
  <si>
    <t>Date Entered</t>
  </si>
  <si>
    <t>Standard Electric Utility Tariff</t>
  </si>
  <si>
    <t>Utility Name</t>
  </si>
  <si>
    <t>Rate Name</t>
  </si>
  <si>
    <t>Rate Effective Date</t>
  </si>
  <si>
    <t>First Month of Summer</t>
  </si>
  <si>
    <t>Select January if rate is not seasonal</t>
  </si>
  <si>
    <t>Last Month of Summer</t>
  </si>
  <si>
    <t>Select December if rate is not seasonal</t>
  </si>
  <si>
    <t>Floor</t>
  </si>
  <si>
    <t>Ceiling</t>
  </si>
  <si>
    <t>Monthly Charge</t>
  </si>
  <si>
    <t>$/month</t>
  </si>
  <si>
    <t>Summer</t>
  </si>
  <si>
    <t>Size of First Block</t>
  </si>
  <si>
    <t>kWh</t>
  </si>
  <si>
    <t>Size of Second Block</t>
  </si>
  <si>
    <t>Size of Third Block</t>
  </si>
  <si>
    <t>Size of Fourth Block</t>
  </si>
  <si>
    <t>Cost of First Block</t>
  </si>
  <si>
    <t>$/kWh</t>
  </si>
  <si>
    <t>Cost of Second Block</t>
  </si>
  <si>
    <t>Cost of Third Block</t>
  </si>
  <si>
    <t>Cost of Fourth Block</t>
  </si>
  <si>
    <t>Winter</t>
  </si>
  <si>
    <t>Extra Charges</t>
  </si>
  <si>
    <t>Taxes</t>
  </si>
  <si>
    <t>%</t>
  </si>
  <si>
    <t>Special Electric Heating/All Electric Tariff</t>
  </si>
  <si>
    <t xml:space="preserve">When electric utilities have special discounted tariffs for customers that heat with electricity or </t>
  </si>
  <si>
    <t xml:space="preserve">use only electricity and no other energy source in their homes.  </t>
  </si>
  <si>
    <t>Use Electric Heat Tariff</t>
  </si>
  <si>
    <t>Standard Natural Gas Utility Tariff</t>
  </si>
  <si>
    <t>Measurement Units</t>
  </si>
  <si>
    <t>Fuel Oil Delivery Contract</t>
  </si>
  <si>
    <t>Supplier Name</t>
  </si>
  <si>
    <t>Gallons</t>
  </si>
  <si>
    <t>$/Gallon</t>
  </si>
  <si>
    <t>Liquified Petroleum Gas (LPG) Delivery Contract</t>
  </si>
  <si>
    <t>lbs</t>
  </si>
  <si>
    <t>$/lb</t>
  </si>
  <si>
    <t>Water Supply Tariff</t>
  </si>
  <si>
    <t>Sewer Tariff</t>
  </si>
  <si>
    <t>Sewer Charge Included in Water Tariff</t>
  </si>
  <si>
    <t>Sewer Service Name</t>
  </si>
  <si>
    <t>Trash Collection Fees</t>
  </si>
  <si>
    <t>Studio</t>
  </si>
  <si>
    <t>1 Bedroom</t>
  </si>
  <si>
    <t>2 Bedroom</t>
  </si>
  <si>
    <t>3 Bedroom</t>
  </si>
  <si>
    <t>4 Bedroom</t>
  </si>
  <si>
    <t>5 Bedroom</t>
  </si>
  <si>
    <t>Range/Microwave Fees</t>
  </si>
  <si>
    <t>Refrigerator Fees</t>
  </si>
  <si>
    <t>Other Fees</t>
  </si>
  <si>
    <t>Show</t>
  </si>
  <si>
    <t>NO INPUT NEEDED BELOW THIS POINT</t>
  </si>
  <si>
    <t>Hidden</t>
  </si>
  <si>
    <t>DISPLAYING LISTS - NO INPUT IS NEEDED</t>
  </si>
  <si>
    <t>Month Names for Rate Pull Down Lists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</si>
  <si>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</si>
  <si>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</si>
  <si>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</si>
  <si>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</si>
  <si>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</si>
  <si>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</si>
  <si>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</si>
  <si>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</si>
  <si>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</si>
  <si>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</si>
  <si>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</si>
  <si>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</si>
  <si>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 Measurement Units</t>
  </si>
  <si>
    <t>Therms</t>
  </si>
  <si>
    <t>CCF</t>
  </si>
  <si>
    <t>MCF</t>
  </si>
  <si>
    <t>MMBtu</t>
  </si>
  <si>
    <t>Water and Sewer Measurement Units</t>
  </si>
  <si>
    <t>Cubic Feet</t>
  </si>
  <si>
    <t xml:space="preserve">CALCULATING COST CHANGES - NO INPUT IS NEEDED </t>
  </si>
  <si>
    <t>ELECTRIC</t>
  </si>
  <si>
    <t>Block Size 1 Summer</t>
  </si>
  <si>
    <t>Block Size 2 Summer</t>
  </si>
  <si>
    <t>Block Size 3 Summer</t>
  </si>
  <si>
    <t>Block Size 4 Summer</t>
  </si>
  <si>
    <t>Assumed Total Monthly Use</t>
  </si>
  <si>
    <t>Use in Block 1 Summer</t>
  </si>
  <si>
    <t>Use in Block 2 Summer</t>
  </si>
  <si>
    <t>Use in Block 3 Summer</t>
  </si>
  <si>
    <t>Use in Block 4 Summer</t>
  </si>
  <si>
    <t>Summer Block 1 Cost</t>
  </si>
  <si>
    <t>$</t>
  </si>
  <si>
    <t>Summer Block 2 Cost</t>
  </si>
  <si>
    <t>Summer Block 3 Cost</t>
  </si>
  <si>
    <t>Summer Block 4 Cost</t>
  </si>
  <si>
    <t>Summer Service Charges</t>
  </si>
  <si>
    <t>Summer Extra Charges</t>
  </si>
  <si>
    <t>Summer Subtotal</t>
  </si>
  <si>
    <t>Summer Taxes</t>
  </si>
  <si>
    <t>Summer Total</t>
  </si>
  <si>
    <t>Number of Summer Months</t>
  </si>
  <si>
    <t>Block Size 1 Winter</t>
  </si>
  <si>
    <t>Block Size 2 Winter</t>
  </si>
  <si>
    <t>Block Size 3 Winter</t>
  </si>
  <si>
    <t>Block Size 4 Winter</t>
  </si>
  <si>
    <t>Use in Block 1 Winter</t>
  </si>
  <si>
    <t>Use in Block 2 Winter</t>
  </si>
  <si>
    <t>Use in Block 3 Winter</t>
  </si>
  <si>
    <t>Use in Block 4 Winter</t>
  </si>
  <si>
    <t>Winter Block 1 Cost</t>
  </si>
  <si>
    <t>Winter Block 2 Cost</t>
  </si>
  <si>
    <t>Winter Block 3 Cost</t>
  </si>
  <si>
    <t>Winter Block 4 Cost</t>
  </si>
  <si>
    <t>Number of Winter Months</t>
  </si>
  <si>
    <t>Total Annual Cost</t>
  </si>
  <si>
    <t>Percent Difference</t>
  </si>
  <si>
    <t>NATURAL GAS</t>
  </si>
  <si>
    <t>.</t>
  </si>
  <si>
    <t>Building Characteristics</t>
  </si>
  <si>
    <t>Schedule Type</t>
  </si>
  <si>
    <t>Electric Tariff</t>
  </si>
  <si>
    <t>Green Discount*</t>
  </si>
  <si>
    <t xml:space="preserve">*Choose LEED or ENERGY STAR if the building meets that certification. </t>
  </si>
  <si>
    <t>Choose Significant Green Retrofit if the building had energy saving rehabilitation to any of the following systems in the last 5 years:</t>
  </si>
  <si>
    <t>(1) heating, (2) cooling, (3) lighting, (4) DHW systems, (5) appliances, (6) building envelope, (7) water measures, and/or (8) on-site generation.</t>
  </si>
  <si>
    <t>Print the form shown below for the selected unit type</t>
  </si>
  <si>
    <t>Create copies of this worksheet for other unit types</t>
  </si>
  <si>
    <t>All computations are performed on this worksheet and are located right of column J and below row 70</t>
  </si>
  <si>
    <t>Allowances for</t>
  </si>
  <si>
    <t>U.S. Department of Housing</t>
  </si>
  <si>
    <t>Tenant-Furnished Utilities</t>
  </si>
  <si>
    <t>and Urban Development</t>
  </si>
  <si>
    <t>and Other Services</t>
  </si>
  <si>
    <t>Office of Public and Indian Housing</t>
  </si>
  <si>
    <t>Locality</t>
  </si>
  <si>
    <t>Green Discount</t>
  </si>
  <si>
    <t>Date (mm/dd/yyyy)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</si>
  <si>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</si>
  <si>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</si>
  <si>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</si>
  <si>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</si>
  <si>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</si>
  <si>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</si>
  <si>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</si>
  <si>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</si>
  <si>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a. Natural Gas</t>
  </si>
  <si>
    <t>b. Bottled Gas</t>
  </si>
  <si>
    <t>c. Electric Resistance</t>
  </si>
  <si>
    <t>d. Electric Heat Pump</t>
  </si>
  <si>
    <t>e. Oil / Coal / Other</t>
  </si>
  <si>
    <t>c. Electric</t>
  </si>
  <si>
    <t>d. Other</t>
  </si>
  <si>
    <t>Other Electric</t>
  </si>
  <si>
    <t>Computations - Do Not Modify</t>
  </si>
  <si>
    <t>Air Conditioning</t>
  </si>
  <si>
    <t>Water Heating</t>
  </si>
  <si>
    <t>Monthly Adjustments/Boundaries to be Applied in HUD-52667 form</t>
  </si>
  <si>
    <t>Total By Category</t>
  </si>
  <si>
    <t>Monthly Charge Included?</t>
  </si>
  <si>
    <t>Monthly Adj.</t>
  </si>
  <si>
    <t>Value with Boundary</t>
  </si>
  <si>
    <t>Monthly Adjustment</t>
  </si>
  <si>
    <t>d. Oil / Coal / Other</t>
  </si>
  <si>
    <t>Electric</t>
  </si>
  <si>
    <t>Water</t>
  </si>
  <si>
    <t>Natural Gas</t>
  </si>
  <si>
    <t>Sewer</t>
  </si>
  <si>
    <t>Fuel Oil</t>
  </si>
  <si>
    <t>Trash Collection</t>
  </si>
  <si>
    <t>LPG</t>
  </si>
  <si>
    <t>Range/Microwave</t>
  </si>
  <si>
    <t>Other - specify</t>
  </si>
  <si>
    <r>
      <t>Projected Family Allowances</t>
    </r>
    <r>
      <rPr>
        <sz val="9"/>
        <rFont val="Arial"/>
        <family val="2"/>
      </rPr>
      <t xml:space="preserve">   </t>
    </r>
    <r>
      <rPr>
        <sz val="8"/>
        <rFont val="Arial"/>
        <family val="2"/>
      </rPr>
      <t>To be used to compute specific family allowances.</t>
    </r>
  </si>
  <si>
    <t>Unit size:</t>
  </si>
  <si>
    <t>Fuel Source</t>
  </si>
  <si>
    <t>Monthly Allowance Example</t>
  </si>
  <si>
    <t>fuel source</t>
  </si>
  <si>
    <t>Spreadsheet (ver13) based on form HUD-52667 (12/97).</t>
  </si>
  <si>
    <t>Previous editions are obsolete</t>
  </si>
  <si>
    <t>ref. Handbook 7420.8</t>
  </si>
  <si>
    <t>ALL COMPUTATIONS ARE RIGHT OF COLUMN  J AND BELOW ROW 70</t>
  </si>
  <si>
    <t>Space Heating/Water Heat</t>
  </si>
  <si>
    <t>Cooking Fuel Sources</t>
  </si>
  <si>
    <t>Air Condition/Other Electric</t>
  </si>
  <si>
    <t>Unit sizes</t>
  </si>
  <si>
    <t>water heat</t>
  </si>
  <si>
    <t>ENERGY Savings Adjustment</t>
  </si>
  <si>
    <t>Not Applicable</t>
  </si>
  <si>
    <t>Tenant pays</t>
  </si>
  <si>
    <t>Energy Star</t>
  </si>
  <si>
    <t>Leed</t>
  </si>
  <si>
    <t>Retrofit</t>
  </si>
  <si>
    <t>Selection Key</t>
  </si>
  <si>
    <t>Options</t>
  </si>
  <si>
    <t>Bottled Gas</t>
  </si>
  <si>
    <t>Mobile home</t>
  </si>
  <si>
    <t>Electric Resistance</t>
  </si>
  <si>
    <t>Single family detached</t>
  </si>
  <si>
    <t>ENERGY STAR</t>
  </si>
  <si>
    <t>Electric Heat Pump</t>
  </si>
  <si>
    <t>Single family attached</t>
  </si>
  <si>
    <t>LEED</t>
  </si>
  <si>
    <t>Apartment with 2-4 units</t>
  </si>
  <si>
    <t>Significant Green Retrofit</t>
  </si>
  <si>
    <t>Apartment with 5 or more units</t>
  </si>
  <si>
    <t>Water Consumption Adjustment</t>
  </si>
  <si>
    <t>Bedroom</t>
  </si>
  <si>
    <t>Conversion to Per Person</t>
  </si>
  <si>
    <t>Water Consumption Model</t>
  </si>
  <si>
    <t>Constant</t>
  </si>
  <si>
    <t>Monthly Min Temp</t>
  </si>
  <si>
    <t>Derived Consumption Equations</t>
  </si>
  <si>
    <t>The coefficients in the following table were mainly derived from DOE/EIA Residential Energy Consumption Survey for 1997, 2001, and 2005 databases.  The derivation is not part of this spreadsheet</t>
  </si>
  <si>
    <t>but may be found in the the HUD Utility Model (HUSM) Rebenchmarking report by Riley and Associates Dated June 6, 2013</t>
  </si>
  <si>
    <t>Structure Adjustment (Riley Table 6)</t>
  </si>
  <si>
    <t>Other Electric Adjustment</t>
  </si>
  <si>
    <t>Heat Pump Adjustment to Natural Gas</t>
  </si>
  <si>
    <t>% of natural gas</t>
  </si>
  <si>
    <t>Bedroom Adjustment for Heat Pump</t>
  </si>
  <si>
    <t>1-BR</t>
  </si>
  <si>
    <t>2-BR</t>
  </si>
  <si>
    <t>SF - 3 Bedroom NG for Heat Pump</t>
  </si>
  <si>
    <t>3-BR</t>
  </si>
  <si>
    <t>4-BR</t>
  </si>
  <si>
    <t>5-BR</t>
  </si>
  <si>
    <t>Projected Family Utility Allowance</t>
  </si>
  <si>
    <t>Projected Allowance Schedule</t>
  </si>
  <si>
    <t>Housing</t>
  </si>
  <si>
    <t>Bedroom Coef</t>
  </si>
  <si>
    <t>Adjustment from Natural Gas</t>
  </si>
  <si>
    <t>Added if &gt;=3bedrm</t>
  </si>
  <si>
    <t>Coeff for xDD</t>
  </si>
  <si>
    <t>Coeff for xDD*Bedrooms</t>
  </si>
  <si>
    <t>Coeff for xDD squared</t>
  </si>
  <si>
    <t>Coeff for Bedrooms * xDD^2</t>
  </si>
  <si>
    <t>Coef for Bedroom squared</t>
  </si>
  <si>
    <t>Heating with Natural Gas</t>
  </si>
  <si>
    <t>Mobile</t>
  </si>
  <si>
    <t>kBtu/yr</t>
  </si>
  <si>
    <t>na</t>
  </si>
  <si>
    <t>SF Det</t>
  </si>
  <si>
    <t>SF Att</t>
  </si>
  <si>
    <t>Apt 2-4</t>
  </si>
  <si>
    <t>Apt 5+</t>
  </si>
  <si>
    <t>Heating with Electric Resistance</t>
  </si>
  <si>
    <t>Possible Mistake and also haven't changed since 2012</t>
  </si>
  <si>
    <t>Heating with Electric Heat Pump</t>
  </si>
  <si>
    <t>Note: Mike are your current Heat Pump coefficients changing with HDD … see above</t>
  </si>
  <si>
    <t>No Longer Derived from Heat Pump Adjustment</t>
  </si>
  <si>
    <t>Heating with Fuel Oil</t>
  </si>
  <si>
    <t>0-4</t>
  </si>
  <si>
    <t>Cooking with Natural Gas</t>
  </si>
  <si>
    <t>All</t>
  </si>
  <si>
    <t>Cooking with Electricity</t>
  </si>
  <si>
    <t>Water Heating with Natural Gas</t>
  </si>
  <si>
    <t>No mention of squared Coefficient</t>
  </si>
  <si>
    <t>Water Heating with Electricity</t>
  </si>
  <si>
    <t>Water Heating with Fuel Oil</t>
  </si>
  <si>
    <t>All Water</t>
  </si>
  <si>
    <t>gal/month</t>
  </si>
  <si>
    <t>Outdoor Water</t>
  </si>
  <si>
    <t>No mention in Report</t>
  </si>
  <si>
    <t>Unit Types and Adjustment Factors</t>
  </si>
  <si>
    <t>Unit Types</t>
  </si>
  <si>
    <t>Based on RECS Unit Type</t>
  </si>
  <si>
    <t>RECS Type Number</t>
  </si>
  <si>
    <t>Heat Adj</t>
  </si>
  <si>
    <t>Cook Adj</t>
  </si>
  <si>
    <t>Other Adj</t>
  </si>
  <si>
    <t>A/C Adj</t>
  </si>
  <si>
    <t>Water Heat Adj</t>
  </si>
  <si>
    <t>Cold Water Adj</t>
  </si>
  <si>
    <t>Single Family House</t>
  </si>
  <si>
    <t>Single Family Attached</t>
  </si>
  <si>
    <t>Lowrise Apartment (2 - 4 units)</t>
  </si>
  <si>
    <t>Larger Apartment Bldgs. (5+ units)</t>
  </si>
  <si>
    <t>Manufactured Homes</t>
  </si>
  <si>
    <t>Selected Unit Type</t>
  </si>
  <si>
    <t>UNADJUSTED TABLE FOR SELECTED UNIT TYPE</t>
  </si>
  <si>
    <t>changed in version 09</t>
  </si>
  <si>
    <t>changed in version 13</t>
  </si>
  <si>
    <t>Apply Energy Savings Coefficient Adjustment and Adjustment Factors</t>
  </si>
  <si>
    <t>Green Discount Adjustment (all energy)</t>
  </si>
  <si>
    <t>Fraction</t>
  </si>
  <si>
    <t>Adjustment Factors</t>
  </si>
  <si>
    <t>if HDD &lt;= 150, then no heating allowance</t>
  </si>
  <si>
    <t>changed in version 09,13</t>
  </si>
  <si>
    <t>Consumption Table (kBtu per year)</t>
  </si>
  <si>
    <t>Degree Day Climate Data (annual sum of the degree days for the selected PHA location)</t>
  </si>
  <si>
    <t>Heating</t>
  </si>
  <si>
    <t>HDD65</t>
  </si>
  <si>
    <t>4532 HDD results in multiplier of 1.00 since it has inlet temperature of 60F</t>
  </si>
  <si>
    <t>Cooling</t>
  </si>
  <si>
    <t>CDD65</t>
  </si>
  <si>
    <t>Looks at Location tab, named cell 'monthly_min_temp'</t>
  </si>
  <si>
    <t>Hot Water Heater Adjustment Climate Calculations</t>
  </si>
  <si>
    <t>Inlet water temperature estimate equation</t>
  </si>
  <si>
    <t>HDD65 Coef</t>
  </si>
  <si>
    <t>Equation based on swhVersusTemperature.xls spreadsheet</t>
  </si>
  <si>
    <t>(Riley table 27)</t>
  </si>
  <si>
    <t>Inlet water temperature estimate</t>
  </si>
  <si>
    <t>F</t>
  </si>
  <si>
    <t>Supply water temperature</t>
  </si>
  <si>
    <t>Water Heater DeltaT</t>
  </si>
  <si>
    <t>Nominal Water Heater DeltaT</t>
  </si>
  <si>
    <t>Standard adjustment factor</t>
  </si>
  <si>
    <t>Factor based on experimental results and confirmed by engineering methods.</t>
  </si>
  <si>
    <t>Multiplier for water heater energy because of supply temperature</t>
  </si>
  <si>
    <t>Miscellaneous Adjustments</t>
  </si>
  <si>
    <t>Studio adjustment factor (from 1 bedroom to 0 bedroom)</t>
  </si>
  <si>
    <t>1 Bedrm</t>
  </si>
  <si>
    <t>2 Bedrm</t>
  </si>
  <si>
    <t>3 Bedrm</t>
  </si>
  <si>
    <t>4 Bedrm</t>
  </si>
  <si>
    <t>5 Bedrm</t>
  </si>
  <si>
    <t>PD&amp;R Modified BR differentials</t>
  </si>
  <si>
    <t>Changed with Riley 2014 Update</t>
  </si>
  <si>
    <t>changed in version 10</t>
  </si>
  <si>
    <t>changed in version 03</t>
  </si>
  <si>
    <t>Consumption Table (per month)</t>
  </si>
  <si>
    <t>therms</t>
  </si>
  <si>
    <t>gal</t>
  </si>
  <si>
    <t>Average Consumption Per Month Component Subtotals and Ordering</t>
  </si>
  <si>
    <t>Electric Use</t>
  </si>
  <si>
    <t>Other Electric + Cooking</t>
  </si>
  <si>
    <t>Other Electric + Cooking + Water Heating</t>
  </si>
  <si>
    <t>Other Electric + Cooking + Water Heating + Res. Heat</t>
  </si>
  <si>
    <t>Other Electric + Cooking + Water Heating + Res. Heat + Air Cond.</t>
  </si>
  <si>
    <t>Other Electric + Cooking + Water Heating + Heat Pump</t>
  </si>
  <si>
    <t>Other Electric + Cooking + Water Heating + Heat Pump + Air Cond.</t>
  </si>
  <si>
    <t>Natural Gas Use</t>
  </si>
  <si>
    <t>Cooking + Water Heating</t>
  </si>
  <si>
    <t>Cooking + Water Heating + Space Heating</t>
  </si>
  <si>
    <t>Fuel Oil Use</t>
  </si>
  <si>
    <t>Water Heating + Space Heating</t>
  </si>
  <si>
    <t>Natural Gas Units Conversion</t>
  </si>
  <si>
    <t>Old Units</t>
  </si>
  <si>
    <t>Factor</t>
  </si>
  <si>
    <t>New Units</t>
  </si>
  <si>
    <t>Note: 1 cubic foot is assumed to have 1010 Btu</t>
  </si>
  <si>
    <t>Units used in natural gas tariff</t>
  </si>
  <si>
    <t>Liquified Petroleum Gas Units Conversion</t>
  </si>
  <si>
    <t>Units used in the liquified petroleum gas tariff</t>
  </si>
  <si>
    <t>Btu/lb</t>
  </si>
  <si>
    <t>Note: Higher heating value of propane</t>
  </si>
  <si>
    <t>therms/lb</t>
  </si>
  <si>
    <t>lb/therm</t>
  </si>
  <si>
    <t>Fuel Oil Units Conversion</t>
  </si>
  <si>
    <t>Fuel oil Btu per gallon</t>
  </si>
  <si>
    <t>Btu/gal</t>
  </si>
  <si>
    <t>Water and Sewer Units Conversion</t>
  </si>
  <si>
    <t>Note 1 gallon has 231 cubic inches</t>
  </si>
  <si>
    <t>Units used for water supply</t>
  </si>
  <si>
    <t>Units used for sewer</t>
  </si>
  <si>
    <t>Average Consumption Per Month in Units Used by Tariffs</t>
  </si>
  <si>
    <t>Resistance Space Heating Only</t>
  </si>
  <si>
    <t>Heat Pump Space Heating Only</t>
  </si>
  <si>
    <t>Air Conditioning Only</t>
  </si>
  <si>
    <t>Space Heating Only</t>
  </si>
  <si>
    <t>Liquified Petroleum Gas Use</t>
  </si>
  <si>
    <t>PD&amp;R Change in 2010</t>
  </si>
  <si>
    <t>Tariff Summary</t>
  </si>
  <si>
    <t>Electric Tariff is Special Electric Heating/All Electric Tariff?</t>
  </si>
  <si>
    <t>Parameter</t>
  </si>
  <si>
    <t>Service Charges</t>
  </si>
  <si>
    <t>$/month or $/year</t>
  </si>
  <si>
    <t>$/unit</t>
  </si>
  <si>
    <t>Number of summer months</t>
  </si>
  <si>
    <t>Number of winter months</t>
  </si>
  <si>
    <t>Summer or Annual</t>
  </si>
  <si>
    <t>Size Stated of First Block</t>
  </si>
  <si>
    <t>unit</t>
  </si>
  <si>
    <t>Size Stated of Second Block</t>
  </si>
  <si>
    <t>Size Stated of Third Block</t>
  </si>
  <si>
    <t>Size Stated of Fourth Block</t>
  </si>
  <si>
    <t>Electric Tariff Shown Monthly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</si>
  <si>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</si>
  <si>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</si>
  <si>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</si>
  <si>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</si>
  <si>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</si>
  <si>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</si>
  <si>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</si>
  <si>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</si>
  <si>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</si>
  <si>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</si>
  <si>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</si>
  <si>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 Number</t>
  </si>
  <si>
    <t>Month Considered Summer for Electric Rate</t>
  </si>
  <si>
    <t>Updated 2015-09-21 DK removed service charges; to be applied in HUD-52667 Form worksheet</t>
  </si>
  <si>
    <t>Natural Gas Tariff Shown Monthly</t>
  </si>
  <si>
    <t>Month Considered Summer for Natural Gas Rate</t>
  </si>
  <si>
    <t>Climate Monthly Adjustment</t>
  </si>
  <si>
    <t>Climate</t>
  </si>
  <si>
    <t>Adjusted for Climate</t>
  </si>
  <si>
    <t>HDD</t>
  </si>
  <si>
    <t>CDD</t>
  </si>
  <si>
    <t>Heating Degree Days</t>
  </si>
  <si>
    <t>Cooling Degree Days</t>
  </si>
  <si>
    <t>Heating Monthly Adjustment Factor for Annual Total</t>
  </si>
  <si>
    <t>check if annual HDD &gt; 0 before finding monthly adj factor; if 0, set to 0</t>
  </si>
  <si>
    <t>Cooling Monthly Adjustment Factor for Annual Total</t>
  </si>
  <si>
    <t>Heating Monthly Adjustment Factor for Average Monthly Value</t>
  </si>
  <si>
    <t>Cooling Monthly Adjustment Factor for Average Monthly Value</t>
  </si>
  <si>
    <t>Check on HDD should be zero</t>
  </si>
  <si>
    <t>Check on CDD should be zero</t>
  </si>
  <si>
    <t>Heating and Cooling Monthly Consumptions</t>
  </si>
  <si>
    <t>Use</t>
  </si>
  <si>
    <t>Heating with Liquid Petroleum Gas</t>
  </si>
  <si>
    <t>lb</t>
  </si>
  <si>
    <t>Annual and Monthly Consumptions</t>
  </si>
  <si>
    <t>Annual and Monthly Electric Bill Estimates</t>
  </si>
  <si>
    <t>OTHER ELECTRIC</t>
  </si>
  <si>
    <t>Amount of Use in First Block</t>
  </si>
  <si>
    <t>Amount of Use in Second Block</t>
  </si>
  <si>
    <t>Amount of Use in Third Block</t>
  </si>
  <si>
    <t>Amount of Use in Fourth Block</t>
  </si>
  <si>
    <t>Cost of Use in First Block</t>
  </si>
  <si>
    <t>Cost of Use in Second Block</t>
  </si>
  <si>
    <t>Cost of Use in Third Block</t>
  </si>
  <si>
    <t>Cost of Use in Fourth Block</t>
  </si>
  <si>
    <t>Subtotal</t>
  </si>
  <si>
    <t>Total Cost</t>
  </si>
  <si>
    <t>OTHER ELECTRIC + COOKING</t>
  </si>
  <si>
    <t>Incremental Cost</t>
  </si>
  <si>
    <t>OTHER ELECTRIC + COOKING + WATER HEATING</t>
  </si>
  <si>
    <t>OTHER ELECTRIC + COOKING + WATER HEATING + RESISTANCE HEATING</t>
  </si>
  <si>
    <t>OTHER ELECTRIC + COOKING + WATER HEATING + RESISTANCE HEATING + AIR CONDITIONING</t>
  </si>
  <si>
    <t>OTHER ELECTRIC + COOKING + WATER HEATING + HEAT PUMP HEATING</t>
  </si>
  <si>
    <t>OTHER ELECTRIC + COOKING + WATER HEATING + HEAT PUMP HEATING + AIR CONDITIONING</t>
  </si>
  <si>
    <t>Annual and Monthly Natural Gas Bill Estimates</t>
  </si>
  <si>
    <t>COOKING</t>
  </si>
  <si>
    <t>COOKING + WATER HEATING</t>
  </si>
  <si>
    <t>COOKING + WATER HEATING + SPACE HEATING</t>
  </si>
  <si>
    <t>Annual and Monthly Liquified Petroleum Gas Bill Estimates</t>
  </si>
  <si>
    <t>Annual and Monthly Fuel Oil Bill Estimates</t>
  </si>
  <si>
    <t>WATER HEATING</t>
  </si>
  <si>
    <t>WATER HEATING + SPACE HEATING</t>
  </si>
  <si>
    <t>Annual and Monthly Water Bill Estimates</t>
  </si>
  <si>
    <t>Annual and Monthly Sewer Bill Estimates</t>
  </si>
  <si>
    <t>Average Cost Per Month</t>
  </si>
  <si>
    <t>Check Totals (Should be Zero)</t>
  </si>
  <si>
    <t xml:space="preserve">Natural Gas </t>
  </si>
  <si>
    <t>Liquid Petroleum Gas</t>
  </si>
  <si>
    <t>Non-Energy Related Expenses</t>
  </si>
  <si>
    <t>Other-specify</t>
  </si>
  <si>
    <t>Energy Related Expense Summary</t>
  </si>
  <si>
    <t>Heat - Hot Water - Cooking</t>
  </si>
  <si>
    <t>In Rent - In Rent - Natural Gas</t>
  </si>
  <si>
    <t>In Rent - In Rent - Bottle Gas</t>
  </si>
  <si>
    <t>In Rent - In Rent - Electric</t>
  </si>
  <si>
    <t>In Rent - Natural Gas - Natural Gas</t>
  </si>
  <si>
    <t>In Rent - Natural Gas - Electric</t>
  </si>
  <si>
    <t>In Rent - Bottle Gas - Bottle Gas</t>
  </si>
  <si>
    <t>In Rent - Bottle Gas - Electric</t>
  </si>
  <si>
    <t>In Rent - Electric - Natural Gas</t>
  </si>
  <si>
    <t>In Rent - Electric - Bottle Gas</t>
  </si>
  <si>
    <t>In Rent - Electric - Electric</t>
  </si>
  <si>
    <t>Natural Gas - In Rent - Natural Gas</t>
  </si>
  <si>
    <t>Natural Gas - In Rent - Electric</t>
  </si>
  <si>
    <t>Natural Gas - Natural Gas - Natural Gas</t>
  </si>
  <si>
    <t>Natural Gas - Natural Gas - Electric</t>
  </si>
  <si>
    <t>Natural Gas - Electric - Natural Gas</t>
  </si>
  <si>
    <t>Natural Gas - Electric - Electric</t>
  </si>
  <si>
    <t>Bottle Gas - In Rent - Bottle Gas</t>
  </si>
  <si>
    <t>Bottle Gas - In Rent - Electric</t>
  </si>
  <si>
    <t>Bottle Gas - Bottle Gas - Bottle Gas</t>
  </si>
  <si>
    <t>Bottle Gas - Bottle Gas - Electric</t>
  </si>
  <si>
    <t>Bottle Gas - Electric - Bottle Gas</t>
  </si>
  <si>
    <t>Bottle Gas - Electric - Electric</t>
  </si>
  <si>
    <t>Electric - In Rent - Natural Gas</t>
  </si>
  <si>
    <t>Electric - In Rent - Bottle Gas</t>
  </si>
  <si>
    <t>Electric - In Rent - Electric</t>
  </si>
  <si>
    <t>Electric - Natural Gas - Natural Gas</t>
  </si>
  <si>
    <t>Electric - Natural Gas - Electric</t>
  </si>
  <si>
    <t>Electric - Bottle Gas - Bottle Gas</t>
  </si>
  <si>
    <t>Electric - Bottle Gas - Electric</t>
  </si>
  <si>
    <t>Electric - Electric - Natural Gas</t>
  </si>
  <si>
    <t>Electric - Electric - Bottle Gas</t>
  </si>
  <si>
    <t>Electric - Electric - Electric</t>
  </si>
  <si>
    <t>Non-Energy Related Expense Summary</t>
  </si>
  <si>
    <t>Water/Sewer - Trash - Range - Refrigerator</t>
  </si>
  <si>
    <t>In Rent - In Rent - In Rent - In Rent</t>
  </si>
  <si>
    <t>In Rent - In Rent - In Rent - Occupant</t>
  </si>
  <si>
    <t>In Rent - In Rent - Occupant - In Rent</t>
  </si>
  <si>
    <t>In Rent - In Rent - Occupant - Occupant</t>
  </si>
  <si>
    <t>In Rent - Occupant - In Rent - In Rent</t>
  </si>
  <si>
    <t>In Rent - Occupant - In Rent - Occupant</t>
  </si>
  <si>
    <t>In Rent - Occupant - Occupant - In Rent</t>
  </si>
  <si>
    <t>In Rent - Occupant - Occupant - Occupant</t>
  </si>
  <si>
    <t>Occupant - In Rent - In Rent - In Rent</t>
  </si>
  <si>
    <t>Occupant - In Rent - In Rent - Occupant</t>
  </si>
  <si>
    <t>Occupant - In Rent - Occupant - In Rent</t>
  </si>
  <si>
    <t>Occupant - In Rent - Occupant - Occupant</t>
  </si>
  <si>
    <t>Occupant - Occupant - In Rent - In Rent</t>
  </si>
  <si>
    <t>Occupant - Occupant - In Rent - Occupant</t>
  </si>
  <si>
    <t>Occupant - Occupant - Occupant - In Rent</t>
  </si>
  <si>
    <t>Occupant - Occupant - Occupant - Occupant</t>
  </si>
  <si>
    <t>Projected Family Allowances   To be used to compute specific family allowances.</t>
  </si>
  <si>
    <t>Monthly Allowance</t>
  </si>
  <si>
    <t>The schedule above has allocated any monthly fees from tariffs into the 1st instance they are selected in the Building Characteristics sheet.</t>
  </si>
  <si>
    <t>Note: If no utility has been selected monthly allowances can be found in space heating. (For an electric heat source, it is in Electric Resistance.)</t>
  </si>
  <si>
    <t>Be sure to apply monthly fees correctly to allowances with a different utility profile!</t>
  </si>
  <si>
    <t>HUD Utility Model:  Location</t>
  </si>
  <si>
    <t>HUD Utility Model: Tariffs</t>
  </si>
  <si>
    <t>HUD Utility Model:  Building Characteristics</t>
  </si>
  <si>
    <t>HUD Utility Model:  Form 52667</t>
  </si>
  <si>
    <r>
      <t xml:space="preserve">2. Input data into the HUD Utility Allowance Model  in the following </t>
    </r>
    <r>
      <rPr>
        <sz val="14"/>
        <color rgb="FF7030A0"/>
        <rFont val="Calibri (Body)"/>
      </rPr>
      <t>Purple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Tabs:</t>
    </r>
  </si>
  <si>
    <t>***Enter total monthly utility allowance from HUD-52667 Form</t>
  </si>
  <si>
    <t>Total Monthly Utility Allowance***</t>
  </si>
  <si>
    <t>**Enter annual amounts for 9%,  4% credits and State tax credits; total amounts for ITCs and Historic Credits</t>
  </si>
  <si>
    <t>Maximum Rents and Payment Standards</t>
  </si>
  <si>
    <t>Location</t>
  </si>
  <si>
    <t>Tariffs</t>
  </si>
  <si>
    <t>Acquisition/RehabilitationProjects Only</t>
  </si>
  <si>
    <t xml:space="preserve"> TOTAL EXPENSES AND RESERVES</t>
  </si>
  <si>
    <t>Social Service Coordination</t>
  </si>
  <si>
    <t>check</t>
  </si>
  <si>
    <t>TOTAL OPERATING EXPENSES</t>
  </si>
  <si>
    <t>Tax Credit Basis Limits and Boosts</t>
  </si>
  <si>
    <t>Basis Boosts</t>
  </si>
  <si>
    <t>Plus:  Seismic Upgrade/Env. Remed.</t>
  </si>
  <si>
    <t>Plus:  Development Impact Fees (Actual Fee Amount)</t>
  </si>
  <si>
    <t>Basis Limits</t>
  </si>
  <si>
    <t>Total Limit</t>
  </si>
  <si>
    <t>Total Boost</t>
  </si>
  <si>
    <t>Data entry required and tied to calculations</t>
  </si>
  <si>
    <t>https://www.huduser.gov/portal/sites/default/files/xls/Utility_Model-Ver13i_813_Summit-Updated.xlsm</t>
  </si>
  <si>
    <t>Home-less Units</t>
  </si>
  <si>
    <t>NOTE:  If the links to the HUD Model do not update, use the following link to access the model and input the results in Project Info where noted:</t>
  </si>
  <si>
    <t>Transition Age Youth Units</t>
  </si>
  <si>
    <t>TAY Units</t>
  </si>
  <si>
    <t>Max. Compliance Rent Before UAs</t>
  </si>
  <si>
    <t>Spec. Needs Rent</t>
  </si>
  <si>
    <t>TAY Unit Rents</t>
  </si>
  <si>
    <t>Other Restr Rents</t>
  </si>
  <si>
    <t>TAY PBV</t>
  </si>
  <si>
    <t>Other PBV</t>
  </si>
  <si>
    <t>PBV Rent Subsidy Units</t>
  </si>
  <si>
    <t>Tax Credit Units</t>
  </si>
  <si>
    <t>PBV Subsidy Overhang</t>
  </si>
  <si>
    <t>Gross Potential--Transition Age Youth Units</t>
  </si>
  <si>
    <t xml:space="preserve">    Transition Age Youth</t>
  </si>
  <si>
    <t xml:space="preserve">   Residential Vacancy --TAY Units</t>
  </si>
  <si>
    <t>SOCIAL SERVICE COORDINATOR</t>
  </si>
  <si>
    <t>% Units</t>
  </si>
  <si>
    <t>New Const</t>
  </si>
  <si>
    <t>TCAC Maximum 9% Tax Credit Allocation</t>
  </si>
  <si>
    <t>Max. Annual Credits</t>
  </si>
  <si>
    <t>Annual HCD Updates</t>
  </si>
  <si>
    <t>Instructions</t>
  </si>
  <si>
    <t>Thresholds</t>
  </si>
  <si>
    <t xml:space="preserve">Sources and Uses </t>
  </si>
  <si>
    <t>New Construction and Acquisition Rehabilitation</t>
  </si>
  <si>
    <r>
      <t xml:space="preserve">1.  Input data ONLY into the following </t>
    </r>
    <r>
      <rPr>
        <sz val="14"/>
        <color rgb="FF00B050"/>
        <rFont val="Calibri (Body)"/>
      </rPr>
      <t>Green</t>
    </r>
    <r>
      <rPr>
        <sz val="14"/>
        <rFont val="Calibri"/>
        <family val="2"/>
        <scheme val="minor"/>
      </rPr>
      <t xml:space="preserve"> Tabs:</t>
    </r>
  </si>
  <si>
    <t xml:space="preserve">the Thresholds Tab. </t>
  </si>
  <si>
    <t>DO NOT input data into the Yellow Shaded Cells in the Annual HCD Updates Tab or in</t>
  </si>
  <si>
    <t>Meets or Exceeds?</t>
  </si>
  <si>
    <t xml:space="preserve">Spec. Needs </t>
  </si>
  <si>
    <t>Constr. Period (Mos.)</t>
  </si>
  <si>
    <t>Stabiliz. Period (Mos.)</t>
  </si>
  <si>
    <t>*Current column only applies to currently income-restricted projects.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</si>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</sst>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0.0%"/>
    <numFmt numFmtId="169" formatCode="&quot;$&quot;#,##0"/>
    <numFmt numFmtId="170" formatCode="0%\ &quot;of Median&quot;"/>
    <numFmt numFmtId="171" formatCode="0.0\ &quot;Persons&quot;"/>
    <numFmt numFmtId="172" formatCode="0\ &quot;Months&quot;"/>
    <numFmt numFmtId="173" formatCode="0\ &quot;years&quot;"/>
    <numFmt numFmtId="174" formatCode="&quot;(&quot;0%\ &quot;Resid.)&quot;"/>
    <numFmt numFmtId="175" formatCode="0\ &quot;Spaces&quot;"/>
    <numFmt numFmtId="176" formatCode="0\ &quot;Bedrooms&quot;"/>
    <numFmt numFmtId="177" formatCode="0\ &quot;Bedroom&quot;"/>
    <numFmt numFmtId="178" formatCode="&quot;$&quot;#,##0&quot;/unit/mo.&quot;"/>
    <numFmt numFmtId="179" formatCode="0\ &quot;Months Oper&quot;"/>
    <numFmt numFmtId="180" formatCode="mmmm\ d\,\ yyyy"/>
    <numFmt numFmtId="181" formatCode="0.000"/>
    <numFmt numFmtId="182" formatCode="0.000%"/>
    <numFmt numFmtId="183" formatCode="&quot;$&quot;#,##0\ &quot;/Unit&quot;"/>
    <numFmt numFmtId="184" formatCode="0.0%\ &quot;of Units&quot;"/>
    <numFmt numFmtId="185" formatCode="&quot;$&quot;#,##0&quot;/Mo.&quot;"/>
    <numFmt numFmtId="186" formatCode="&quot;$&quot;#,##0\ \ &quot;hh&quot;"/>
    <numFmt numFmtId="187" formatCode="_(* #,##0_);_(* \(#,##0\);_(* &quot;-&quot;??_);_(@_)"/>
    <numFmt numFmtId="188" formatCode="0.00%\ &quot;of hard costs&quot;"/>
    <numFmt numFmtId="189" formatCode="&quot;$&quot;0.0\ &quot;Per Net SF&quot;"/>
    <numFmt numFmtId="190" formatCode="&quot;$&quot;#,##0\ &quot; Per household&quot;"/>
    <numFmt numFmtId="191" formatCode="&quot;$&quot;0.0\ &quot;Per SF Site&quot;"/>
    <numFmt numFmtId="192" formatCode="_(&quot;$&quot;* #,##0_);_(&quot;$&quot;* \(#,##0\);_(&quot;$&quot;* &quot;-&quot;??_);_(@_)"/>
    <numFmt numFmtId="193" formatCode="#,##0.0"/>
    <numFmt numFmtId="194" formatCode="0.00_);[Red]\(0.00\)"/>
    <numFmt numFmtId="195" formatCode="0.000_)"/>
    <numFmt numFmtId="196" formatCode="&quot;$&quot;#,##0\ ;\(&quot;$&quot;#,##0\)"/>
    <numFmt numFmtId="197" formatCode="&quot;$&quot;#,##0\ ;[Red]\(&quot;$&quot;#,##0\)"/>
    <numFmt numFmtId="198" formatCode="&quot;$&quot;#,##0.00\ ;[Red]\(&quot;$&quot;#,##0.00\)"/>
    <numFmt numFmtId="199" formatCode="_ * #,##0_ ;_ * \-#,##0_ ;_ * &quot;-&quot;_ ;_ @_ "/>
    <numFmt numFmtId="200" formatCode="0\ &quot;BR&quot;"/>
    <numFmt numFmtId="201" formatCode="0%\ &quot;AMI&quot;"/>
    <numFmt numFmtId="202" formatCode="_([$€-2]* #,##0.00_);_([$€-2]* \(#,##0.00\);_([$€-2]* &quot;-&quot;??_)"/>
    <numFmt numFmtId="203" formatCode="#,##0.000_);\(#,##0.000\)"/>
    <numFmt numFmtId="204" formatCode="0.00\ &quot; DCR&quot;"/>
    <numFmt numFmtId="205" formatCode="0.00%\ &quot;Esc&quot;"/>
    <numFmt numFmtId="206" formatCode="[$-409]mmm\-yy;@"/>
    <numFmt numFmtId="207" formatCode="0\ &quot;Years&quot;"/>
    <numFmt numFmtId="208" formatCode="&quot;$&quot;#,##0\ &quot;/Unit/Year&quot;"/>
    <numFmt numFmtId="209" formatCode="&quot;Year&quot;\ 0"/>
    <numFmt numFmtId="210" formatCode="&quot;Table&quot;\ 0"/>
    <numFmt numFmtId="211" formatCode="_(* #,##0.00%\);_(* \(#,##0.00%\);_(* &quot;-&quot;?_);_(@_)"/>
    <numFmt numFmtId="212" formatCode="&quot;$&quot;#,##0.00"/>
    <numFmt numFmtId="213" formatCode="0.00%\ &quot;of constr loan&quot;"/>
    <numFmt numFmtId="214" formatCode="0.00%\ &quot;of 1st mortg loan&quot;"/>
    <numFmt numFmtId="215" formatCode="0\ &quot;Mos.&quot;"/>
    <numFmt numFmtId="216" formatCode="0_);\(0\)"/>
    <numFmt numFmtId="217" formatCode="_(* #,##0.00%_);_(* \(#,##0.00%\);_(* &quot;-&quot;?_);_(@_)"/>
    <numFmt numFmtId="218" formatCode="_(* #,##0._);_(* \(#,##0.\);_(* &quot;-&quot;??_);_(@_)"/>
    <numFmt numFmtId="219" formatCode="0.00%\ &quot;of soft costs&quot;"/>
    <numFmt numFmtId="220" formatCode="00000"/>
    <numFmt numFmtId="221" formatCode="[$-409]mmmm\ d\,\ yyyy;@"/>
    <numFmt numFmtId="222" formatCode="0.0000"/>
    <numFmt numFmtId="223" formatCode="0.00000"/>
    <numFmt numFmtId="224" formatCode="0.00000000"/>
    <numFmt numFmtId="225" formatCode="0.000000"/>
  </numFmts>
  <fonts count="120">
    <font>
      <sz val="12"/>
      <name val="Optima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0"/>
      <name val="Optima"/>
      <family val="2"/>
    </font>
    <font>
      <sz val="12"/>
      <name val="Optima"/>
      <family val="2"/>
    </font>
    <font>
      <sz val="12"/>
      <name val="Optima"/>
      <family val="2"/>
    </font>
    <font>
      <b/>
      <sz val="12"/>
      <name val="Optima"/>
      <family val="2"/>
    </font>
    <font>
      <sz val="12"/>
      <name val="Optima"/>
      <family val="2"/>
    </font>
    <font>
      <sz val="12"/>
      <name val="Optima"/>
      <family val="2"/>
    </font>
    <font>
      <u/>
      <sz val="12"/>
      <name val="Optima"/>
      <family val="2"/>
    </font>
    <font>
      <sz val="8"/>
      <name val="Verdana"/>
      <family val="2"/>
    </font>
    <font>
      <b/>
      <sz val="16"/>
      <name val="Optima"/>
      <family val="2"/>
    </font>
    <font>
      <sz val="8"/>
      <name val="Optima"/>
      <family val="2"/>
    </font>
    <font>
      <sz val="11"/>
      <color rgb="FF9C0006"/>
      <name val="Calibri"/>
      <family val="2"/>
      <scheme val="minor"/>
    </font>
    <font>
      <sz val="12"/>
      <color indexed="10"/>
      <name val="Opti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color indexed="12"/>
      <name val="Optima"/>
      <family val="2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 MT"/>
    </font>
    <font>
      <sz val="11"/>
      <name val="Tms Rmn"/>
      <family val="1"/>
    </font>
    <font>
      <sz val="12"/>
      <color indexed="8"/>
      <name val="Times New Roman"/>
      <family val="1"/>
    </font>
    <font>
      <sz val="12"/>
      <name val="Helv"/>
    </font>
    <font>
      <sz val="8"/>
      <name val="Arial"/>
      <family val="2"/>
    </font>
    <font>
      <b/>
      <sz val="12"/>
      <name val="Arial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sz val="12"/>
      <color indexed="9"/>
      <name val="Helv"/>
    </font>
    <font>
      <sz val="12"/>
      <color indexed="12"/>
      <name val="Helv"/>
    </font>
    <font>
      <sz val="12"/>
      <color indexed="13"/>
      <name val="Helv"/>
    </font>
    <font>
      <sz val="12"/>
      <color indexed="17"/>
      <name val="Helv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Courier"/>
      <family val="3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color indexed="12"/>
      <name val="Geneva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Optima"/>
      <family val="2"/>
    </font>
    <font>
      <b/>
      <u val="doubleAccounting"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10"/>
      <color indexed="12"/>
      <name val="Times New Roman"/>
      <family val="1"/>
    </font>
    <font>
      <b/>
      <u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Optima"/>
      <family val="2"/>
    </font>
    <font>
      <sz val="26"/>
      <name val="Verdana"/>
      <family val="2"/>
    </font>
    <font>
      <b/>
      <sz val="11"/>
      <name val="Calibri (Body)"/>
    </font>
    <font>
      <sz val="11"/>
      <name val="Calibri (Body)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7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sz val="14"/>
      <color rgb="FF00B050"/>
      <name val="Calibri (Body)"/>
    </font>
    <font>
      <sz val="14"/>
      <color rgb="FF7030A0"/>
      <name val="Calibri (Body)"/>
    </font>
    <font>
      <sz val="14"/>
      <color rgb="FF7030A0"/>
      <name val="Calibri"/>
      <family val="2"/>
      <scheme val="minor"/>
    </font>
    <font>
      <b/>
      <sz val="12"/>
      <color rgb="FF00B0F0"/>
      <name val="Optima"/>
      <family val="2"/>
    </font>
    <font>
      <b/>
      <sz val="12"/>
      <color rgb="FF0070C0"/>
      <name val="Optima"/>
      <family val="2"/>
    </font>
    <font>
      <b/>
      <sz val="12"/>
      <color rgb="FF00B050"/>
      <name val="Optima"/>
      <family val="2"/>
    </font>
    <font>
      <b/>
      <sz val="12"/>
      <color rgb="FF7030A0"/>
      <name val="Optima"/>
      <family val="2"/>
    </font>
    <font>
      <b/>
      <sz val="12"/>
      <color rgb="FFFF0000"/>
      <name val="Optima"/>
      <family val="2"/>
    </font>
    <font>
      <b/>
      <sz val="12"/>
      <color theme="9" tint="-0.249977111117893"/>
      <name val="Optima"/>
      <family val="2"/>
    </font>
    <font>
      <b/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/>
      <bottom style="thin">
        <color indexed="62"/>
      </bottom>
      <diagonal/>
    </border>
  </borders>
  <cellStyleXfs count="121">
    <xf numFmtId="0" fontId="0" fillId="0" borderId="0"/>
    <xf numFmtId="5" fontId="4" fillId="2" borderId="0">
      <alignment horizontal="right"/>
    </xf>
    <xf numFmtId="5" fontId="4" fillId="3" borderId="0">
      <alignment horizontal="right"/>
    </xf>
    <xf numFmtId="5" fontId="4" fillId="4" borderId="0">
      <alignment horizontal="right"/>
    </xf>
    <xf numFmtId="0" fontId="13" fillId="5" borderId="0" applyNumberFormat="0" applyBorder="0" applyAlignment="0" applyProtection="0"/>
    <xf numFmtId="8" fontId="2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1" applyNumberFormat="0" applyFill="0" applyAlignment="0" applyProtection="0"/>
    <xf numFmtId="19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3" fontId="35" fillId="0" borderId="0" applyFont="0" applyFill="0" applyBorder="0" applyAlignment="0" applyProtection="0"/>
    <xf numFmtId="44" fontId="30" fillId="0" borderId="0" applyFont="0" applyFill="0" applyBorder="0" applyAlignment="0" applyProtection="0"/>
    <xf numFmtId="196" fontId="35" fillId="0" borderId="0" applyFont="0" applyFill="0" applyBorder="0" applyAlignment="0" applyProtection="0"/>
    <xf numFmtId="15" fontId="36" fillId="0" borderId="13" applyFont="0" applyFill="0" applyBorder="0" applyProtection="0">
      <alignment horizontal="center"/>
      <protection locked="0"/>
    </xf>
    <xf numFmtId="2" fontId="35" fillId="0" borderId="0" applyFont="0" applyFill="0" applyBorder="0" applyAlignment="0" applyProtection="0"/>
    <xf numFmtId="38" fontId="36" fillId="0" borderId="0" applyFill="0" applyBorder="0" applyAlignment="0" applyProtection="0"/>
    <xf numFmtId="38" fontId="37" fillId="10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4" fontId="41" fillId="0" borderId="0" applyFill="0" applyBorder="0" applyAlignment="0" applyProtection="0">
      <alignment horizontal="right"/>
    </xf>
    <xf numFmtId="5" fontId="42" fillId="0" borderId="0" applyFill="0" applyBorder="0" applyAlignment="0" applyProtection="0">
      <protection locked="0"/>
    </xf>
    <xf numFmtId="37" fontId="43" fillId="0" borderId="13" applyNumberFormat="0" applyFont="0" applyFill="0" applyAlignment="0" applyProtection="0">
      <alignment horizontal="center" vertical="center"/>
    </xf>
    <xf numFmtId="0" fontId="31" fillId="0" borderId="0"/>
    <xf numFmtId="199" fontId="33" fillId="0" borderId="0"/>
    <xf numFmtId="37" fontId="44" fillId="0" borderId="0" applyFill="0" applyBorder="0" applyAlignment="0" applyProtection="0"/>
    <xf numFmtId="9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2" fillId="0" borderId="0"/>
    <xf numFmtId="0" fontId="35" fillId="0" borderId="15" applyNumberFormat="0" applyFont="0" applyFill="0" applyAlignment="0" applyProtection="0"/>
    <xf numFmtId="0" fontId="31" fillId="0" borderId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11" borderId="18" applyNumberFormat="0" applyAlignment="0" applyProtection="0"/>
    <xf numFmtId="0" fontId="49" fillId="25" borderId="19" applyNumberFormat="0" applyAlignment="0" applyProtection="0"/>
    <xf numFmtId="202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12" borderId="18" applyNumberFormat="0" applyAlignment="0" applyProtection="0"/>
    <xf numFmtId="38" fontId="57" fillId="0" borderId="0" applyFont="0" applyAlignment="0" applyProtection="0">
      <alignment horizontal="right"/>
      <protection locked="0"/>
    </xf>
    <xf numFmtId="0" fontId="58" fillId="0" borderId="23" applyNumberFormat="0" applyFill="0" applyAlignment="0" applyProtection="0"/>
    <xf numFmtId="0" fontId="59" fillId="17" borderId="0" applyNumberFormat="0" applyBorder="0" applyAlignment="0" applyProtection="0"/>
    <xf numFmtId="37" fontId="31" fillId="0" borderId="0"/>
    <xf numFmtId="0" fontId="31" fillId="13" borderId="24" applyNumberFormat="0" applyFont="0" applyAlignment="0" applyProtection="0"/>
    <xf numFmtId="0" fontId="60" fillId="11" borderId="25" applyNumberFormat="0" applyAlignment="0" applyProtection="0"/>
    <xf numFmtId="9" fontId="3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31" fillId="0" borderId="0"/>
    <xf numFmtId="0" fontId="56" fillId="12" borderId="18" applyNumberFormat="0" applyAlignment="0" applyProtection="0"/>
    <xf numFmtId="9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8" fillId="0" borderId="0"/>
    <xf numFmtId="43" fontId="30" fillId="0" borderId="0" applyFont="0" applyFill="0" applyBorder="0" applyAlignment="0" applyProtection="0"/>
    <xf numFmtId="0" fontId="68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4" fillId="0" borderId="0"/>
    <xf numFmtId="0" fontId="30" fillId="0" borderId="0"/>
    <xf numFmtId="0" fontId="30" fillId="0" borderId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25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5" fontId="21" fillId="0" borderId="0" xfId="0" applyNumberFormat="1" applyFont="1"/>
    <xf numFmtId="5" fontId="21" fillId="0" borderId="0" xfId="0" applyNumberFormat="1" applyFont="1" applyAlignment="1">
      <alignment horizontal="right"/>
    </xf>
    <xf numFmtId="0" fontId="21" fillId="0" borderId="0" xfId="0" applyFont="1"/>
    <xf numFmtId="2" fontId="21" fillId="0" borderId="0" xfId="0" applyNumberFormat="1" applyFont="1"/>
    <xf numFmtId="9" fontId="21" fillId="0" borderId="0" xfId="0" applyNumberFormat="1" applyFont="1"/>
    <xf numFmtId="9" fontId="21" fillId="0" borderId="0" xfId="0" applyNumberFormat="1" applyFont="1" applyAlignment="1">
      <alignment horizontal="center"/>
    </xf>
    <xf numFmtId="187" fontId="21" fillId="0" borderId="0" xfId="9" applyNumberFormat="1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9" fontId="18" fillId="0" borderId="0" xfId="0" applyNumberFormat="1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18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  <xf numFmtId="9" fontId="21" fillId="0" borderId="0" xfId="6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70" fontId="29" fillId="0" borderId="0" xfId="0" applyNumberFormat="1" applyFont="1" applyAlignment="1">
      <alignment horizontal="left"/>
    </xf>
    <xf numFmtId="176" fontId="21" fillId="0" borderId="0" xfId="0" applyNumberFormat="1" applyFont="1" applyAlignment="1">
      <alignment horizontal="center"/>
    </xf>
    <xf numFmtId="177" fontId="21" fillId="0" borderId="0" xfId="0" applyNumberFormat="1" applyFont="1" applyAlignment="1">
      <alignment horizontal="center"/>
    </xf>
    <xf numFmtId="184" fontId="21" fillId="0" borderId="0" xfId="0" applyNumberFormat="1" applyFont="1" applyAlignment="1">
      <alignment horizontal="left"/>
    </xf>
    <xf numFmtId="177" fontId="21" fillId="0" borderId="0" xfId="0" applyNumberFormat="1" applyFont="1"/>
    <xf numFmtId="186" fontId="21" fillId="0" borderId="0" xfId="6" applyNumberFormat="1" applyFont="1"/>
    <xf numFmtId="5" fontId="21" fillId="0" borderId="0" xfId="6" applyNumberFormat="1" applyFont="1"/>
    <xf numFmtId="5" fontId="21" fillId="0" borderId="0" xfId="6" applyNumberFormat="1" applyFont="1" applyAlignment="1">
      <alignment horizontal="right"/>
    </xf>
    <xf numFmtId="169" fontId="21" fillId="0" borderId="0" xfId="6" applyNumberFormat="1" applyFont="1" applyAlignment="1">
      <alignment horizontal="right"/>
    </xf>
    <xf numFmtId="178" fontId="21" fillId="0" borderId="0" xfId="6" applyNumberFormat="1" applyFont="1"/>
    <xf numFmtId="9" fontId="21" fillId="0" borderId="0" xfId="6" applyNumberFormat="1" applyFont="1" applyAlignment="1">
      <alignment horizontal="right"/>
    </xf>
    <xf numFmtId="6" fontId="21" fillId="0" borderId="0" xfId="5" applyNumberFormat="1" applyFont="1" applyBorder="1"/>
    <xf numFmtId="0" fontId="21" fillId="0" borderId="0" xfId="6" applyFont="1" applyAlignment="1">
      <alignment horizontal="center"/>
    </xf>
    <xf numFmtId="0" fontId="21" fillId="0" borderId="0" xfId="0" applyFont="1" applyBorder="1"/>
    <xf numFmtId="37" fontId="20" fillId="27" borderId="0" xfId="85" applyFont="1" applyFill="1" applyBorder="1"/>
    <xf numFmtId="37" fontId="28" fillId="27" borderId="0" xfId="85" applyFont="1" applyFill="1" applyBorder="1"/>
    <xf numFmtId="37" fontId="28" fillId="0" borderId="0" xfId="85" applyFont="1" applyBorder="1"/>
    <xf numFmtId="0" fontId="20" fillId="0" borderId="0" xfId="92" applyFont="1"/>
    <xf numFmtId="37" fontId="20" fillId="0" borderId="0" xfId="85" applyFont="1" applyBorder="1"/>
    <xf numFmtId="0" fontId="20" fillId="0" borderId="0" xfId="92" applyFont="1" applyBorder="1"/>
    <xf numFmtId="37" fontId="20" fillId="0" borderId="0" xfId="85" applyFont="1" applyFill="1" applyBorder="1"/>
    <xf numFmtId="0" fontId="21" fillId="0" borderId="0" xfId="100" applyFont="1"/>
    <xf numFmtId="187" fontId="21" fillId="0" borderId="0" xfId="102" applyNumberFormat="1" applyFont="1"/>
    <xf numFmtId="0" fontId="21" fillId="0" borderId="0" xfId="100" applyFont="1" applyAlignment="1">
      <alignment horizontal="center"/>
    </xf>
    <xf numFmtId="9" fontId="21" fillId="0" borderId="0" xfId="103" applyFont="1"/>
    <xf numFmtId="180" fontId="18" fillId="0" borderId="0" xfId="0" applyNumberFormat="1" applyFont="1" applyAlignment="1">
      <alignment horizontal="center"/>
    </xf>
    <xf numFmtId="9" fontId="18" fillId="0" borderId="0" xfId="0" applyNumberFormat="1" applyFont="1" applyBorder="1" applyAlignment="1">
      <alignment horizontal="center"/>
    </xf>
    <xf numFmtId="5" fontId="18" fillId="0" borderId="0" xfId="0" applyNumberFormat="1" applyFont="1"/>
    <xf numFmtId="165" fontId="21" fillId="0" borderId="0" xfId="0" applyNumberFormat="1" applyFont="1"/>
    <xf numFmtId="170" fontId="21" fillId="0" borderId="0" xfId="0" applyNumberFormat="1" applyFont="1" applyAlignment="1">
      <alignment horizontal="left"/>
    </xf>
    <xf numFmtId="169" fontId="21" fillId="0" borderId="0" xfId="0" applyNumberFormat="1" applyFont="1"/>
    <xf numFmtId="165" fontId="21" fillId="0" borderId="0" xfId="0" applyNumberFormat="1" applyFont="1" applyAlignment="1">
      <alignment horizontal="left"/>
    </xf>
    <xf numFmtId="187" fontId="21" fillId="7" borderId="0" xfId="102" applyNumberFormat="1" applyFont="1" applyFill="1"/>
    <xf numFmtId="0" fontId="21" fillId="0" borderId="0" xfId="0" applyFont="1" applyFill="1"/>
    <xf numFmtId="206" fontId="21" fillId="0" borderId="0" xfId="0" applyNumberFormat="1" applyFont="1"/>
    <xf numFmtId="0" fontId="30" fillId="0" borderId="0" xfId="104"/>
    <xf numFmtId="0" fontId="69" fillId="0" borderId="0" xfId="104" applyFont="1"/>
    <xf numFmtId="0" fontId="30" fillId="0" borderId="0" xfId="104" applyAlignment="1">
      <alignment horizontal="center"/>
    </xf>
    <xf numFmtId="44" fontId="30" fillId="0" borderId="0" xfId="26" applyFont="1"/>
    <xf numFmtId="0" fontId="30" fillId="0" borderId="0" xfId="104" applyBorder="1"/>
    <xf numFmtId="0" fontId="70" fillId="0" borderId="0" xfId="104" applyFont="1"/>
    <xf numFmtId="0" fontId="70" fillId="0" borderId="0" xfId="104" applyFont="1" applyAlignment="1">
      <alignment horizontal="center"/>
    </xf>
    <xf numFmtId="10" fontId="30" fillId="0" borderId="0" xfId="106" applyNumberFormat="1" applyFont="1" applyAlignment="1">
      <alignment horizontal="center"/>
    </xf>
    <xf numFmtId="44" fontId="30" fillId="0" borderId="0" xfId="104" applyNumberFormat="1"/>
    <xf numFmtId="0" fontId="30" fillId="0" borderId="10" xfId="104" applyBorder="1"/>
    <xf numFmtId="0" fontId="30" fillId="0" borderId="1" xfId="104" applyBorder="1"/>
    <xf numFmtId="187" fontId="30" fillId="0" borderId="0" xfId="105" applyNumberFormat="1" applyFont="1" applyAlignment="1">
      <alignment horizontal="center"/>
    </xf>
    <xf numFmtId="187" fontId="30" fillId="0" borderId="0" xfId="104" applyNumberFormat="1" applyBorder="1"/>
    <xf numFmtId="187" fontId="30" fillId="0" borderId="1" xfId="104" applyNumberFormat="1" applyBorder="1"/>
    <xf numFmtId="0" fontId="30" fillId="0" borderId="30" xfId="104" applyBorder="1"/>
    <xf numFmtId="0" fontId="30" fillId="0" borderId="11" xfId="104" applyBorder="1"/>
    <xf numFmtId="43" fontId="30" fillId="0" borderId="0" xfId="104" applyNumberFormat="1"/>
    <xf numFmtId="0" fontId="30" fillId="0" borderId="9" xfId="104" applyBorder="1"/>
    <xf numFmtId="0" fontId="30" fillId="0" borderId="7" xfId="104" applyBorder="1"/>
    <xf numFmtId="187" fontId="30" fillId="0" borderId="10" xfId="104" applyNumberFormat="1" applyBorder="1"/>
    <xf numFmtId="0" fontId="30" fillId="28" borderId="16" xfId="104" applyFill="1" applyBorder="1" applyAlignment="1">
      <alignment horizontal="center"/>
    </xf>
    <xf numFmtId="187" fontId="30" fillId="28" borderId="16" xfId="104" applyNumberFormat="1" applyFill="1" applyBorder="1" applyAlignment="1">
      <alignment horizontal="center"/>
    </xf>
    <xf numFmtId="187" fontId="30" fillId="28" borderId="29" xfId="104" applyNumberFormat="1" applyFill="1" applyBorder="1" applyAlignment="1">
      <alignment horizontal="center"/>
    </xf>
    <xf numFmtId="0" fontId="30" fillId="28" borderId="8" xfId="104" applyFill="1" applyBorder="1" applyAlignment="1">
      <alignment horizontal="center"/>
    </xf>
    <xf numFmtId="187" fontId="30" fillId="28" borderId="8" xfId="104" applyNumberFormat="1" applyFill="1" applyBorder="1" applyAlignment="1">
      <alignment horizontal="center"/>
    </xf>
    <xf numFmtId="187" fontId="30" fillId="28" borderId="12" xfId="104" applyNumberFormat="1" applyFill="1" applyBorder="1" applyAlignment="1">
      <alignment horizontal="center"/>
    </xf>
    <xf numFmtId="0" fontId="30" fillId="0" borderId="27" xfId="104" applyBorder="1"/>
    <xf numFmtId="187" fontId="30" fillId="0" borderId="7" xfId="104" applyNumberFormat="1" applyBorder="1"/>
    <xf numFmtId="187" fontId="30" fillId="0" borderId="27" xfId="104" applyNumberFormat="1" applyBorder="1"/>
    <xf numFmtId="0" fontId="30" fillId="0" borderId="16" xfId="104" applyBorder="1"/>
    <xf numFmtId="0" fontId="72" fillId="0" borderId="0" xfId="104" applyFont="1"/>
    <xf numFmtId="0" fontId="71" fillId="0" borderId="30" xfId="104" applyFont="1" applyBorder="1"/>
    <xf numFmtId="187" fontId="30" fillId="0" borderId="27" xfId="105" applyNumberFormat="1" applyFont="1" applyBorder="1"/>
    <xf numFmtId="0" fontId="21" fillId="0" borderId="47" xfId="0" applyFont="1" applyBorder="1"/>
    <xf numFmtId="187" fontId="30" fillId="0" borderId="7" xfId="107" applyNumberFormat="1" applyBorder="1"/>
    <xf numFmtId="14" fontId="30" fillId="0" borderId="0" xfId="104" applyNumberFormat="1"/>
    <xf numFmtId="168" fontId="20" fillId="0" borderId="0" xfId="8" applyNumberFormat="1" applyFont="1"/>
    <xf numFmtId="187" fontId="30" fillId="0" borderId="7" xfId="114" applyNumberFormat="1" applyBorder="1"/>
    <xf numFmtId="0" fontId="25" fillId="0" borderId="0" xfId="10" applyAlignment="1" applyProtection="1"/>
    <xf numFmtId="187" fontId="21" fillId="0" borderId="0" xfId="0" applyNumberFormat="1" applyFont="1"/>
    <xf numFmtId="0" fontId="21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2" fontId="8" fillId="0" borderId="0" xfId="0" applyNumberFormat="1" applyFont="1" applyFill="1" applyAlignment="1">
      <alignment horizontal="right"/>
    </xf>
    <xf numFmtId="0" fontId="0" fillId="0" borderId="0" xfId="0" applyFont="1" applyFill="1"/>
    <xf numFmtId="166" fontId="14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166" fontId="0" fillId="0" borderId="0" xfId="0" applyNumberFormat="1" applyFill="1" applyAlignment="1">
      <alignment horizontal="left"/>
    </xf>
    <xf numFmtId="166" fontId="9" fillId="0" borderId="0" xfId="0" applyNumberFormat="1" applyFont="1" applyFill="1" applyAlignment="1"/>
    <xf numFmtId="166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horizontal="right"/>
    </xf>
    <xf numFmtId="9" fontId="0" fillId="0" borderId="0" xfId="0" applyNumberFormat="1" applyFont="1" applyFill="1"/>
    <xf numFmtId="0" fontId="9" fillId="0" borderId="0" xfId="0" applyFont="1" applyFill="1" applyAlignment="1">
      <alignment horizontal="center"/>
    </xf>
    <xf numFmtId="9" fontId="6" fillId="0" borderId="0" xfId="7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0" fillId="0" borderId="0" xfId="0" applyFont="1" applyBorder="1"/>
    <xf numFmtId="9" fontId="21" fillId="0" borderId="0" xfId="0" applyNumberFormat="1" applyFont="1" applyFill="1" applyAlignment="1">
      <alignment horizontal="center"/>
    </xf>
    <xf numFmtId="0" fontId="18" fillId="0" borderId="0" xfId="0" applyFont="1" applyFill="1"/>
    <xf numFmtId="169" fontId="21" fillId="0" borderId="0" xfId="0" applyNumberFormat="1" applyFont="1" applyFill="1"/>
    <xf numFmtId="0" fontId="18" fillId="0" borderId="0" xfId="0" applyFont="1" applyBorder="1" applyAlignment="1">
      <alignment horizontal="center"/>
    </xf>
    <xf numFmtId="2" fontId="21" fillId="0" borderId="0" xfId="0" applyNumberFormat="1" applyFont="1" applyFill="1"/>
    <xf numFmtId="0" fontId="21" fillId="0" borderId="0" xfId="0" applyFont="1" applyFill="1" applyAlignment="1">
      <alignment horizontal="left"/>
    </xf>
    <xf numFmtId="5" fontId="21" fillId="0" borderId="0" xfId="6" applyNumberFormat="1" applyFont="1" applyFill="1" applyAlignment="1">
      <alignment horizontal="center"/>
    </xf>
    <xf numFmtId="1" fontId="21" fillId="0" borderId="0" xfId="6" applyNumberFormat="1" applyFont="1" applyFill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21" fillId="0" borderId="0" xfId="6" applyFont="1" applyFill="1"/>
    <xf numFmtId="9" fontId="21" fillId="0" borderId="0" xfId="6" applyNumberFormat="1" applyFont="1" applyFill="1" applyAlignment="1">
      <alignment horizontal="center"/>
    </xf>
    <xf numFmtId="5" fontId="21" fillId="0" borderId="0" xfId="6" applyNumberFormat="1" applyFont="1" applyFill="1" applyAlignment="1">
      <alignment horizontal="right"/>
    </xf>
    <xf numFmtId="5" fontId="21" fillId="0" borderId="0" xfId="3" applyFont="1" applyFill="1">
      <alignment horizontal="right"/>
    </xf>
    <xf numFmtId="0" fontId="21" fillId="0" borderId="0" xfId="6" applyFont="1" applyFill="1" applyAlignment="1">
      <alignment horizontal="center"/>
    </xf>
    <xf numFmtId="177" fontId="18" fillId="0" borderId="0" xfId="0" applyNumberFormat="1" applyFont="1" applyFill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7" fontId="21" fillId="0" borderId="0" xfId="6" applyNumberFormat="1" applyFont="1" applyFill="1" applyAlignment="1">
      <alignment horizontal="right"/>
    </xf>
    <xf numFmtId="170" fontId="29" fillId="0" borderId="0" xfId="0" applyNumberFormat="1" applyFont="1" applyFill="1" applyAlignment="1">
      <alignment horizontal="left"/>
    </xf>
    <xf numFmtId="0" fontId="23" fillId="0" borderId="0" xfId="0" applyFont="1" applyFill="1"/>
    <xf numFmtId="2" fontId="21" fillId="0" borderId="0" xfId="0" applyNumberFormat="1" applyFont="1" applyFill="1" applyAlignment="1">
      <alignment horizontal="center"/>
    </xf>
    <xf numFmtId="5" fontId="21" fillId="0" borderId="0" xfId="0" applyNumberFormat="1" applyFont="1" applyFill="1" applyAlignment="1">
      <alignment horizontal="right"/>
    </xf>
    <xf numFmtId="6" fontId="21" fillId="0" borderId="0" xfId="0" applyNumberFormat="1" applyFont="1" applyFill="1" applyAlignment="1">
      <alignment horizontal="right"/>
    </xf>
    <xf numFmtId="176" fontId="21" fillId="0" borderId="0" xfId="0" applyNumberFormat="1" applyFont="1" applyFill="1" applyAlignment="1">
      <alignment horizontal="center"/>
    </xf>
    <xf numFmtId="0" fontId="13" fillId="0" borderId="0" xfId="4" applyFont="1" applyFill="1"/>
    <xf numFmtId="177" fontId="21" fillId="0" borderId="0" xfId="0" applyNumberFormat="1" applyFont="1" applyFill="1" applyAlignment="1">
      <alignment horizontal="center"/>
    </xf>
    <xf numFmtId="9" fontId="21" fillId="0" borderId="0" xfId="0" applyNumberFormat="1" applyFont="1" applyFill="1"/>
    <xf numFmtId="10" fontId="21" fillId="0" borderId="0" xfId="0" applyNumberFormat="1" applyFont="1" applyFill="1" applyAlignment="1">
      <alignment horizontal="center"/>
    </xf>
    <xf numFmtId="5" fontId="21" fillId="0" borderId="0" xfId="6" applyNumberFormat="1" applyFont="1" applyFill="1"/>
    <xf numFmtId="164" fontId="21" fillId="0" borderId="0" xfId="6" applyNumberFormat="1" applyFont="1" applyFill="1" applyAlignment="1">
      <alignment horizontal="center"/>
    </xf>
    <xf numFmtId="165" fontId="21" fillId="0" borderId="0" xfId="6" applyNumberFormat="1" applyFont="1" applyFill="1" applyAlignment="1">
      <alignment horizontal="center"/>
    </xf>
    <xf numFmtId="164" fontId="21" fillId="0" borderId="0" xfId="6" applyNumberFormat="1" applyFont="1" applyFill="1"/>
    <xf numFmtId="169" fontId="21" fillId="0" borderId="0" xfId="6" applyNumberFormat="1" applyFont="1" applyFill="1" applyAlignment="1">
      <alignment horizontal="right"/>
    </xf>
    <xf numFmtId="0" fontId="21" fillId="0" borderId="0" xfId="6" applyFont="1" applyBorder="1"/>
    <xf numFmtId="0" fontId="22" fillId="0" borderId="0" xfId="0" applyFont="1" applyBorder="1"/>
    <xf numFmtId="0" fontId="74" fillId="0" borderId="0" xfId="0" applyFont="1"/>
    <xf numFmtId="10" fontId="21" fillId="0" borderId="0" xfId="8" applyNumberFormat="1" applyFont="1"/>
    <xf numFmtId="187" fontId="20" fillId="0" borderId="27" xfId="16" applyNumberFormat="1" applyFont="1" applyBorder="1"/>
    <xf numFmtId="0" fontId="30" fillId="0" borderId="3" xfId="104" applyBorder="1"/>
    <xf numFmtId="187" fontId="30" fillId="0" borderId="3" xfId="104" applyNumberFormat="1" applyBorder="1"/>
    <xf numFmtId="0" fontId="30" fillId="0" borderId="8" xfId="104" applyBorder="1"/>
    <xf numFmtId="182" fontId="30" fillId="0" borderId="3" xfId="104" applyNumberFormat="1" applyBorder="1"/>
    <xf numFmtId="10" fontId="30" fillId="0" borderId="3" xfId="104" applyNumberFormat="1" applyBorder="1"/>
    <xf numFmtId="206" fontId="30" fillId="0" borderId="3" xfId="104" applyNumberFormat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87" fontId="0" fillId="7" borderId="0" xfId="9" applyNumberFormat="1" applyFont="1" applyFill="1" applyProtection="1">
      <protection locked="0"/>
    </xf>
    <xf numFmtId="0" fontId="0" fillId="7" borderId="0" xfId="0" applyFill="1" applyProtection="1">
      <protection locked="0"/>
    </xf>
    <xf numFmtId="187" fontId="0" fillId="0" borderId="0" xfId="9" applyNumberFormat="1" applyFont="1" applyProtection="1">
      <protection locked="0"/>
    </xf>
    <xf numFmtId="187" fontId="0" fillId="0" borderId="0" xfId="9" applyNumberFormat="1" applyFont="1" applyFill="1" applyProtection="1">
      <protection locked="0"/>
    </xf>
    <xf numFmtId="187" fontId="21" fillId="0" borderId="0" xfId="9" applyNumberFormat="1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9" fontId="7" fillId="0" borderId="0" xfId="0" applyNumberFormat="1" applyFont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vertical="center"/>
      <protection locked="0"/>
    </xf>
    <xf numFmtId="187" fontId="21" fillId="6" borderId="8" xfId="9" applyNumberFormat="1" applyFont="1" applyFill="1" applyBorder="1" applyAlignment="1" applyProtection="1">
      <protection locked="0"/>
    </xf>
    <xf numFmtId="187" fontId="21" fillId="7" borderId="0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protection locked="0"/>
    </xf>
    <xf numFmtId="187" fontId="21" fillId="6" borderId="70" xfId="9" applyNumberFormat="1" applyFont="1" applyFill="1" applyBorder="1" applyAlignment="1" applyProtection="1">
      <alignment vertical="center"/>
      <protection locked="0"/>
    </xf>
    <xf numFmtId="187" fontId="21" fillId="6" borderId="41" xfId="9" applyNumberFormat="1" applyFont="1" applyFill="1" applyBorder="1" applyAlignment="1" applyProtection="1">
      <protection locked="0"/>
    </xf>
    <xf numFmtId="10" fontId="21" fillId="6" borderId="3" xfId="8" applyNumberFormat="1" applyFont="1" applyFill="1" applyBorder="1" applyAlignment="1" applyProtection="1">
      <alignment vertical="center" wrapText="1"/>
      <protection locked="0"/>
    </xf>
    <xf numFmtId="14" fontId="21" fillId="6" borderId="41" xfId="9" applyNumberFormat="1" applyFont="1" applyFill="1" applyBorder="1" applyAlignment="1" applyProtection="1">
      <alignment vertical="center" wrapText="1"/>
      <protection locked="0"/>
    </xf>
    <xf numFmtId="2" fontId="21" fillId="7" borderId="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87" fontId="21" fillId="0" borderId="3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Border="1" applyAlignment="1" applyProtection="1">
      <alignment horizontal="right"/>
      <protection locked="0"/>
    </xf>
    <xf numFmtId="187" fontId="21" fillId="7" borderId="0" xfId="9" applyNumberFormat="1" applyFont="1" applyFill="1" applyBorder="1" applyAlignment="1" applyProtection="1">
      <alignment horizontal="right"/>
      <protection locked="0"/>
    </xf>
    <xf numFmtId="187" fontId="7" fillId="7" borderId="0" xfId="9" applyNumberFormat="1" applyFont="1" applyFill="1" applyBorder="1" applyAlignment="1" applyProtection="1">
      <alignment horizontal="right"/>
      <protection locked="0"/>
    </xf>
    <xf numFmtId="5" fontId="7" fillId="7" borderId="0" xfId="0" applyNumberFormat="1" applyFont="1" applyFill="1" applyBorder="1" applyAlignment="1" applyProtection="1">
      <alignment horizontal="right"/>
      <protection locked="0"/>
    </xf>
    <xf numFmtId="5" fontId="7" fillId="0" borderId="0" xfId="0" applyNumberFormat="1" applyFont="1" applyBorder="1" applyAlignment="1" applyProtection="1">
      <alignment horizontal="right"/>
      <protection locked="0"/>
    </xf>
    <xf numFmtId="10" fontId="21" fillId="6" borderId="3" xfId="8" applyNumberFormat="1" applyFont="1" applyFill="1" applyBorder="1" applyAlignment="1" applyProtection="1">
      <alignment horizontal="right"/>
      <protection locked="0"/>
    </xf>
    <xf numFmtId="5" fontId="21" fillId="6" borderId="3" xfId="0" applyNumberFormat="1" applyFont="1" applyFill="1" applyBorder="1" applyAlignment="1" applyProtection="1">
      <alignment horizontal="right"/>
      <protection locked="0"/>
    </xf>
    <xf numFmtId="5" fontId="7" fillId="6" borderId="3" xfId="0" applyNumberFormat="1" applyFont="1" applyFill="1" applyBorder="1" applyAlignment="1" applyProtection="1">
      <alignment horizontal="right"/>
      <protection locked="0"/>
    </xf>
    <xf numFmtId="7" fontId="5" fillId="0" borderId="0" xfId="0" applyNumberFormat="1" applyFont="1" applyProtection="1">
      <protection locked="0"/>
    </xf>
    <xf numFmtId="187" fontId="7" fillId="6" borderId="3" xfId="9" applyNumberFormat="1" applyFont="1" applyFill="1" applyBorder="1" applyAlignment="1" applyProtection="1">
      <alignment horizontal="right"/>
      <protection locked="0"/>
    </xf>
    <xf numFmtId="187" fontId="3" fillId="6" borderId="3" xfId="9" applyNumberFormat="1" applyFont="1" applyFill="1" applyBorder="1" applyProtection="1">
      <protection locked="0"/>
    </xf>
    <xf numFmtId="187" fontId="21" fillId="6" borderId="3" xfId="8" applyNumberFormat="1" applyFont="1" applyFill="1" applyBorder="1" applyAlignment="1" applyProtection="1">
      <alignment horizontal="right"/>
      <protection locked="0"/>
    </xf>
    <xf numFmtId="5" fontId="21" fillId="7" borderId="0" xfId="0" applyNumberFormat="1" applyFont="1" applyFill="1" applyBorder="1" applyAlignment="1" applyProtection="1">
      <alignment horizontal="right"/>
      <protection locked="0"/>
    </xf>
    <xf numFmtId="0" fontId="19" fillId="7" borderId="0" xfId="0" applyFont="1" applyFill="1" applyBorder="1" applyAlignment="1" applyProtection="1">
      <alignment horizontal="left"/>
      <protection locked="0"/>
    </xf>
    <xf numFmtId="5" fontId="21" fillId="7" borderId="0" xfId="0" applyNumberFormat="1" applyFont="1" applyFill="1" applyBorder="1" applyAlignment="1" applyProtection="1">
      <alignment horizontal="center"/>
      <protection locked="0"/>
    </xf>
    <xf numFmtId="187" fontId="3" fillId="7" borderId="0" xfId="9" applyNumberFormat="1" applyFont="1" applyFill="1" applyBorder="1" applyProtection="1">
      <protection locked="0"/>
    </xf>
    <xf numFmtId="0" fontId="21" fillId="7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Protection="1">
      <protection locked="0"/>
    </xf>
    <xf numFmtId="0" fontId="3" fillId="7" borderId="0" xfId="0" applyFont="1" applyFill="1" applyBorder="1" applyProtection="1">
      <protection locked="0"/>
    </xf>
    <xf numFmtId="0" fontId="21" fillId="7" borderId="0" xfId="0" applyFont="1" applyFill="1" applyBorder="1" applyAlignment="1" applyProtection="1">
      <alignment horizontal="left"/>
      <protection locked="0"/>
    </xf>
    <xf numFmtId="7" fontId="21" fillId="7" borderId="0" xfId="0" applyNumberFormat="1" applyFont="1" applyFill="1" applyBorder="1" applyAlignment="1" applyProtection="1">
      <alignment horizontal="right"/>
      <protection locked="0"/>
    </xf>
    <xf numFmtId="5" fontId="21" fillId="7" borderId="0" xfId="7" applyNumberFormat="1" applyFont="1" applyFill="1" applyBorder="1" applyProtection="1">
      <protection locked="0"/>
    </xf>
    <xf numFmtId="187" fontId="4" fillId="7" borderId="0" xfId="9" applyNumberFormat="1" applyFont="1" applyFill="1" applyBorder="1" applyProtection="1">
      <protection locked="0"/>
    </xf>
    <xf numFmtId="5" fontId="4" fillId="7" borderId="0" xfId="7" applyNumberFormat="1" applyFont="1" applyFill="1" applyBorder="1" applyProtection="1">
      <protection locked="0"/>
    </xf>
    <xf numFmtId="2" fontId="20" fillId="7" borderId="0" xfId="0" applyNumberFormat="1" applyFont="1" applyFill="1" applyBorder="1" applyAlignment="1" applyProtection="1">
      <alignment horizontal="center"/>
      <protection locked="0"/>
    </xf>
    <xf numFmtId="2" fontId="21" fillId="7" borderId="0" xfId="0" applyNumberFormat="1" applyFont="1" applyFill="1" applyBorder="1" applyAlignment="1" applyProtection="1">
      <alignment horizontal="center"/>
      <protection locked="0"/>
    </xf>
    <xf numFmtId="7" fontId="15" fillId="7" borderId="0" xfId="0" applyNumberFormat="1" applyFont="1" applyFill="1" applyBorder="1" applyAlignment="1" applyProtection="1">
      <alignment horizontal="right"/>
      <protection locked="0"/>
    </xf>
    <xf numFmtId="175" fontId="21" fillId="7" borderId="0" xfId="0" applyNumberFormat="1" applyFont="1" applyFill="1" applyBorder="1" applyProtection="1">
      <protection locked="0"/>
    </xf>
    <xf numFmtId="185" fontId="21" fillId="7" borderId="0" xfId="0" applyNumberFormat="1" applyFont="1" applyFill="1" applyBorder="1" applyAlignment="1" applyProtection="1">
      <alignment horizontal="right"/>
      <protection locked="0"/>
    </xf>
    <xf numFmtId="172" fontId="20" fillId="7" borderId="0" xfId="0" applyNumberFormat="1" applyFont="1" applyFill="1" applyBorder="1" applyAlignment="1" applyProtection="1">
      <alignment horizontal="center"/>
      <protection locked="0"/>
    </xf>
    <xf numFmtId="172" fontId="21" fillId="7" borderId="0" xfId="0" applyNumberFormat="1" applyFont="1" applyFill="1" applyBorder="1" applyAlignment="1" applyProtection="1">
      <alignment horizontal="center"/>
      <protection locked="0"/>
    </xf>
    <xf numFmtId="10" fontId="21" fillId="7" borderId="0" xfId="0" applyNumberFormat="1" applyFont="1" applyFill="1" applyBorder="1" applyAlignment="1" applyProtection="1">
      <alignment horizontal="right"/>
      <protection locked="0"/>
    </xf>
    <xf numFmtId="0" fontId="23" fillId="7" borderId="0" xfId="0" applyFont="1" applyFill="1" applyBorder="1" applyProtection="1">
      <protection locked="0"/>
    </xf>
    <xf numFmtId="5" fontId="8" fillId="7" borderId="0" xfId="0" applyNumberFormat="1" applyFont="1" applyFill="1" applyBorder="1" applyAlignment="1" applyProtection="1">
      <alignment horizontal="right"/>
      <protection locked="0"/>
    </xf>
    <xf numFmtId="187" fontId="0" fillId="7" borderId="0" xfId="9" applyNumberFormat="1" applyFont="1" applyFill="1" applyBorder="1" applyProtection="1">
      <protection locked="0"/>
    </xf>
    <xf numFmtId="0" fontId="0" fillId="7" borderId="0" xfId="0" applyFill="1" applyBorder="1" applyProtection="1">
      <protection locked="0"/>
    </xf>
    <xf numFmtId="5" fontId="21" fillId="7" borderId="0" xfId="0" applyNumberFormat="1" applyFont="1" applyFill="1" applyBorder="1" applyProtection="1">
      <protection locked="0"/>
    </xf>
    <xf numFmtId="187" fontId="8" fillId="7" borderId="0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Protection="1">
      <protection locked="0"/>
    </xf>
    <xf numFmtId="0" fontId="21" fillId="7" borderId="0" xfId="0" applyFont="1" applyFill="1" applyBorder="1" applyProtection="1">
      <protection locked="0"/>
    </xf>
    <xf numFmtId="187" fontId="8" fillId="7" borderId="0" xfId="9" applyNumberFormat="1" applyFont="1" applyFill="1" applyBorder="1" applyProtection="1">
      <protection locked="0"/>
    </xf>
    <xf numFmtId="5" fontId="8" fillId="7" borderId="0" xfId="0" applyNumberFormat="1" applyFont="1" applyFill="1" applyBorder="1" applyProtection="1">
      <protection locked="0"/>
    </xf>
    <xf numFmtId="6" fontId="21" fillId="7" borderId="0" xfId="0" applyNumberFormat="1" applyFont="1" applyFill="1" applyBorder="1" applyAlignment="1" applyProtection="1">
      <alignment horizontal="right"/>
      <protection locked="0"/>
    </xf>
    <xf numFmtId="6" fontId="20" fillId="7" borderId="0" xfId="0" applyNumberFormat="1" applyFont="1" applyFill="1" applyBorder="1" applyAlignment="1" applyProtection="1">
      <alignment horizontal="right"/>
      <protection locked="0"/>
    </xf>
    <xf numFmtId="187" fontId="4" fillId="7" borderId="0" xfId="9" applyNumberFormat="1" applyFont="1" applyFill="1" applyBorder="1" applyAlignment="1" applyProtection="1">
      <alignment horizontal="right"/>
      <protection locked="0"/>
    </xf>
    <xf numFmtId="5" fontId="4" fillId="7" borderId="0" xfId="0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Alignment="1" applyProtection="1">
      <alignment horizontal="right"/>
      <protection locked="0"/>
    </xf>
    <xf numFmtId="2" fontId="21" fillId="7" borderId="0" xfId="0" applyNumberFormat="1" applyFont="1" applyFill="1" applyBorder="1" applyAlignment="1" applyProtection="1">
      <alignment horizontal="right"/>
      <protection locked="0"/>
    </xf>
    <xf numFmtId="179" fontId="21" fillId="7" borderId="0" xfId="0" applyNumberFormat="1" applyFont="1" applyFill="1" applyBorder="1" applyAlignment="1" applyProtection="1">
      <alignment horizontal="right"/>
      <protection locked="0"/>
    </xf>
    <xf numFmtId="167" fontId="20" fillId="7" borderId="0" xfId="0" applyNumberFormat="1" applyFont="1" applyFill="1" applyBorder="1" applyAlignment="1" applyProtection="1">
      <alignment horizontal="center"/>
      <protection locked="0"/>
    </xf>
    <xf numFmtId="167" fontId="21" fillId="7" borderId="0" xfId="0" applyNumberFormat="1" applyFont="1" applyFill="1" applyBorder="1" applyAlignment="1" applyProtection="1">
      <alignment horizontal="center"/>
      <protection locked="0"/>
    </xf>
    <xf numFmtId="9" fontId="21" fillId="7" borderId="0" xfId="0" applyNumberFormat="1" applyFont="1" applyFill="1" applyBorder="1" applyProtection="1">
      <protection locked="0"/>
    </xf>
    <xf numFmtId="0" fontId="20" fillId="7" borderId="0" xfId="0" applyFont="1" applyFill="1" applyBorder="1" applyProtection="1">
      <protection locked="0"/>
    </xf>
    <xf numFmtId="0" fontId="20" fillId="7" borderId="0" xfId="0" applyFont="1" applyFill="1" applyBorder="1" applyAlignment="1" applyProtection="1">
      <alignment horizontal="center"/>
      <protection locked="0"/>
    </xf>
    <xf numFmtId="170" fontId="21" fillId="7" borderId="0" xfId="0" applyNumberFormat="1" applyFont="1" applyFill="1" applyBorder="1" applyAlignment="1" applyProtection="1">
      <alignment horizontal="left"/>
      <protection locked="0"/>
    </xf>
    <xf numFmtId="9" fontId="21" fillId="7" borderId="0" xfId="0" applyNumberFormat="1" applyFont="1" applyFill="1" applyBorder="1" applyAlignment="1" applyProtection="1">
      <alignment horizontal="center"/>
      <protection locked="0"/>
    </xf>
    <xf numFmtId="170" fontId="18" fillId="7" borderId="0" xfId="0" applyNumberFormat="1" applyFont="1" applyFill="1" applyBorder="1" applyAlignment="1" applyProtection="1">
      <alignment horizontal="left"/>
      <protection locked="0"/>
    </xf>
    <xf numFmtId="5" fontId="18" fillId="7" borderId="0" xfId="0" applyNumberFormat="1" applyFont="1" applyFill="1" applyBorder="1" applyAlignment="1" applyProtection="1">
      <alignment horizontal="right"/>
      <protection locked="0"/>
    </xf>
    <xf numFmtId="187" fontId="6" fillId="7" borderId="0" xfId="9" applyNumberFormat="1" applyFont="1" applyFill="1" applyBorder="1" applyAlignment="1" applyProtection="1">
      <alignment horizontal="right"/>
      <protection locked="0"/>
    </xf>
    <xf numFmtId="5" fontId="6" fillId="7" borderId="0" xfId="0" applyNumberFormat="1" applyFont="1" applyFill="1" applyBorder="1" applyAlignment="1" applyProtection="1">
      <alignment horizontal="right"/>
      <protection locked="0"/>
    </xf>
    <xf numFmtId="9" fontId="21" fillId="7" borderId="0" xfId="0" applyNumberFormat="1" applyFont="1" applyFill="1" applyBorder="1" applyAlignment="1" applyProtection="1">
      <alignment horizontal="left"/>
      <protection locked="0"/>
    </xf>
    <xf numFmtId="7" fontId="18" fillId="7" borderId="0" xfId="0" applyNumberFormat="1" applyFont="1" applyFill="1" applyBorder="1" applyAlignment="1" applyProtection="1">
      <alignment horizontal="right"/>
      <protection locked="0"/>
    </xf>
    <xf numFmtId="7" fontId="6" fillId="7" borderId="0" xfId="0" applyNumberFormat="1" applyFont="1" applyFill="1" applyBorder="1" applyAlignment="1" applyProtection="1">
      <alignment horizontal="right"/>
      <protection locked="0"/>
    </xf>
    <xf numFmtId="0" fontId="7" fillId="7" borderId="0" xfId="0" applyFont="1" applyFill="1" applyBorder="1" applyAlignment="1" applyProtection="1">
      <alignment horizontal="center"/>
      <protection locked="0"/>
    </xf>
    <xf numFmtId="170" fontId="6" fillId="7" borderId="0" xfId="0" applyNumberFormat="1" applyFont="1" applyFill="1" applyBorder="1" applyAlignment="1" applyProtection="1">
      <alignment horizontal="left"/>
      <protection locked="0"/>
    </xf>
    <xf numFmtId="9" fontId="7" fillId="7" borderId="0" xfId="0" applyNumberFormat="1" applyFont="1" applyFill="1" applyBorder="1" applyAlignment="1" applyProtection="1">
      <alignment horizontal="left"/>
      <protection locked="0"/>
    </xf>
    <xf numFmtId="170" fontId="4" fillId="7" borderId="0" xfId="0" applyNumberFormat="1" applyFont="1" applyFill="1" applyBorder="1" applyAlignment="1" applyProtection="1">
      <alignment horizontal="left"/>
      <protection locked="0"/>
    </xf>
    <xf numFmtId="5" fontId="3" fillId="7" borderId="0" xfId="0" applyNumberFormat="1" applyFont="1" applyFill="1" applyBorder="1" applyAlignment="1" applyProtection="1">
      <alignment horizontal="center"/>
      <protection locked="0"/>
    </xf>
    <xf numFmtId="5" fontId="7" fillId="7" borderId="0" xfId="0" applyNumberFormat="1" applyFont="1" applyFill="1" applyBorder="1" applyAlignment="1" applyProtection="1">
      <alignment horizontal="center"/>
      <protection locked="0"/>
    </xf>
    <xf numFmtId="170" fontId="7" fillId="7" borderId="0" xfId="0" applyNumberFormat="1" applyFont="1" applyFill="1" applyBorder="1" applyAlignment="1" applyProtection="1">
      <alignment horizontal="left"/>
      <protection locked="0"/>
    </xf>
    <xf numFmtId="5" fontId="6" fillId="7" borderId="0" xfId="0" applyNumberFormat="1" applyFont="1" applyFill="1" applyBorder="1" applyAlignment="1" applyProtection="1">
      <alignment horizontal="center"/>
      <protection locked="0"/>
    </xf>
    <xf numFmtId="187" fontId="6" fillId="7" borderId="0" xfId="9" applyNumberFormat="1" applyFont="1" applyFill="1" applyBorder="1" applyAlignment="1" applyProtection="1">
      <alignment horizontal="center"/>
      <protection locked="0"/>
    </xf>
    <xf numFmtId="9" fontId="7" fillId="7" borderId="0" xfId="0" applyNumberFormat="1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Protection="1">
      <protection locked="0"/>
    </xf>
    <xf numFmtId="187" fontId="7" fillId="7" borderId="0" xfId="9" applyNumberFormat="1" applyFont="1" applyFill="1" applyBorder="1" applyProtection="1">
      <protection locked="0"/>
    </xf>
    <xf numFmtId="187" fontId="21" fillId="7" borderId="0" xfId="9" applyNumberFormat="1" applyFont="1" applyFill="1" applyBorder="1" applyProtection="1">
      <protection locked="0"/>
    </xf>
    <xf numFmtId="0" fontId="11" fillId="7" borderId="0" xfId="0" applyFont="1" applyFill="1" applyBorder="1" applyProtection="1">
      <protection locked="0"/>
    </xf>
    <xf numFmtId="187" fontId="30" fillId="0" borderId="0" xfId="9" applyNumberFormat="1" applyFont="1"/>
    <xf numFmtId="0" fontId="0" fillId="6" borderId="3" xfId="0" applyFill="1" applyBorder="1"/>
    <xf numFmtId="0" fontId="4" fillId="0" borderId="0" xfId="0" applyFont="1"/>
    <xf numFmtId="187" fontId="30" fillId="0" borderId="12" xfId="104" applyNumberFormat="1" applyBorder="1"/>
    <xf numFmtId="0" fontId="0" fillId="0" borderId="9" xfId="0" applyBorder="1"/>
    <xf numFmtId="3" fontId="21" fillId="0" borderId="0" xfId="0" applyNumberFormat="1" applyFont="1"/>
    <xf numFmtId="0" fontId="6" fillId="0" borderId="0" xfId="46" applyFont="1" applyAlignment="1">
      <alignment horizontal="center"/>
    </xf>
    <xf numFmtId="210" fontId="4" fillId="0" borderId="0" xfId="46" applyNumberFormat="1" applyFont="1"/>
    <xf numFmtId="0" fontId="6" fillId="0" borderId="0" xfId="46" applyFont="1" applyAlignment="1">
      <alignment horizontal="center" vertical="top"/>
    </xf>
    <xf numFmtId="210" fontId="4" fillId="0" borderId="0" xfId="46" applyNumberFormat="1" applyFont="1" applyAlignment="1">
      <alignment vertical="top"/>
    </xf>
    <xf numFmtId="187" fontId="30" fillId="0" borderId="29" xfId="104" applyNumberFormat="1" applyBorder="1"/>
    <xf numFmtId="0" fontId="69" fillId="0" borderId="9" xfId="104" applyFont="1" applyBorder="1"/>
    <xf numFmtId="0" fontId="30" fillId="0" borderId="29" xfId="104" applyBorder="1"/>
    <xf numFmtId="0" fontId="30" fillId="0" borderId="12" xfId="104" applyBorder="1"/>
    <xf numFmtId="0" fontId="30" fillId="0" borderId="27" xfId="104" applyFill="1" applyBorder="1"/>
    <xf numFmtId="0" fontId="21" fillId="6" borderId="3" xfId="0" applyFont="1" applyFill="1" applyBorder="1" applyAlignment="1" applyProtection="1">
      <alignment horizontal="center"/>
      <protection locked="0"/>
    </xf>
    <xf numFmtId="10" fontId="21" fillId="6" borderId="41" xfId="8" applyNumberFormat="1" applyFont="1" applyFill="1" applyBorder="1" applyAlignment="1" applyProtection="1">
      <alignment vertical="top"/>
      <protection locked="0"/>
    </xf>
    <xf numFmtId="9" fontId="21" fillId="6" borderId="53" xfId="8" applyFont="1" applyFill="1" applyBorder="1" applyProtection="1">
      <protection locked="0"/>
    </xf>
    <xf numFmtId="187" fontId="15" fillId="6" borderId="3" xfId="99" applyNumberFormat="1" applyFont="1" applyFill="1" applyBorder="1" applyProtection="1">
      <protection locked="0"/>
    </xf>
    <xf numFmtId="187" fontId="21" fillId="6" borderId="3" xfId="99" applyNumberFormat="1" applyFont="1" applyFill="1" applyBorder="1" applyProtection="1">
      <protection locked="0"/>
    </xf>
    <xf numFmtId="172" fontId="21" fillId="6" borderId="53" xfId="0" applyNumberFormat="1" applyFont="1" applyFill="1" applyBorder="1" applyProtection="1">
      <protection locked="0"/>
    </xf>
    <xf numFmtId="168" fontId="21" fillId="6" borderId="3" xfId="8" applyNumberFormat="1" applyFont="1" applyFill="1" applyBorder="1" applyProtection="1">
      <protection locked="0"/>
    </xf>
    <xf numFmtId="168" fontId="21" fillId="6" borderId="70" xfId="8" applyNumberFormat="1" applyFont="1" applyFill="1" applyBorder="1" applyProtection="1">
      <protection locked="0"/>
    </xf>
    <xf numFmtId="10" fontId="21" fillId="6" borderId="53" xfId="8" applyNumberFormat="1" applyFont="1" applyFill="1" applyBorder="1" applyProtection="1">
      <protection locked="0"/>
    </xf>
    <xf numFmtId="187" fontId="21" fillId="6" borderId="3" xfId="102" applyNumberFormat="1" applyFont="1" applyFill="1" applyBorder="1" applyProtection="1">
      <protection locked="0"/>
    </xf>
    <xf numFmtId="191" fontId="21" fillId="0" borderId="3" xfId="0" applyNumberFormat="1" applyFont="1" applyFill="1" applyBorder="1" applyAlignment="1" applyProtection="1">
      <alignment horizontal="right"/>
    </xf>
    <xf numFmtId="189" fontId="21" fillId="0" borderId="3" xfId="0" applyNumberFormat="1" applyFont="1" applyFill="1" applyBorder="1" applyAlignment="1" applyProtection="1">
      <alignment horizontal="right"/>
    </xf>
    <xf numFmtId="7" fontId="21" fillId="0" borderId="3" xfId="0" applyNumberFormat="1" applyFont="1" applyFill="1" applyBorder="1" applyAlignment="1" applyProtection="1">
      <alignment horizontal="right"/>
    </xf>
    <xf numFmtId="190" fontId="21" fillId="0" borderId="3" xfId="0" applyNumberFormat="1" applyFont="1" applyFill="1" applyBorder="1" applyAlignment="1" applyProtection="1">
      <alignment horizontal="right"/>
    </xf>
    <xf numFmtId="187" fontId="21" fillId="0" borderId="3" xfId="9" applyNumberFormat="1" applyFont="1" applyFill="1" applyBorder="1" applyAlignment="1" applyProtection="1">
      <alignment horizontal="right"/>
    </xf>
    <xf numFmtId="187" fontId="16" fillId="7" borderId="43" xfId="9" applyNumberFormat="1" applyFont="1" applyFill="1" applyBorder="1" applyAlignment="1" applyProtection="1">
      <alignment horizontal="right"/>
    </xf>
    <xf numFmtId="187" fontId="18" fillId="7" borderId="43" xfId="9" applyNumberFormat="1" applyFont="1" applyFill="1" applyBorder="1" applyAlignment="1" applyProtection="1">
      <alignment horizontal="right"/>
    </xf>
    <xf numFmtId="187" fontId="21" fillId="7" borderId="43" xfId="9" applyNumberFormat="1" applyFont="1" applyFill="1" applyBorder="1" applyAlignment="1" applyProtection="1">
      <alignment horizontal="right"/>
    </xf>
    <xf numFmtId="187" fontId="18" fillId="7" borderId="16" xfId="9" applyNumberFormat="1" applyFont="1" applyFill="1" applyBorder="1" applyAlignment="1" applyProtection="1">
      <alignment horizontal="right"/>
    </xf>
    <xf numFmtId="187" fontId="18" fillId="7" borderId="28" xfId="9" applyNumberFormat="1" applyFont="1" applyFill="1" applyBorder="1" applyAlignment="1" applyProtection="1">
      <alignment horizontal="right"/>
    </xf>
    <xf numFmtId="187" fontId="21" fillId="0" borderId="3" xfId="9" applyNumberFormat="1" applyFont="1" applyFill="1" applyBorder="1" applyAlignment="1" applyProtection="1"/>
    <xf numFmtId="5" fontId="21" fillId="0" borderId="3" xfId="0" applyNumberFormat="1" applyFont="1" applyFill="1" applyBorder="1" applyAlignment="1" applyProtection="1">
      <alignment horizontal="right"/>
    </xf>
    <xf numFmtId="188" fontId="21" fillId="0" borderId="3" xfId="8" applyNumberFormat="1" applyFont="1" applyFill="1" applyBorder="1" applyAlignment="1" applyProtection="1">
      <alignment horizontal="right"/>
    </xf>
    <xf numFmtId="187" fontId="21" fillId="7" borderId="3" xfId="9" applyNumberFormat="1" applyFont="1" applyFill="1" applyBorder="1" applyAlignment="1" applyProtection="1">
      <alignment horizontal="right"/>
    </xf>
    <xf numFmtId="10" fontId="21" fillId="7" borderId="3" xfId="8" applyNumberFormat="1" applyFont="1" applyFill="1" applyBorder="1" applyAlignment="1" applyProtection="1">
      <alignment horizontal="right"/>
    </xf>
    <xf numFmtId="10" fontId="18" fillId="7" borderId="43" xfId="8" applyNumberFormat="1" applyFont="1" applyFill="1" applyBorder="1" applyAlignment="1" applyProtection="1">
      <alignment horizontal="right"/>
    </xf>
    <xf numFmtId="187" fontId="21" fillId="7" borderId="3" xfId="8" applyNumberFormat="1" applyFont="1" applyFill="1" applyBorder="1" applyAlignment="1" applyProtection="1">
      <alignment horizontal="right"/>
    </xf>
    <xf numFmtId="0" fontId="3" fillId="0" borderId="3" xfId="0" applyFont="1" applyBorder="1" applyProtection="1"/>
    <xf numFmtId="187" fontId="18" fillId="0" borderId="43" xfId="9" applyNumberFormat="1" applyFont="1" applyFill="1" applyBorder="1" applyAlignment="1" applyProtection="1">
      <alignment horizontal="right"/>
    </xf>
    <xf numFmtId="187" fontId="3" fillId="0" borderId="3" xfId="9" applyNumberFormat="1" applyFont="1" applyBorder="1" applyProtection="1"/>
    <xf numFmtId="187" fontId="21" fillId="0" borderId="3" xfId="9" applyNumberFormat="1" applyFont="1" applyFill="1" applyBorder="1" applyAlignment="1" applyProtection="1">
      <alignment horizontal="center"/>
    </xf>
    <xf numFmtId="187" fontId="21" fillId="9" borderId="3" xfId="9" applyNumberFormat="1" applyFont="1" applyFill="1" applyBorder="1" applyAlignment="1" applyProtection="1">
      <alignment horizontal="center"/>
    </xf>
    <xf numFmtId="187" fontId="18" fillId="7" borderId="43" xfId="8" applyNumberFormat="1" applyFont="1" applyFill="1" applyBorder="1" applyAlignment="1" applyProtection="1">
      <alignment horizontal="right"/>
    </xf>
    <xf numFmtId="187" fontId="21" fillId="0" borderId="3" xfId="9" applyNumberFormat="1" applyFont="1" applyBorder="1" applyProtection="1"/>
    <xf numFmtId="187" fontId="18" fillId="0" borderId="43" xfId="9" applyNumberFormat="1" applyFont="1" applyBorder="1" applyProtection="1"/>
    <xf numFmtId="5" fontId="18" fillId="0" borderId="43" xfId="0" applyNumberFormat="1" applyFont="1" applyBorder="1" applyAlignment="1" applyProtection="1">
      <alignment horizontal="right"/>
    </xf>
    <xf numFmtId="9" fontId="20" fillId="0" borderId="4" xfId="8" applyFont="1" applyBorder="1" applyAlignment="1" applyProtection="1">
      <alignment horizontal="center"/>
    </xf>
    <xf numFmtId="187" fontId="21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187" fontId="3" fillId="0" borderId="0" xfId="9" applyNumberFormat="1" applyFont="1" applyBorder="1" applyProtection="1"/>
    <xf numFmtId="10" fontId="18" fillId="7" borderId="16" xfId="8" applyNumberFormat="1" applyFont="1" applyFill="1" applyBorder="1" applyAlignment="1" applyProtection="1">
      <alignment horizontal="right"/>
    </xf>
    <xf numFmtId="187" fontId="18" fillId="7" borderId="16" xfId="8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21" fillId="6" borderId="5" xfId="0" applyFont="1" applyFill="1" applyBorder="1" applyProtection="1">
      <protection locked="0"/>
    </xf>
    <xf numFmtId="0" fontId="21" fillId="6" borderId="3" xfId="0" applyFont="1" applyFill="1" applyBorder="1" applyProtection="1">
      <protection locked="0"/>
    </xf>
    <xf numFmtId="0" fontId="21" fillId="0" borderId="4" xfId="0" applyFont="1" applyBorder="1" applyProtection="1"/>
    <xf numFmtId="0" fontId="21" fillId="0" borderId="5" xfId="0" applyFont="1" applyBorder="1" applyProtection="1"/>
    <xf numFmtId="0" fontId="21" fillId="0" borderId="11" xfId="0" applyFont="1" applyBorder="1" applyProtection="1"/>
    <xf numFmtId="0" fontId="21" fillId="0" borderId="12" xfId="0" applyFont="1" applyBorder="1" applyProtection="1"/>
    <xf numFmtId="187" fontId="21" fillId="6" borderId="3" xfId="9" applyNumberFormat="1" applyFont="1" applyFill="1" applyBorder="1" applyProtection="1">
      <protection locked="0"/>
    </xf>
    <xf numFmtId="10" fontId="21" fillId="6" borderId="3" xfId="8" applyNumberFormat="1" applyFont="1" applyFill="1" applyBorder="1" applyProtection="1">
      <protection locked="0"/>
    </xf>
    <xf numFmtId="207" fontId="21" fillId="6" borderId="3" xfId="0" applyNumberFormat="1" applyFont="1" applyFill="1" applyBorder="1" applyProtection="1">
      <protection locked="0"/>
    </xf>
    <xf numFmtId="10" fontId="76" fillId="6" borderId="3" xfId="8" applyNumberFormat="1" applyFont="1" applyFill="1" applyBorder="1" applyProtection="1">
      <protection locked="0"/>
    </xf>
    <xf numFmtId="187" fontId="76" fillId="6" borderId="3" xfId="9" applyNumberFormat="1" applyFont="1" applyFill="1" applyBorder="1" applyProtection="1">
      <protection locked="0"/>
    </xf>
    <xf numFmtId="10" fontId="21" fillId="6" borderId="3" xfId="97" applyNumberFormat="1" applyFont="1" applyFill="1" applyBorder="1" applyAlignment="1" applyProtection="1">
      <alignment horizontal="left"/>
      <protection locked="0"/>
    </xf>
    <xf numFmtId="0" fontId="21" fillId="6" borderId="16" xfId="0" applyFont="1" applyFill="1" applyBorder="1" applyProtection="1">
      <protection locked="0"/>
    </xf>
    <xf numFmtId="200" fontId="21" fillId="6" borderId="3" xfId="11" applyNumberFormat="1" applyFont="1" applyFill="1" applyBorder="1" applyAlignment="1" applyProtection="1">
      <alignment horizontal="center"/>
      <protection locked="0"/>
    </xf>
    <xf numFmtId="0" fontId="21" fillId="0" borderId="0" xfId="116" applyFont="1"/>
    <xf numFmtId="5" fontId="21" fillId="0" borderId="0" xfId="116" applyNumberFormat="1" applyFont="1"/>
    <xf numFmtId="5" fontId="18" fillId="0" borderId="0" xfId="116" applyNumberFormat="1" applyFont="1"/>
    <xf numFmtId="5" fontId="21" fillId="0" borderId="0" xfId="116" applyNumberFormat="1" applyFont="1" applyAlignment="1">
      <alignment horizontal="right"/>
    </xf>
    <xf numFmtId="169" fontId="21" fillId="0" borderId="0" xfId="116" applyNumberFormat="1" applyFont="1"/>
    <xf numFmtId="165" fontId="21" fillId="0" borderId="0" xfId="116" applyNumberFormat="1" applyFont="1" applyAlignment="1">
      <alignment horizontal="left"/>
    </xf>
    <xf numFmtId="0" fontId="21" fillId="0" borderId="0" xfId="116" applyFont="1" applyAlignment="1">
      <alignment horizontal="left"/>
    </xf>
    <xf numFmtId="0" fontId="18" fillId="0" borderId="0" xfId="116" applyFont="1" applyAlignment="1">
      <alignment horizontal="left"/>
    </xf>
    <xf numFmtId="170" fontId="21" fillId="0" borderId="0" xfId="116" applyNumberFormat="1" applyFont="1" applyAlignment="1">
      <alignment horizontal="left"/>
    </xf>
    <xf numFmtId="0" fontId="18" fillId="0" borderId="0" xfId="116" applyFont="1"/>
    <xf numFmtId="212" fontId="21" fillId="0" borderId="0" xfId="116" applyNumberFormat="1" applyFont="1"/>
    <xf numFmtId="3" fontId="21" fillId="0" borderId="0" xfId="116" applyNumberFormat="1" applyFont="1"/>
    <xf numFmtId="9" fontId="76" fillId="6" borderId="53" xfId="8" applyFont="1" applyFill="1" applyBorder="1" applyProtection="1">
      <protection locked="0"/>
    </xf>
    <xf numFmtId="0" fontId="76" fillId="6" borderId="53" xfId="0" applyFont="1" applyFill="1" applyBorder="1" applyProtection="1">
      <protection locked="0"/>
    </xf>
    <xf numFmtId="187" fontId="76" fillId="0" borderId="3" xfId="102" applyNumberFormat="1" applyFont="1" applyBorder="1"/>
    <xf numFmtId="3" fontId="76" fillId="6" borderId="3" xfId="0" applyNumberFormat="1" applyFont="1" applyFill="1" applyBorder="1" applyProtection="1">
      <protection locked="0"/>
    </xf>
    <xf numFmtId="0" fontId="21" fillId="6" borderId="0" xfId="0" applyFont="1" applyFill="1" applyBorder="1" applyProtection="1">
      <protection locked="0"/>
    </xf>
    <xf numFmtId="181" fontId="21" fillId="6" borderId="53" xfId="0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Border="1" applyAlignment="1"/>
    <xf numFmtId="187" fontId="76" fillId="6" borderId="3" xfId="99" applyNumberFormat="1" applyFont="1" applyFill="1" applyBorder="1" applyProtection="1">
      <protection locked="0"/>
    </xf>
    <xf numFmtId="187" fontId="76" fillId="0" borderId="70" xfId="100" applyNumberFormat="1" applyFont="1" applyBorder="1" applyProtection="1"/>
    <xf numFmtId="200" fontId="21" fillId="6" borderId="35" xfId="11" applyNumberFormat="1" applyFont="1" applyFill="1" applyBorder="1" applyAlignment="1" applyProtection="1">
      <alignment horizontal="center"/>
      <protection locked="0"/>
    </xf>
    <xf numFmtId="10" fontId="21" fillId="6" borderId="3" xfId="97" applyNumberFormat="1" applyFont="1" applyFill="1" applyBorder="1" applyAlignment="1" applyProtection="1">
      <protection locked="0"/>
    </xf>
    <xf numFmtId="187" fontId="18" fillId="6" borderId="3" xfId="9" applyNumberFormat="1" applyFont="1" applyFill="1" applyBorder="1" applyProtection="1">
      <protection locked="0"/>
    </xf>
    <xf numFmtId="187" fontId="76" fillId="6" borderId="3" xfId="16" applyNumberFormat="1" applyFont="1" applyFill="1" applyBorder="1" applyAlignment="1" applyProtection="1">
      <alignment horizontal="center"/>
      <protection locked="0"/>
    </xf>
    <xf numFmtId="187" fontId="76" fillId="6" borderId="16" xfId="16" applyNumberFormat="1" applyFont="1" applyFill="1" applyBorder="1" applyAlignment="1" applyProtection="1">
      <alignment horizontal="center"/>
      <protection locked="0"/>
    </xf>
    <xf numFmtId="0" fontId="21" fillId="0" borderId="0" xfId="6" applyFont="1" applyAlignment="1">
      <alignment horizontal="right"/>
    </xf>
    <xf numFmtId="187" fontId="21" fillId="0" borderId="0" xfId="9" applyNumberFormat="1" applyFont="1" applyFill="1" applyBorder="1" applyAlignment="1" applyProtection="1"/>
    <xf numFmtId="187" fontId="21" fillId="6" borderId="27" xfId="9" applyNumberFormat="1" applyFont="1" applyFill="1" applyBorder="1" applyAlignment="1" applyProtection="1">
      <alignment vertical="center" wrapText="1"/>
      <protection locked="0"/>
    </xf>
    <xf numFmtId="3" fontId="21" fillId="7" borderId="3" xfId="8" applyNumberFormat="1" applyFont="1" applyFill="1" applyBorder="1" applyAlignment="1" applyProtection="1">
      <alignment horizontal="right"/>
    </xf>
    <xf numFmtId="3" fontId="16" fillId="7" borderId="43" xfId="9" applyNumberFormat="1" applyFont="1" applyFill="1" applyBorder="1" applyAlignment="1" applyProtection="1">
      <alignment horizontal="right"/>
    </xf>
    <xf numFmtId="3" fontId="18" fillId="7" borderId="43" xfId="9" applyNumberFormat="1" applyFont="1" applyFill="1" applyBorder="1" applyAlignment="1" applyProtection="1">
      <alignment horizontal="right"/>
    </xf>
    <xf numFmtId="3" fontId="18" fillId="7" borderId="16" xfId="9" applyNumberFormat="1" applyFont="1" applyFill="1" applyBorder="1" applyAlignment="1" applyProtection="1">
      <alignment horizontal="right"/>
    </xf>
    <xf numFmtId="188" fontId="21" fillId="0" borderId="3" xfId="8" applyNumberFormat="1" applyFont="1" applyFill="1" applyBorder="1" applyAlignment="1" applyProtection="1">
      <alignment horizontal="right" vertical="top"/>
    </xf>
    <xf numFmtId="187" fontId="21" fillId="6" borderId="3" xfId="9" applyNumberFormat="1" applyFont="1" applyFill="1" applyBorder="1" applyAlignment="1" applyProtection="1">
      <alignment horizontal="right" vertical="top"/>
      <protection locked="0"/>
    </xf>
    <xf numFmtId="10" fontId="21" fillId="6" borderId="3" xfId="8" applyNumberFormat="1" applyFont="1" applyFill="1" applyBorder="1" applyAlignment="1" applyProtection="1">
      <alignment horizontal="right" vertical="top"/>
      <protection locked="0"/>
    </xf>
    <xf numFmtId="5" fontId="21" fillId="6" borderId="3" xfId="0" applyNumberFormat="1" applyFont="1" applyFill="1" applyBorder="1" applyAlignment="1" applyProtection="1">
      <alignment horizontal="right" vertical="top"/>
      <protection locked="0"/>
    </xf>
    <xf numFmtId="187" fontId="21" fillId="6" borderId="3" xfId="9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5" fontId="7" fillId="0" borderId="0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87" fontId="21" fillId="0" borderId="0" xfId="0" applyNumberFormat="1" applyFont="1" applyBorder="1" applyAlignment="1">
      <alignment horizontal="center"/>
    </xf>
    <xf numFmtId="0" fontId="28" fillId="6" borderId="3" xfId="0" applyFont="1" applyFill="1" applyBorder="1" applyAlignment="1" applyProtection="1">
      <alignment horizontal="center"/>
      <protection locked="0"/>
    </xf>
    <xf numFmtId="192" fontId="30" fillId="0" borderId="0" xfId="104" applyNumberFormat="1"/>
    <xf numFmtId="192" fontId="30" fillId="0" borderId="0" xfId="26" applyNumberFormat="1" applyFont="1"/>
    <xf numFmtId="187" fontId="30" fillId="0" borderId="0" xfId="105" applyNumberFormat="1" applyFont="1" applyAlignment="1"/>
    <xf numFmtId="37" fontId="21" fillId="0" borderId="53" xfId="85" applyFont="1" applyFill="1" applyBorder="1" applyProtection="1"/>
    <xf numFmtId="37" fontId="21" fillId="6" borderId="3" xfId="0" applyNumberFormat="1" applyFont="1" applyFill="1" applyBorder="1" applyProtection="1">
      <protection locked="0"/>
    </xf>
    <xf numFmtId="9" fontId="18" fillId="7" borderId="28" xfId="8" applyFont="1" applyFill="1" applyBorder="1" applyAlignment="1" applyProtection="1">
      <alignment horizontal="right"/>
    </xf>
    <xf numFmtId="187" fontId="15" fillId="6" borderId="53" xfId="99" applyNumberFormat="1" applyFont="1" applyFill="1" applyBorder="1" applyProtection="1">
      <protection locked="0"/>
    </xf>
    <xf numFmtId="187" fontId="21" fillId="6" borderId="53" xfId="99" applyNumberFormat="1" applyFont="1" applyFill="1" applyBorder="1" applyProtection="1">
      <protection locked="0"/>
    </xf>
    <xf numFmtId="187" fontId="76" fillId="6" borderId="53" xfId="99" applyNumberFormat="1" applyFont="1" applyFill="1" applyBorder="1" applyProtection="1">
      <protection locked="0"/>
    </xf>
    <xf numFmtId="187" fontId="21" fillId="6" borderId="53" xfId="102" applyNumberFormat="1" applyFont="1" applyFill="1" applyBorder="1" applyProtection="1">
      <protection locked="0"/>
    </xf>
    <xf numFmtId="10" fontId="21" fillId="6" borderId="8" xfId="97" applyNumberFormat="1" applyFont="1" applyFill="1" applyBorder="1" applyAlignment="1" applyProtection="1">
      <alignment horizontal="left"/>
      <protection locked="0"/>
    </xf>
    <xf numFmtId="10" fontId="21" fillId="6" borderId="8" xfId="97" applyNumberFormat="1" applyFont="1" applyFill="1" applyBorder="1" applyAlignment="1" applyProtection="1">
      <protection locked="0"/>
    </xf>
    <xf numFmtId="0" fontId="73" fillId="0" borderId="0" xfId="0" applyFont="1" applyBorder="1" applyAlignment="1">
      <alignment vertical="center"/>
    </xf>
    <xf numFmtId="0" fontId="73" fillId="0" borderId="0" xfId="0" applyFont="1" applyAlignment="1"/>
    <xf numFmtId="10" fontId="17" fillId="6" borderId="8" xfId="8" applyNumberFormat="1" applyFont="1" applyFill="1" applyBorder="1" applyAlignment="1" applyProtection="1">
      <alignment horizontal="center" vertical="center"/>
      <protection locked="0"/>
    </xf>
    <xf numFmtId="10" fontId="17" fillId="6" borderId="3" xfId="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1" fillId="0" borderId="0" xfId="0" applyFont="1" applyBorder="1"/>
    <xf numFmtId="212" fontId="21" fillId="6" borderId="3" xfId="5" applyNumberFormat="1" applyFont="1" applyFill="1" applyBorder="1" applyAlignment="1" applyProtection="1">
      <alignment horizontal="center"/>
      <protection locked="0"/>
    </xf>
    <xf numFmtId="187" fontId="21" fillId="0" borderId="0" xfId="0" applyNumberFormat="1" applyFont="1" applyFill="1"/>
    <xf numFmtId="0" fontId="21" fillId="6" borderId="41" xfId="0" applyFont="1" applyFill="1" applyBorder="1" applyAlignment="1" applyProtection="1">
      <alignment horizontal="center"/>
      <protection locked="0"/>
    </xf>
    <xf numFmtId="0" fontId="28" fillId="6" borderId="8" xfId="0" applyFont="1" applyFill="1" applyBorder="1" applyAlignment="1" applyProtection="1">
      <alignment horizontal="center"/>
      <protection locked="0"/>
    </xf>
    <xf numFmtId="0" fontId="21" fillId="6" borderId="8" xfId="0" applyFont="1" applyFill="1" applyBorder="1" applyAlignment="1" applyProtection="1">
      <alignment horizontal="center"/>
      <protection locked="0"/>
    </xf>
    <xf numFmtId="10" fontId="21" fillId="0" borderId="53" xfId="85" applyNumberFormat="1" applyFont="1" applyFill="1" applyBorder="1" applyProtection="1"/>
    <xf numFmtId="37" fontId="21" fillId="0" borderId="53" xfId="85" applyFont="1" applyFill="1" applyBorder="1" applyAlignment="1" applyProtection="1">
      <alignment vertical="top"/>
    </xf>
    <xf numFmtId="169" fontId="21" fillId="6" borderId="3" xfId="5" applyNumberFormat="1" applyFont="1" applyFill="1" applyBorder="1" applyAlignment="1" applyProtection="1">
      <alignment horizontal="center"/>
      <protection locked="0"/>
    </xf>
    <xf numFmtId="37" fontId="21" fillId="0" borderId="68" xfId="85" applyFont="1" applyFill="1" applyBorder="1" applyProtection="1"/>
    <xf numFmtId="169" fontId="18" fillId="0" borderId="3" xfId="0" applyNumberFormat="1" applyFont="1" applyFill="1" applyBorder="1" applyProtection="1"/>
    <xf numFmtId="187" fontId="18" fillId="0" borderId="65" xfId="9" applyNumberFormat="1" applyFont="1" applyFill="1" applyBorder="1" applyProtection="1"/>
    <xf numFmtId="10" fontId="21" fillId="0" borderId="53" xfId="8" applyNumberFormat="1" applyFont="1" applyFill="1" applyBorder="1" applyProtection="1"/>
    <xf numFmtId="8" fontId="21" fillId="0" borderId="53" xfId="5" applyFont="1" applyFill="1" applyBorder="1" applyProtection="1"/>
    <xf numFmtId="9" fontId="21" fillId="0" borderId="53" xfId="8" applyFont="1" applyFill="1" applyBorder="1" applyProtection="1"/>
    <xf numFmtId="0" fontId="19" fillId="0" borderId="0" xfId="0" applyFont="1" applyBorder="1" applyAlignment="1">
      <alignment horizontal="center" vertical="center"/>
    </xf>
    <xf numFmtId="0" fontId="4" fillId="0" borderId="0" xfId="0" quotePrefix="1" applyFont="1"/>
    <xf numFmtId="0" fontId="19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vertical="center"/>
    </xf>
    <xf numFmtId="0" fontId="85" fillId="0" borderId="0" xfId="0" applyFont="1"/>
    <xf numFmtId="0" fontId="85" fillId="0" borderId="0" xfId="0" applyFont="1" applyAlignment="1">
      <alignment vertical="top"/>
    </xf>
    <xf numFmtId="9" fontId="19" fillId="0" borderId="0" xfId="8" applyFont="1" applyBorder="1" applyAlignment="1">
      <alignment horizontal="center" vertical="center"/>
    </xf>
    <xf numFmtId="219" fontId="21" fillId="0" borderId="3" xfId="8" applyNumberFormat="1" applyFont="1" applyFill="1" applyBorder="1" applyAlignment="1" applyProtection="1">
      <alignment horizontal="right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9" xfId="0" applyFont="1" applyBorder="1"/>
    <xf numFmtId="0" fontId="19" fillId="0" borderId="42" xfId="0" applyFont="1" applyBorder="1"/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19" fillId="0" borderId="4" xfId="0" applyFont="1" applyBorder="1" applyAlignment="1">
      <alignment horizontal="left" vertical="center"/>
    </xf>
    <xf numFmtId="0" fontId="8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73" fillId="0" borderId="10" xfId="0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Border="1"/>
    <xf numFmtId="0" fontId="21" fillId="0" borderId="0" xfId="0" applyFont="1" applyBorder="1"/>
    <xf numFmtId="0" fontId="17" fillId="0" borderId="46" xfId="0" applyFont="1" applyBorder="1" applyAlignment="1">
      <alignment horizontal="center" vertical="center"/>
    </xf>
    <xf numFmtId="0" fontId="73" fillId="0" borderId="6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0" fillId="0" borderId="0" xfId="0" applyBorder="1"/>
    <xf numFmtId="187" fontId="20" fillId="0" borderId="0" xfId="0" applyNumberFormat="1" applyFont="1"/>
    <xf numFmtId="0" fontId="19" fillId="0" borderId="3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47" xfId="0" applyFont="1" applyBorder="1"/>
    <xf numFmtId="0" fontId="21" fillId="0" borderId="0" xfId="6" applyFont="1" applyAlignment="1">
      <alignment horizontal="left"/>
    </xf>
    <xf numFmtId="0" fontId="73" fillId="0" borderId="5" xfId="0" applyFont="1" applyBorder="1" applyAlignment="1">
      <alignment horizontal="center" vertical="center"/>
    </xf>
    <xf numFmtId="0" fontId="19" fillId="0" borderId="8" xfId="0" applyFont="1" applyBorder="1"/>
    <xf numFmtId="169" fontId="19" fillId="0" borderId="0" xfId="8" applyNumberFormat="1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/>
    </xf>
    <xf numFmtId="0" fontId="19" fillId="0" borderId="47" xfId="6" applyFont="1" applyBorder="1"/>
    <xf numFmtId="169" fontId="19" fillId="0" borderId="0" xfId="0" applyNumberFormat="1" applyFont="1" applyBorder="1" applyAlignment="1">
      <alignment horizontal="center"/>
    </xf>
    <xf numFmtId="169" fontId="19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19" fillId="6" borderId="83" xfId="0" applyFont="1" applyFill="1" applyBorder="1" applyAlignment="1"/>
    <xf numFmtId="0" fontId="19" fillId="6" borderId="82" xfId="0" applyFont="1" applyFill="1" applyBorder="1" applyAlignment="1"/>
    <xf numFmtId="0" fontId="0" fillId="0" borderId="47" xfId="0" applyBorder="1"/>
    <xf numFmtId="0" fontId="19" fillId="0" borderId="65" xfId="0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" xfId="0" applyFont="1" applyBorder="1"/>
    <xf numFmtId="169" fontId="19" fillId="0" borderId="1" xfId="0" applyNumberFormat="1" applyFont="1" applyBorder="1" applyAlignment="1">
      <alignment horizontal="center"/>
    </xf>
    <xf numFmtId="169" fontId="19" fillId="0" borderId="16" xfId="0" applyNumberFormat="1" applyFont="1" applyBorder="1" applyAlignment="1">
      <alignment horizontal="center"/>
    </xf>
    <xf numFmtId="0" fontId="19" fillId="0" borderId="7" xfId="0" applyFont="1" applyBorder="1"/>
    <xf numFmtId="0" fontId="19" fillId="0" borderId="36" xfId="0" applyFont="1" applyBorder="1" applyAlignment="1">
      <alignment horizontal="center" vertical="center"/>
    </xf>
    <xf numFmtId="0" fontId="17" fillId="0" borderId="44" xfId="0" applyFont="1" applyBorder="1"/>
    <xf numFmtId="0" fontId="19" fillId="0" borderId="45" xfId="0" applyFont="1" applyBorder="1"/>
    <xf numFmtId="9" fontId="19" fillId="0" borderId="45" xfId="8" applyFont="1" applyBorder="1" applyAlignment="1">
      <alignment horizontal="center" vertical="center"/>
    </xf>
    <xf numFmtId="0" fontId="19" fillId="0" borderId="46" xfId="0" applyFont="1" applyBorder="1"/>
    <xf numFmtId="0" fontId="19" fillId="0" borderId="34" xfId="0" applyFont="1" applyBorder="1" applyAlignment="1">
      <alignment horizontal="center" vertical="center"/>
    </xf>
    <xf numFmtId="0" fontId="19" fillId="6" borderId="85" xfId="0" applyFont="1" applyFill="1" applyBorder="1" applyAlignment="1"/>
    <xf numFmtId="0" fontId="19" fillId="0" borderId="49" xfId="6" applyFont="1" applyBorder="1"/>
    <xf numFmtId="0" fontId="19" fillId="0" borderId="50" xfId="0" applyFont="1" applyBorder="1"/>
    <xf numFmtId="0" fontId="4" fillId="0" borderId="50" xfId="0" applyFont="1" applyBorder="1"/>
    <xf numFmtId="169" fontId="19" fillId="0" borderId="41" xfId="0" applyNumberFormat="1" applyFont="1" applyBorder="1" applyAlignment="1">
      <alignment horizontal="center"/>
    </xf>
    <xf numFmtId="169" fontId="19" fillId="0" borderId="50" xfId="8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69" fontId="19" fillId="0" borderId="59" xfId="0" applyNumberFormat="1" applyFont="1" applyBorder="1" applyAlignment="1">
      <alignment horizontal="center"/>
    </xf>
    <xf numFmtId="0" fontId="19" fillId="0" borderId="44" xfId="0" applyFont="1" applyBorder="1"/>
    <xf numFmtId="0" fontId="19" fillId="0" borderId="34" xfId="0" applyFont="1" applyBorder="1"/>
    <xf numFmtId="0" fontId="19" fillId="6" borderId="85" xfId="0" applyFont="1" applyFill="1" applyBorder="1" applyAlignment="1">
      <alignment horizontal="left"/>
    </xf>
    <xf numFmtId="9" fontId="19" fillId="0" borderId="50" xfId="8" applyFont="1" applyBorder="1" applyAlignment="1">
      <alignment horizontal="center" vertical="center"/>
    </xf>
    <xf numFmtId="9" fontId="19" fillId="0" borderId="42" xfId="8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9" fontId="19" fillId="0" borderId="59" xfId="0" applyNumberFormat="1" applyFont="1" applyBorder="1" applyAlignment="1">
      <alignment horizontal="center" vertical="center"/>
    </xf>
    <xf numFmtId="9" fontId="19" fillId="0" borderId="4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10" fontId="19" fillId="0" borderId="59" xfId="0" applyNumberFormat="1" applyFont="1" applyBorder="1" applyAlignment="1">
      <alignment horizontal="center" vertical="center"/>
    </xf>
    <xf numFmtId="37" fontId="19" fillId="0" borderId="59" xfId="0" applyNumberFormat="1" applyFont="1" applyBorder="1" applyAlignment="1">
      <alignment horizontal="center" vertical="center"/>
    </xf>
    <xf numFmtId="5" fontId="19" fillId="0" borderId="45" xfId="0" applyNumberFormat="1" applyFont="1" applyBorder="1" applyAlignment="1">
      <alignment horizontal="center" vertical="center"/>
    </xf>
    <xf numFmtId="10" fontId="19" fillId="0" borderId="59" xfId="8" applyNumberFormat="1" applyFont="1" applyBorder="1" applyAlignment="1">
      <alignment horizontal="center" vertical="center"/>
    </xf>
    <xf numFmtId="10" fontId="19" fillId="0" borderId="45" xfId="8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75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wrapText="1"/>
    </xf>
    <xf numFmtId="0" fontId="19" fillId="0" borderId="7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69" fontId="4" fillId="0" borderId="0" xfId="0" applyNumberFormat="1" applyFont="1"/>
    <xf numFmtId="212" fontId="4" fillId="0" borderId="0" xfId="0" applyNumberFormat="1" applyFont="1"/>
    <xf numFmtId="212" fontId="0" fillId="0" borderId="0" xfId="0" applyNumberFormat="1"/>
    <xf numFmtId="0" fontId="4" fillId="0" borderId="30" xfId="0" applyFont="1" applyBorder="1"/>
    <xf numFmtId="0" fontId="73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center" vertical="center"/>
    </xf>
    <xf numFmtId="0" fontId="19" fillId="6" borderId="85" xfId="0" applyFont="1" applyFill="1" applyBorder="1" applyAlignment="1">
      <alignment vertical="center"/>
    </xf>
    <xf numFmtId="0" fontId="19" fillId="6" borderId="82" xfId="0" applyFont="1" applyFill="1" applyBorder="1" applyAlignment="1">
      <alignment vertical="center"/>
    </xf>
    <xf numFmtId="0" fontId="19" fillId="0" borderId="47" xfId="98" applyFont="1" applyBorder="1"/>
    <xf numFmtId="0" fontId="38" fillId="30" borderId="0" xfId="46" applyFont="1" applyFill="1" applyAlignment="1" applyProtection="1">
      <alignment vertical="center"/>
      <protection locked="0"/>
    </xf>
    <xf numFmtId="0" fontId="38" fillId="30" borderId="0" xfId="46" applyFont="1" applyFill="1" applyProtection="1">
      <protection locked="0"/>
    </xf>
    <xf numFmtId="0" fontId="31" fillId="30" borderId="0" xfId="46" applyFill="1" applyProtection="1">
      <protection locked="0"/>
    </xf>
    <xf numFmtId="0" fontId="31" fillId="0" borderId="0" xfId="46" applyProtection="1">
      <protection locked="0"/>
    </xf>
    <xf numFmtId="0" fontId="38" fillId="9" borderId="0" xfId="46" applyFont="1" applyFill="1" applyAlignment="1" applyProtection="1">
      <alignment vertical="center"/>
      <protection locked="0"/>
    </xf>
    <xf numFmtId="0" fontId="31" fillId="9" borderId="0" xfId="46" applyFill="1" applyProtection="1">
      <protection locked="0"/>
    </xf>
    <xf numFmtId="220" fontId="31" fillId="7" borderId="80" xfId="46" quotePrefix="1" applyNumberFormat="1" applyFill="1" applyBorder="1" applyProtection="1">
      <protection locked="0"/>
    </xf>
    <xf numFmtId="0" fontId="31" fillId="10" borderId="0" xfId="46" applyFill="1" applyProtection="1">
      <protection locked="0"/>
    </xf>
    <xf numFmtId="0" fontId="89" fillId="10" borderId="0" xfId="46" applyFont="1" applyFill="1" applyProtection="1">
      <protection locked="0"/>
    </xf>
    <xf numFmtId="0" fontId="31" fillId="27" borderId="80" xfId="46" applyFill="1" applyBorder="1" applyProtection="1">
      <protection locked="0"/>
    </xf>
    <xf numFmtId="221" fontId="31" fillId="27" borderId="80" xfId="46" applyNumberFormat="1" applyFill="1" applyBorder="1" applyProtection="1">
      <protection locked="0"/>
    </xf>
    <xf numFmtId="14" fontId="31" fillId="10" borderId="0" xfId="46" applyNumberFormat="1" applyFill="1" applyProtection="1">
      <protection locked="0"/>
    </xf>
    <xf numFmtId="0" fontId="90" fillId="10" borderId="0" xfId="46" applyFont="1" applyFill="1" applyProtection="1">
      <protection locked="0"/>
    </xf>
    <xf numFmtId="0" fontId="31" fillId="10" borderId="86" xfId="46" applyFill="1" applyBorder="1" applyProtection="1">
      <protection locked="0"/>
    </xf>
    <xf numFmtId="0" fontId="38" fillId="30" borderId="0" xfId="46" applyFont="1" applyFill="1" applyAlignment="1">
      <alignment vertical="center"/>
    </xf>
    <xf numFmtId="0" fontId="38" fillId="30" borderId="0" xfId="46" applyFont="1" applyFill="1"/>
    <xf numFmtId="0" fontId="31" fillId="30" borderId="0" xfId="46" applyFill="1"/>
    <xf numFmtId="0" fontId="31" fillId="10" borderId="0" xfId="46" applyFill="1"/>
    <xf numFmtId="0" fontId="91" fillId="10" borderId="0" xfId="46" applyFont="1" applyFill="1" applyAlignment="1">
      <alignment wrapText="1"/>
    </xf>
    <xf numFmtId="1" fontId="31" fillId="27" borderId="80" xfId="46" applyNumberFormat="1" applyFill="1" applyBorder="1" applyAlignment="1">
      <alignment horizontal="right"/>
    </xf>
    <xf numFmtId="0" fontId="94" fillId="10" borderId="0" xfId="46" applyFont="1" applyFill="1" applyAlignment="1">
      <alignment horizontal="center"/>
    </xf>
    <xf numFmtId="0" fontId="95" fillId="10" borderId="0" xfId="46" applyFont="1" applyFill="1" applyAlignment="1">
      <alignment horizontal="center"/>
    </xf>
    <xf numFmtId="0" fontId="31" fillId="0" borderId="0" xfId="46"/>
    <xf numFmtId="0" fontId="91" fillId="10" borderId="0" xfId="46" applyFont="1" applyFill="1" applyAlignment="1">
      <alignment horizontal="left"/>
    </xf>
    <xf numFmtId="0" fontId="31" fillId="10" borderId="0" xfId="46" applyFill="1" applyAlignment="1">
      <alignment horizontal="right"/>
    </xf>
    <xf numFmtId="180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/>
    <xf numFmtId="0" fontId="31" fillId="10" borderId="0" xfId="46" applyFill="1" applyAlignment="1">
      <alignment horizontal="center"/>
    </xf>
    <xf numFmtId="0" fontId="31" fillId="10" borderId="86" xfId="46" applyFill="1" applyBorder="1"/>
    <xf numFmtId="0" fontId="91" fillId="10" borderId="86" xfId="46" applyFont="1" applyFill="1" applyBorder="1" applyAlignment="1">
      <alignment horizontal="left"/>
    </xf>
    <xf numFmtId="0" fontId="31" fillId="10" borderId="86" xfId="46" applyFill="1" applyBorder="1" applyAlignment="1">
      <alignment horizontal="right"/>
    </xf>
    <xf numFmtId="180" fontId="31" fillId="10" borderId="86" xfId="46" applyNumberFormat="1" applyFill="1" applyBorder="1" applyAlignment="1">
      <alignment horizontal="center"/>
    </xf>
    <xf numFmtId="180" fontId="31" fillId="10" borderId="86" xfId="46" applyNumberFormat="1" applyFill="1" applyBorder="1"/>
    <xf numFmtId="0" fontId="31" fillId="10" borderId="86" xfId="46" applyFill="1" applyBorder="1" applyAlignment="1">
      <alignment horizontal="center"/>
    </xf>
    <xf numFmtId="0" fontId="31" fillId="30" borderId="0" xfId="46" applyFill="1" applyAlignment="1">
      <alignment vertical="center"/>
    </xf>
    <xf numFmtId="17" fontId="31" fillId="30" borderId="0" xfId="46" applyNumberFormat="1" applyFill="1" applyAlignment="1">
      <alignment horizontal="center" vertical="center"/>
    </xf>
    <xf numFmtId="17" fontId="31" fillId="30" borderId="0" xfId="46" applyNumberFormat="1" applyFill="1" applyAlignment="1">
      <alignment vertical="center"/>
    </xf>
    <xf numFmtId="9" fontId="91" fillId="30" borderId="0" xfId="46" applyNumberFormat="1" applyFont="1" applyFill="1" applyAlignment="1">
      <alignment horizontal="center" vertical="center"/>
    </xf>
    <xf numFmtId="10" fontId="31" fillId="0" borderId="0" xfId="46" applyNumberFormat="1"/>
    <xf numFmtId="0" fontId="38" fillId="10" borderId="0" xfId="46" applyFont="1" applyFill="1"/>
    <xf numFmtId="17" fontId="31" fillId="10" borderId="0" xfId="46" applyNumberFormat="1" applyFill="1" applyAlignment="1">
      <alignment horizontal="center"/>
    </xf>
    <xf numFmtId="17" fontId="31" fillId="10" borderId="0" xfId="46" applyNumberFormat="1" applyFill="1"/>
    <xf numFmtId="0" fontId="96" fillId="10" borderId="0" xfId="46" applyFont="1" applyFill="1" applyAlignment="1">
      <alignment horizontal="center"/>
    </xf>
    <xf numFmtId="0" fontId="91" fillId="10" borderId="0" xfId="46" applyFont="1" applyFill="1"/>
    <xf numFmtId="0" fontId="31" fillId="0" borderId="80" xfId="46" applyBorder="1" applyAlignment="1" applyProtection="1">
      <alignment horizontal="center"/>
      <protection locked="0"/>
    </xf>
    <xf numFmtId="17" fontId="31" fillId="10" borderId="0" xfId="46" applyNumberFormat="1" applyFill="1" applyAlignment="1" applyProtection="1">
      <alignment horizontal="center"/>
      <protection locked="0"/>
    </xf>
    <xf numFmtId="17" fontId="31" fillId="10" borderId="0" xfId="46" applyNumberFormat="1" applyFill="1" applyProtection="1">
      <protection locked="0"/>
    </xf>
    <xf numFmtId="0" fontId="31" fillId="10" borderId="0" xfId="46" applyFill="1" applyAlignment="1" applyProtection="1">
      <alignment horizontal="center"/>
      <protection locked="0"/>
    </xf>
    <xf numFmtId="0" fontId="90" fillId="10" borderId="0" xfId="46" applyFont="1" applyFill="1"/>
    <xf numFmtId="0" fontId="31" fillId="7" borderId="80" xfId="46" applyFill="1" applyBorder="1"/>
    <xf numFmtId="0" fontId="31" fillId="10" borderId="14" xfId="46" applyFill="1" applyBorder="1" applyAlignment="1">
      <alignment horizontal="center"/>
    </xf>
    <xf numFmtId="0" fontId="31" fillId="0" borderId="82" xfId="46" applyBorder="1" applyAlignment="1" applyProtection="1">
      <alignment horizontal="center"/>
      <protection locked="0"/>
    </xf>
    <xf numFmtId="9" fontId="0" fillId="0" borderId="0" xfId="88" applyFont="1"/>
    <xf numFmtId="0" fontId="91" fillId="30" borderId="0" xfId="46" applyFont="1" applyFill="1" applyAlignment="1">
      <alignment vertical="center"/>
    </xf>
    <xf numFmtId="221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 applyAlignment="1" applyProtection="1">
      <alignment horizontal="center"/>
      <protection locked="0"/>
    </xf>
    <xf numFmtId="0" fontId="91" fillId="9" borderId="0" xfId="46" applyFont="1" applyFill="1"/>
    <xf numFmtId="0" fontId="31" fillId="9" borderId="0" xfId="46" applyFill="1"/>
    <xf numFmtId="0" fontId="31" fillId="10" borderId="14" xfId="46" applyFill="1" applyBorder="1" applyAlignment="1" applyProtection="1">
      <alignment horizontal="center"/>
      <protection locked="0"/>
    </xf>
    <xf numFmtId="0" fontId="31" fillId="0" borderId="80" xfId="46" applyBorder="1" applyAlignment="1">
      <alignment horizontal="center"/>
    </xf>
    <xf numFmtId="180" fontId="31" fillId="0" borderId="80" xfId="46" applyNumberFormat="1" applyBorder="1" applyAlignment="1">
      <alignment horizontal="center"/>
    </xf>
    <xf numFmtId="180" fontId="31" fillId="10" borderId="0" xfId="46" applyNumberFormat="1" applyFill="1" applyAlignment="1">
      <alignment horizontal="center"/>
    </xf>
    <xf numFmtId="0" fontId="31" fillId="0" borderId="82" xfId="46" applyBorder="1" applyAlignment="1">
      <alignment horizontal="center"/>
    </xf>
    <xf numFmtId="221" fontId="31" fillId="0" borderId="80" xfId="46" applyNumberFormat="1" applyBorder="1" applyAlignment="1">
      <alignment horizontal="center"/>
    </xf>
    <xf numFmtId="221" fontId="31" fillId="10" borderId="0" xfId="46" applyNumberFormat="1" applyFill="1"/>
    <xf numFmtId="0" fontId="31" fillId="30" borderId="0" xfId="46" applyFill="1" applyAlignment="1">
      <alignment horizontal="center"/>
    </xf>
    <xf numFmtId="0" fontId="31" fillId="0" borderId="0" xfId="46" applyAlignment="1">
      <alignment horizontal="center"/>
    </xf>
    <xf numFmtId="0" fontId="97" fillId="0" borderId="0" xfId="46" applyFont="1"/>
    <xf numFmtId="0" fontId="98" fillId="0" borderId="0" xfId="46" applyFont="1"/>
    <xf numFmtId="0" fontId="31" fillId="0" borderId="86" xfId="46" applyBorder="1"/>
    <xf numFmtId="0" fontId="91" fillId="0" borderId="86" xfId="46" applyFont="1" applyBorder="1" applyAlignment="1">
      <alignment horizontal="left"/>
    </xf>
    <xf numFmtId="0" fontId="31" fillId="0" borderId="86" xfId="46" applyBorder="1" applyAlignment="1">
      <alignment horizontal="right"/>
    </xf>
    <xf numFmtId="180" fontId="31" fillId="0" borderId="86" xfId="46" applyNumberFormat="1" applyBorder="1" applyAlignment="1">
      <alignment horizontal="center"/>
    </xf>
    <xf numFmtId="180" fontId="31" fillId="0" borderId="86" xfId="46" applyNumberFormat="1" applyBorder="1"/>
    <xf numFmtId="0" fontId="31" fillId="0" borderId="86" xfId="46" applyBorder="1" applyAlignment="1">
      <alignment horizontal="center"/>
    </xf>
    <xf numFmtId="0" fontId="91" fillId="0" borderId="0" xfId="46" applyFont="1"/>
    <xf numFmtId="0" fontId="31" fillId="0" borderId="0" xfId="46" applyAlignment="1">
      <alignment horizontal="left"/>
    </xf>
    <xf numFmtId="0" fontId="31" fillId="0" borderId="1" xfId="46" applyBorder="1"/>
    <xf numFmtId="0" fontId="31" fillId="0" borderId="1" xfId="46" applyBorder="1" applyAlignment="1">
      <alignment horizontal="center"/>
    </xf>
    <xf numFmtId="0" fontId="31" fillId="0" borderId="10" xfId="46" applyBorder="1"/>
    <xf numFmtId="1" fontId="31" fillId="0" borderId="0" xfId="46" applyNumberFormat="1" applyAlignment="1">
      <alignment horizontal="right"/>
    </xf>
    <xf numFmtId="1" fontId="31" fillId="0" borderId="0" xfId="46" applyNumberFormat="1"/>
    <xf numFmtId="2" fontId="31" fillId="0" borderId="0" xfId="46" applyNumberFormat="1"/>
    <xf numFmtId="2" fontId="31" fillId="0" borderId="0" xfId="46" applyNumberFormat="1" applyAlignment="1">
      <alignment horizontal="center"/>
    </xf>
    <xf numFmtId="0" fontId="31" fillId="0" borderId="0" xfId="46" applyAlignment="1">
      <alignment horizontal="right"/>
    </xf>
    <xf numFmtId="168" fontId="31" fillId="0" borderId="0" xfId="88" applyNumberFormat="1" applyFont="1" applyFill="1" applyAlignment="1"/>
    <xf numFmtId="0" fontId="98" fillId="0" borderId="1" xfId="46" applyFont="1" applyBorder="1"/>
    <xf numFmtId="0" fontId="31" fillId="10" borderId="50" xfId="46" applyFill="1" applyBorder="1"/>
    <xf numFmtId="0" fontId="38" fillId="10" borderId="0" xfId="46" applyFont="1" applyFill="1" applyAlignment="1">
      <alignment vertical="center"/>
    </xf>
    <xf numFmtId="0" fontId="38" fillId="10" borderId="50" xfId="46" applyFont="1" applyFill="1" applyBorder="1" applyAlignment="1">
      <alignment vertical="center"/>
    </xf>
    <xf numFmtId="0" fontId="31" fillId="9" borderId="50" xfId="46" applyFill="1" applyBorder="1"/>
    <xf numFmtId="0" fontId="31" fillId="10" borderId="50" xfId="46" applyFill="1" applyBorder="1" applyProtection="1">
      <protection locked="0"/>
    </xf>
    <xf numFmtId="0" fontId="38" fillId="0" borderId="0" xfId="46" applyFont="1"/>
    <xf numFmtId="0" fontId="99" fillId="0" borderId="0" xfId="46" applyFont="1"/>
    <xf numFmtId="0" fontId="37" fillId="0" borderId="0" xfId="46" applyFont="1" applyAlignment="1">
      <alignment horizontal="right"/>
    </xf>
    <xf numFmtId="0" fontId="100" fillId="0" borderId="0" xfId="46" applyFont="1"/>
    <xf numFmtId="0" fontId="37" fillId="10" borderId="0" xfId="46" applyFont="1" applyFill="1"/>
    <xf numFmtId="0" fontId="37" fillId="0" borderId="0" xfId="46" applyFont="1"/>
    <xf numFmtId="0" fontId="89" fillId="0" borderId="10" xfId="46" applyFont="1" applyBorder="1" applyAlignment="1">
      <alignment vertical="top"/>
    </xf>
    <xf numFmtId="0" fontId="89" fillId="0" borderId="87" xfId="46" applyFont="1" applyBorder="1" applyAlignment="1">
      <alignment vertical="top"/>
    </xf>
    <xf numFmtId="0" fontId="89" fillId="10" borderId="0" xfId="46" applyFont="1" applyFill="1" applyAlignment="1">
      <alignment vertical="top"/>
    </xf>
    <xf numFmtId="0" fontId="91" fillId="0" borderId="88" xfId="46" applyFont="1" applyBorder="1" applyAlignment="1">
      <alignment vertical="top"/>
    </xf>
    <xf numFmtId="0" fontId="89" fillId="0" borderId="88" xfId="46" applyFont="1" applyBorder="1" applyAlignment="1">
      <alignment vertical="top"/>
    </xf>
    <xf numFmtId="0" fontId="91" fillId="0" borderId="89" xfId="46" applyFont="1" applyBorder="1" applyAlignment="1">
      <alignment vertical="top"/>
    </xf>
    <xf numFmtId="14" fontId="91" fillId="0" borderId="89" xfId="46" applyNumberFormat="1" applyFont="1" applyBorder="1" applyAlignment="1">
      <alignment horizontal="left" vertical="top"/>
    </xf>
    <xf numFmtId="0" fontId="89" fillId="0" borderId="0" xfId="46" applyFont="1" applyAlignment="1">
      <alignment vertical="top"/>
    </xf>
    <xf numFmtId="0" fontId="37" fillId="0" borderId="90" xfId="46" applyFont="1" applyBorder="1" applyAlignment="1">
      <alignment horizontal="centerContinuous"/>
    </xf>
    <xf numFmtId="0" fontId="37" fillId="0" borderId="91" xfId="46" applyFont="1" applyBorder="1" applyAlignment="1">
      <alignment horizontal="centerContinuous"/>
    </xf>
    <xf numFmtId="0" fontId="37" fillId="0" borderId="88" xfId="46" applyFont="1" applyBorder="1"/>
    <xf numFmtId="0" fontId="37" fillId="0" borderId="89" xfId="46" applyFont="1" applyBorder="1" applyAlignment="1">
      <alignment horizontal="center"/>
    </xf>
    <xf numFmtId="0" fontId="37" fillId="10" borderId="0" xfId="46" applyFont="1" applyFill="1" applyAlignment="1">
      <alignment vertical="center"/>
    </xf>
    <xf numFmtId="0" fontId="37" fillId="0" borderId="0" xfId="46" applyFont="1" applyAlignment="1">
      <alignment vertical="center"/>
    </xf>
    <xf numFmtId="0" fontId="37" fillId="0" borderId="88" xfId="46" applyFont="1" applyBorder="1" applyAlignment="1">
      <alignment vertical="center"/>
    </xf>
    <xf numFmtId="1" fontId="31" fillId="0" borderId="89" xfId="46" applyNumberFormat="1" applyBorder="1" applyAlignment="1">
      <alignment vertical="center"/>
    </xf>
    <xf numFmtId="0" fontId="37" fillId="0" borderId="91" xfId="46" applyFont="1" applyBorder="1" applyAlignment="1">
      <alignment vertical="center"/>
    </xf>
    <xf numFmtId="1" fontId="31" fillId="0" borderId="90" xfId="46" applyNumberFormat="1" applyBorder="1" applyAlignment="1">
      <alignment vertical="center"/>
    </xf>
    <xf numFmtId="192" fontId="37" fillId="0" borderId="0" xfId="119" applyNumberFormat="1" applyFont="1" applyAlignment="1">
      <alignment vertical="center"/>
    </xf>
    <xf numFmtId="0" fontId="101" fillId="10" borderId="0" xfId="46" applyFont="1" applyFill="1" applyAlignment="1">
      <alignment vertical="center"/>
    </xf>
    <xf numFmtId="0" fontId="95" fillId="10" borderId="0" xfId="46" applyFont="1" applyFill="1" applyAlignment="1">
      <alignment vertical="center"/>
    </xf>
    <xf numFmtId="0" fontId="89" fillId="0" borderId="0" xfId="46" applyFont="1"/>
    <xf numFmtId="169" fontId="31" fillId="0" borderId="0" xfId="46" applyNumberFormat="1"/>
    <xf numFmtId="0" fontId="37" fillId="2" borderId="0" xfId="46" applyFont="1" applyFill="1" applyAlignment="1">
      <alignment vertical="center"/>
    </xf>
    <xf numFmtId="169" fontId="37" fillId="0" borderId="0" xfId="46" applyNumberFormat="1" applyFont="1" applyAlignment="1">
      <alignment vertical="center"/>
    </xf>
    <xf numFmtId="169" fontId="37" fillId="0" borderId="0" xfId="46" applyNumberFormat="1" applyFont="1"/>
    <xf numFmtId="0" fontId="99" fillId="0" borderId="0" xfId="46" applyFont="1" applyAlignment="1">
      <alignment vertical="center"/>
    </xf>
    <xf numFmtId="0" fontId="37" fillId="0" borderId="92" xfId="46" applyFont="1" applyBorder="1"/>
    <xf numFmtId="0" fontId="37" fillId="0" borderId="93" xfId="46" applyFont="1" applyBorder="1" applyAlignment="1">
      <alignment horizontal="center"/>
    </xf>
    <xf numFmtId="0" fontId="102" fillId="0" borderId="0" xfId="46" applyFont="1" applyAlignment="1">
      <alignment horizontal="center" wrapText="1"/>
    </xf>
    <xf numFmtId="0" fontId="37" fillId="0" borderId="94" xfId="46" applyFont="1" applyBorder="1"/>
    <xf numFmtId="0" fontId="37" fillId="0" borderId="90" xfId="46" applyFont="1" applyBorder="1"/>
    <xf numFmtId="169" fontId="98" fillId="0" borderId="0" xfId="46" applyNumberFormat="1" applyFont="1"/>
    <xf numFmtId="0" fontId="37" fillId="0" borderId="94" xfId="46" applyFont="1" applyBorder="1" applyAlignment="1">
      <alignment horizontal="right"/>
    </xf>
    <xf numFmtId="5" fontId="0" fillId="0" borderId="0" xfId="119" applyNumberFormat="1" applyFont="1" applyBorder="1"/>
    <xf numFmtId="0" fontId="37" fillId="0" borderId="95" xfId="46" applyFont="1" applyBorder="1"/>
    <xf numFmtId="0" fontId="37" fillId="0" borderId="95" xfId="46" applyFont="1" applyBorder="1" applyAlignment="1">
      <alignment horizontal="right"/>
    </xf>
    <xf numFmtId="0" fontId="37" fillId="0" borderId="96" xfId="46" applyFont="1" applyBorder="1"/>
    <xf numFmtId="0" fontId="37" fillId="0" borderId="97" xfId="46" applyFont="1" applyBorder="1" applyAlignment="1">
      <alignment vertical="top"/>
    </xf>
    <xf numFmtId="0" fontId="37" fillId="0" borderId="98" xfId="46" applyFont="1" applyBorder="1" applyAlignment="1">
      <alignment vertical="top"/>
    </xf>
    <xf numFmtId="169" fontId="31" fillId="0" borderId="2" xfId="46" applyNumberFormat="1" applyBorder="1"/>
    <xf numFmtId="0" fontId="31" fillId="0" borderId="2" xfId="46" applyBorder="1"/>
    <xf numFmtId="0" fontId="102" fillId="0" borderId="0" xfId="46" applyFont="1" applyAlignment="1">
      <alignment vertical="top"/>
    </xf>
    <xf numFmtId="0" fontId="103" fillId="0" borderId="0" xfId="46" applyFont="1" applyAlignment="1">
      <alignment horizontal="right"/>
    </xf>
    <xf numFmtId="0" fontId="103" fillId="0" borderId="0" xfId="46" applyFont="1"/>
    <xf numFmtId="0" fontId="98" fillId="30" borderId="0" xfId="46" applyFont="1" applyFill="1"/>
    <xf numFmtId="0" fontId="104" fillId="30" borderId="0" xfId="46" applyFont="1" applyFill="1"/>
    <xf numFmtId="49" fontId="31" fillId="0" borderId="0" xfId="46" applyNumberFormat="1" applyAlignment="1">
      <alignment wrapText="1"/>
    </xf>
    <xf numFmtId="49" fontId="37" fillId="0" borderId="0" xfId="46" applyNumberFormat="1" applyFont="1" applyAlignment="1">
      <alignment vertical="center" wrapText="1"/>
    </xf>
    <xf numFmtId="0" fontId="105" fillId="0" borderId="0" xfId="46" applyFont="1"/>
    <xf numFmtId="0" fontId="31" fillId="2" borderId="1" xfId="46" applyFill="1" applyBorder="1"/>
    <xf numFmtId="0" fontId="31" fillId="2" borderId="1" xfId="46" applyFill="1" applyBorder="1" applyAlignment="1">
      <alignment horizontal="right"/>
    </xf>
    <xf numFmtId="0" fontId="31" fillId="2" borderId="0" xfId="46" applyFill="1"/>
    <xf numFmtId="9" fontId="31" fillId="0" borderId="0" xfId="46" applyNumberFormat="1"/>
    <xf numFmtId="2" fontId="31" fillId="2" borderId="0" xfId="46" applyNumberFormat="1" applyFill="1"/>
    <xf numFmtId="0" fontId="99" fillId="2" borderId="0" xfId="46" applyFont="1" applyFill="1" applyAlignment="1">
      <alignment vertical="center"/>
    </xf>
    <xf numFmtId="0" fontId="95" fillId="0" borderId="0" xfId="46" applyFont="1" applyAlignment="1">
      <alignment vertical="center"/>
    </xf>
    <xf numFmtId="0" fontId="37" fillId="2" borderId="92" xfId="46" applyFont="1" applyFill="1" applyBorder="1"/>
    <xf numFmtId="0" fontId="37" fillId="2" borderId="93" xfId="46" applyFont="1" applyFill="1" applyBorder="1" applyAlignment="1">
      <alignment horizontal="center"/>
    </xf>
    <xf numFmtId="0" fontId="37" fillId="2" borderId="94" xfId="46" applyFont="1" applyFill="1" applyBorder="1"/>
    <xf numFmtId="0" fontId="91" fillId="0" borderId="0" xfId="46" applyFont="1" applyAlignment="1">
      <alignment horizontal="left"/>
    </xf>
    <xf numFmtId="0" fontId="91" fillId="0" borderId="0" xfId="46" applyFont="1" applyAlignment="1">
      <alignment horizontal="center"/>
    </xf>
    <xf numFmtId="0" fontId="37" fillId="2" borderId="95" xfId="46" applyFont="1" applyFill="1" applyBorder="1"/>
    <xf numFmtId="166" fontId="31" fillId="0" borderId="0" xfId="46" applyNumberFormat="1"/>
    <xf numFmtId="0" fontId="31" fillId="0" borderId="0" xfId="88" applyNumberFormat="1" applyFont="1" applyFill="1" applyBorder="1" applyAlignment="1"/>
    <xf numFmtId="0" fontId="31" fillId="2" borderId="0" xfId="88" applyNumberFormat="1" applyFont="1" applyFill="1" applyBorder="1" applyAlignment="1"/>
    <xf numFmtId="0" fontId="91" fillId="0" borderId="1" xfId="46" applyFont="1" applyBorder="1"/>
    <xf numFmtId="9" fontId="0" fillId="31" borderId="0" xfId="88" applyFont="1" applyFill="1"/>
    <xf numFmtId="9" fontId="0" fillId="0" borderId="0" xfId="88" applyFont="1" applyFill="1"/>
    <xf numFmtId="0" fontId="31" fillId="2" borderId="0" xfId="46" applyFill="1" applyAlignment="1">
      <alignment horizontal="right"/>
    </xf>
    <xf numFmtId="9" fontId="0" fillId="2" borderId="0" xfId="88" applyFont="1" applyFill="1"/>
    <xf numFmtId="0" fontId="31" fillId="2" borderId="0" xfId="46" quotePrefix="1" applyFill="1" applyAlignment="1">
      <alignment horizontal="right"/>
    </xf>
    <xf numFmtId="0" fontId="91" fillId="0" borderId="0" xfId="46" applyFont="1" applyAlignment="1">
      <alignment horizontal="right"/>
    </xf>
    <xf numFmtId="0" fontId="91" fillId="0" borderId="0" xfId="46" applyFont="1" applyAlignment="1">
      <alignment horizontal="right" wrapText="1"/>
    </xf>
    <xf numFmtId="0" fontId="106" fillId="0" borderId="0" xfId="46" applyFont="1"/>
    <xf numFmtId="0" fontId="106" fillId="2" borderId="0" xfId="46" applyFont="1" applyFill="1"/>
    <xf numFmtId="0" fontId="91" fillId="0" borderId="1" xfId="46" applyFont="1" applyBorder="1" applyAlignment="1">
      <alignment wrapText="1"/>
    </xf>
    <xf numFmtId="0" fontId="91" fillId="0" borderId="1" xfId="46" applyFont="1" applyBorder="1" applyAlignment="1">
      <alignment horizontal="right" wrapText="1"/>
    </xf>
    <xf numFmtId="166" fontId="31" fillId="31" borderId="0" xfId="46" applyNumberFormat="1" applyFill="1" applyAlignment="1">
      <alignment horizontal="right"/>
    </xf>
    <xf numFmtId="0" fontId="31" fillId="31" borderId="0" xfId="46" applyFill="1" applyAlignment="1">
      <alignment horizontal="right"/>
    </xf>
    <xf numFmtId="222" fontId="31" fillId="31" borderId="0" xfId="46" applyNumberFormat="1" applyFill="1" applyAlignment="1">
      <alignment horizontal="right"/>
    </xf>
    <xf numFmtId="223" fontId="31" fillId="31" borderId="0" xfId="46" applyNumberFormat="1" applyFill="1" applyAlignment="1">
      <alignment horizontal="right"/>
    </xf>
    <xf numFmtId="166" fontId="31" fillId="32" borderId="0" xfId="46" applyNumberFormat="1" applyFill="1" applyAlignment="1">
      <alignment horizontal="right"/>
    </xf>
    <xf numFmtId="222" fontId="31" fillId="32" borderId="0" xfId="46" applyNumberFormat="1" applyFill="1" applyAlignment="1">
      <alignment horizontal="right"/>
    </xf>
    <xf numFmtId="223" fontId="31" fillId="32" borderId="0" xfId="46" applyNumberFormat="1" applyFill="1" applyAlignment="1">
      <alignment horizontal="right"/>
    </xf>
    <xf numFmtId="166" fontId="31" fillId="33" borderId="0" xfId="46" applyNumberFormat="1" applyFill="1" applyAlignment="1">
      <alignment horizontal="right"/>
    </xf>
    <xf numFmtId="222" fontId="31" fillId="33" borderId="0" xfId="46" applyNumberFormat="1" applyFill="1" applyAlignment="1">
      <alignment horizontal="right"/>
    </xf>
    <xf numFmtId="181" fontId="31" fillId="31" borderId="0" xfId="46" applyNumberFormat="1" applyFill="1" applyAlignment="1">
      <alignment horizontal="right"/>
    </xf>
    <xf numFmtId="181" fontId="31" fillId="32" borderId="0" xfId="46" applyNumberFormat="1" applyFill="1" applyAlignment="1">
      <alignment horizontal="right"/>
    </xf>
    <xf numFmtId="1" fontId="31" fillId="31" borderId="0" xfId="46" applyNumberFormat="1" applyFill="1" applyAlignment="1">
      <alignment horizontal="right"/>
    </xf>
    <xf numFmtId="2" fontId="31" fillId="32" borderId="0" xfId="46" applyNumberFormat="1" applyFill="1" applyAlignment="1">
      <alignment horizontal="right"/>
    </xf>
    <xf numFmtId="0" fontId="31" fillId="32" borderId="0" xfId="46" applyFill="1" applyAlignment="1">
      <alignment horizontal="right"/>
    </xf>
    <xf numFmtId="222" fontId="31" fillId="0" borderId="0" xfId="46" applyNumberFormat="1" applyAlignment="1">
      <alignment horizontal="right"/>
    </xf>
    <xf numFmtId="166" fontId="31" fillId="31" borderId="0" xfId="46" applyNumberFormat="1" applyFill="1"/>
    <xf numFmtId="0" fontId="31" fillId="34" borderId="0" xfId="46" applyFill="1" applyAlignment="1">
      <alignment horizontal="right"/>
    </xf>
    <xf numFmtId="0" fontId="91" fillId="0" borderId="0" xfId="46" applyFont="1" applyAlignment="1">
      <alignment wrapText="1"/>
    </xf>
    <xf numFmtId="0" fontId="31" fillId="31" borderId="0" xfId="46" applyFill="1"/>
    <xf numFmtId="166" fontId="31" fillId="0" borderId="0" xfId="46" applyNumberFormat="1" applyAlignment="1">
      <alignment horizontal="right"/>
    </xf>
    <xf numFmtId="0" fontId="95" fillId="9" borderId="0" xfId="46" applyFont="1" applyFill="1" applyAlignment="1">
      <alignment vertical="center"/>
    </xf>
    <xf numFmtId="2" fontId="31" fillId="2" borderId="0" xfId="46" applyNumberFormat="1" applyFill="1" applyAlignment="1">
      <alignment horizontal="right"/>
    </xf>
    <xf numFmtId="2" fontId="31" fillId="0" borderId="0" xfId="46" applyNumberFormat="1" applyAlignment="1">
      <alignment horizontal="right"/>
    </xf>
    <xf numFmtId="0" fontId="106" fillId="0" borderId="0" xfId="46" applyFont="1" applyAlignment="1">
      <alignment horizontal="right"/>
    </xf>
    <xf numFmtId="166" fontId="31" fillId="2" borderId="0" xfId="46" applyNumberFormat="1" applyFill="1" applyAlignment="1">
      <alignment horizontal="right"/>
    </xf>
    <xf numFmtId="222" fontId="31" fillId="2" borderId="0" xfId="46" applyNumberFormat="1" applyFill="1" applyAlignment="1">
      <alignment horizontal="right"/>
    </xf>
    <xf numFmtId="1" fontId="31" fillId="2" borderId="0" xfId="46" applyNumberFormat="1" applyFill="1"/>
    <xf numFmtId="224" fontId="31" fillId="31" borderId="0" xfId="46" applyNumberFormat="1" applyFill="1" applyAlignment="1">
      <alignment horizontal="right"/>
    </xf>
    <xf numFmtId="181" fontId="31" fillId="0" borderId="0" xfId="46" applyNumberFormat="1"/>
    <xf numFmtId="222" fontId="31" fillId="0" borderId="0" xfId="46" applyNumberFormat="1"/>
    <xf numFmtId="2" fontId="31" fillId="31" borderId="0" xfId="46" applyNumberFormat="1" applyFill="1"/>
    <xf numFmtId="223" fontId="31" fillId="0" borderId="0" xfId="46" applyNumberFormat="1"/>
    <xf numFmtId="223" fontId="31" fillId="10" borderId="0" xfId="46" applyNumberFormat="1" applyFill="1"/>
    <xf numFmtId="1" fontId="91" fillId="0" borderId="0" xfId="46" applyNumberFormat="1" applyFont="1" applyAlignment="1">
      <alignment horizontal="right"/>
    </xf>
    <xf numFmtId="181" fontId="0" fillId="0" borderId="0" xfId="120" applyNumberFormat="1" applyFont="1"/>
    <xf numFmtId="39" fontId="0" fillId="0" borderId="0" xfId="120" applyNumberFormat="1" applyFont="1"/>
    <xf numFmtId="37" fontId="0" fillId="0" borderId="0" xfId="120" applyNumberFormat="1" applyFont="1"/>
    <xf numFmtId="223" fontId="31" fillId="0" borderId="0" xfId="46" applyNumberFormat="1" applyAlignment="1">
      <alignment horizontal="right"/>
    </xf>
    <xf numFmtId="223" fontId="31" fillId="10" borderId="0" xfId="46" applyNumberFormat="1" applyFill="1" applyAlignment="1">
      <alignment horizontal="right"/>
    </xf>
    <xf numFmtId="1" fontId="31" fillId="10" borderId="0" xfId="46" applyNumberFormat="1" applyFill="1" applyAlignment="1">
      <alignment horizontal="right"/>
    </xf>
    <xf numFmtId="2" fontId="91" fillId="0" borderId="0" xfId="46" applyNumberFormat="1" applyFont="1" applyAlignment="1">
      <alignment horizontal="right"/>
    </xf>
    <xf numFmtId="1" fontId="31" fillId="10" borderId="0" xfId="46" applyNumberFormat="1" applyFill="1"/>
    <xf numFmtId="181" fontId="31" fillId="10" borderId="0" xfId="46" applyNumberFormat="1" applyFill="1"/>
    <xf numFmtId="0" fontId="31" fillId="0" borderId="7" xfId="46" applyBorder="1"/>
    <xf numFmtId="0" fontId="31" fillId="0" borderId="1" xfId="46" applyBorder="1" applyAlignment="1">
      <alignment horizontal="right"/>
    </xf>
    <xf numFmtId="0" fontId="31" fillId="0" borderId="12" xfId="46" applyBorder="1"/>
    <xf numFmtId="0" fontId="31" fillId="0" borderId="12" xfId="46" applyBorder="1" applyAlignment="1">
      <alignment horizontal="right"/>
    </xf>
    <xf numFmtId="0" fontId="91" fillId="0" borderId="99" xfId="46" applyFont="1" applyBorder="1"/>
    <xf numFmtId="0" fontId="31" fillId="0" borderId="99" xfId="46" applyBorder="1"/>
    <xf numFmtId="225" fontId="31" fillId="0" borderId="0" xfId="46" applyNumberFormat="1"/>
    <xf numFmtId="169" fontId="31" fillId="0" borderId="89" xfId="46" applyNumberFormat="1" applyBorder="1" applyAlignment="1">
      <alignment vertical="center"/>
    </xf>
    <xf numFmtId="0" fontId="37" fillId="0" borderId="0" xfId="46" applyFont="1" applyAlignment="1">
      <alignment horizontal="center" wrapText="1"/>
    </xf>
    <xf numFmtId="169" fontId="31" fillId="0" borderId="100" xfId="46" applyNumberFormat="1" applyBorder="1"/>
    <xf numFmtId="0" fontId="31" fillId="0" borderId="100" xfId="46" applyBorder="1"/>
    <xf numFmtId="0" fontId="31" fillId="0" borderId="96" xfId="46" applyBorder="1"/>
    <xf numFmtId="0" fontId="37" fillId="0" borderId="0" xfId="46" applyFont="1" applyAlignment="1">
      <alignment vertical="top"/>
    </xf>
    <xf numFmtId="0" fontId="89" fillId="0" borderId="0" xfId="46" applyFont="1" applyAlignment="1">
      <alignment horizontal="right"/>
    </xf>
    <xf numFmtId="0" fontId="100" fillId="10" borderId="0" xfId="46" applyFont="1" applyFill="1"/>
    <xf numFmtId="0" fontId="113" fillId="0" borderId="0" xfId="46" applyFont="1" applyAlignment="1">
      <alignment horizontal="left" vertical="top"/>
    </xf>
    <xf numFmtId="0" fontId="114" fillId="0" borderId="0" xfId="46" applyFont="1" applyAlignment="1">
      <alignment horizontal="left" vertical="top"/>
    </xf>
    <xf numFmtId="0" fontId="114" fillId="0" borderId="0" xfId="46" applyFont="1" applyAlignment="1">
      <alignment horizontal="left"/>
    </xf>
    <xf numFmtId="0" fontId="115" fillId="0" borderId="0" xfId="46" applyFont="1" applyAlignment="1">
      <alignment horizontal="left" vertical="top"/>
    </xf>
    <xf numFmtId="0" fontId="116" fillId="0" borderId="0" xfId="46" applyFont="1" applyAlignment="1">
      <alignment horizontal="left" vertical="top"/>
    </xf>
    <xf numFmtId="0" fontId="117" fillId="0" borderId="0" xfId="46" applyFont="1" applyAlignment="1">
      <alignment horizontal="left" vertical="top" wrapText="1"/>
    </xf>
    <xf numFmtId="0" fontId="117" fillId="0" borderId="0" xfId="46" applyFont="1" applyFill="1" applyAlignment="1">
      <alignment horizontal="left" vertical="top"/>
    </xf>
    <xf numFmtId="0" fontId="118" fillId="0" borderId="0" xfId="46" applyFont="1" applyFill="1" applyAlignment="1">
      <alignment horizontal="left"/>
    </xf>
    <xf numFmtId="0" fontId="0" fillId="35" borderId="3" xfId="0" applyFill="1" applyBorder="1"/>
    <xf numFmtId="17" fontId="21" fillId="35" borderId="3" xfId="0" applyNumberFormat="1" applyFont="1" applyFill="1" applyBorder="1" applyProtection="1">
      <protection locked="0"/>
    </xf>
    <xf numFmtId="6" fontId="21" fillId="35" borderId="3" xfId="5" applyNumberFormat="1" applyFont="1" applyFill="1" applyBorder="1" applyProtection="1">
      <protection locked="0"/>
    </xf>
    <xf numFmtId="0" fontId="21" fillId="35" borderId="3" xfId="0" applyFont="1" applyFill="1" applyBorder="1" applyProtection="1">
      <protection locked="0"/>
    </xf>
    <xf numFmtId="208" fontId="21" fillId="35" borderId="16" xfId="9" applyNumberFormat="1" applyFont="1" applyFill="1" applyBorder="1" applyAlignment="1" applyProtection="1">
      <alignment vertical="center"/>
      <protection locked="0"/>
    </xf>
    <xf numFmtId="208" fontId="21" fillId="35" borderId="27" xfId="9" applyNumberFormat="1" applyFont="1" applyFill="1" applyBorder="1" applyAlignment="1" applyProtection="1">
      <alignment vertical="center"/>
      <protection locked="0"/>
    </xf>
    <xf numFmtId="0" fontId="21" fillId="35" borderId="9" xfId="0" applyFont="1" applyFill="1" applyBorder="1" applyAlignment="1" applyProtection="1">
      <alignment horizontal="left" vertical="top"/>
      <protection locked="0"/>
    </xf>
    <xf numFmtId="0" fontId="21" fillId="35" borderId="10" xfId="0" applyFont="1" applyFill="1" applyBorder="1" applyAlignment="1" applyProtection="1">
      <alignment horizontal="left" vertical="top"/>
      <protection locked="0"/>
    </xf>
    <xf numFmtId="0" fontId="21" fillId="35" borderId="38" xfId="0" applyFont="1" applyFill="1" applyBorder="1" applyAlignment="1" applyProtection="1">
      <alignment horizontal="left" vertical="top"/>
      <protection locked="0"/>
    </xf>
    <xf numFmtId="0" fontId="21" fillId="35" borderId="11" xfId="0" applyFont="1" applyFill="1" applyBorder="1" applyAlignment="1" applyProtection="1">
      <alignment horizontal="left" vertical="top"/>
      <protection locked="0"/>
    </xf>
    <xf numFmtId="0" fontId="21" fillId="35" borderId="1" xfId="0" applyFont="1" applyFill="1" applyBorder="1" applyAlignment="1" applyProtection="1">
      <alignment horizontal="left" vertical="top"/>
      <protection locked="0"/>
    </xf>
    <xf numFmtId="0" fontId="21" fillId="35" borderId="39" xfId="0" applyFont="1" applyFill="1" applyBorder="1" applyAlignment="1" applyProtection="1">
      <alignment horizontal="left" vertical="top"/>
      <protection locked="0"/>
    </xf>
    <xf numFmtId="187" fontId="21" fillId="35" borderId="3" xfId="9" applyNumberFormat="1" applyFont="1" applyFill="1" applyBorder="1" applyProtection="1">
      <protection locked="0"/>
    </xf>
    <xf numFmtId="187" fontId="21" fillId="35" borderId="3" xfId="9" applyNumberFormat="1" applyFont="1" applyFill="1" applyBorder="1" applyAlignment="1" applyProtection="1">
      <alignment horizontal="center" vertical="center"/>
      <protection locked="0"/>
    </xf>
    <xf numFmtId="0" fontId="21" fillId="35" borderId="53" xfId="0" applyFont="1" applyFill="1" applyBorder="1" applyAlignment="1" applyProtection="1">
      <alignment horizontal="right"/>
      <protection locked="0"/>
    </xf>
    <xf numFmtId="0" fontId="21" fillId="35" borderId="53" xfId="0" applyNumberFormat="1" applyFont="1" applyFill="1" applyBorder="1" applyProtection="1">
      <protection locked="0"/>
    </xf>
    <xf numFmtId="0" fontId="21" fillId="35" borderId="53" xfId="0" applyFont="1" applyFill="1" applyBorder="1" applyProtection="1">
      <protection locked="0"/>
    </xf>
    <xf numFmtId="0" fontId="20" fillId="35" borderId="53" xfId="0" applyFont="1" applyFill="1" applyBorder="1" applyProtection="1">
      <protection locked="0"/>
    </xf>
    <xf numFmtId="9" fontId="15" fillId="35" borderId="53" xfId="8" applyFont="1" applyFill="1" applyBorder="1" applyProtection="1">
      <protection locked="0"/>
    </xf>
    <xf numFmtId="0" fontId="20" fillId="35" borderId="58" xfId="0" applyFont="1" applyFill="1" applyBorder="1" applyProtection="1">
      <protection locked="0"/>
    </xf>
    <xf numFmtId="0" fontId="21" fillId="35" borderId="36" xfId="0" applyFont="1" applyFill="1" applyBorder="1" applyAlignment="1" applyProtection="1">
      <alignment vertical="top"/>
      <protection locked="0"/>
    </xf>
    <xf numFmtId="0" fontId="21" fillId="35" borderId="74" xfId="0" applyFont="1" applyFill="1" applyBorder="1" applyAlignment="1" applyProtection="1">
      <alignment vertical="top"/>
      <protection locked="0"/>
    </xf>
    <xf numFmtId="0" fontId="21" fillId="35" borderId="4" xfId="0" applyFont="1" applyFill="1" applyBorder="1" applyAlignment="1" applyProtection="1">
      <alignment vertical="top"/>
      <protection locked="0"/>
    </xf>
    <xf numFmtId="0" fontId="21" fillId="35" borderId="73" xfId="0" applyFont="1" applyFill="1" applyBorder="1" applyAlignment="1" applyProtection="1">
      <alignment vertical="top"/>
      <protection locked="0"/>
    </xf>
    <xf numFmtId="0" fontId="21" fillId="35" borderId="35" xfId="0" applyFont="1" applyFill="1" applyBorder="1" applyProtection="1">
      <protection locked="0"/>
    </xf>
    <xf numFmtId="0" fontId="21" fillId="35" borderId="41" xfId="0" applyFont="1" applyFill="1" applyBorder="1" applyAlignment="1" applyProtection="1">
      <alignment horizontal="center" vertical="top"/>
      <protection locked="0"/>
    </xf>
    <xf numFmtId="0" fontId="76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Protection="1">
      <protection locked="0"/>
    </xf>
    <xf numFmtId="0" fontId="21" fillId="35" borderId="34" xfId="0" applyFont="1" applyFill="1" applyBorder="1" applyProtection="1">
      <protection locked="0"/>
    </xf>
    <xf numFmtId="187" fontId="21" fillId="35" borderId="3" xfId="16" applyNumberFormat="1" applyFont="1" applyFill="1" applyBorder="1" applyAlignment="1" applyProtection="1">
      <alignment horizontal="center"/>
      <protection locked="0"/>
    </xf>
    <xf numFmtId="187" fontId="21" fillId="35" borderId="5" xfId="0" applyNumberFormat="1" applyFont="1" applyFill="1" applyBorder="1" applyProtection="1">
      <protection locked="0"/>
    </xf>
    <xf numFmtId="0" fontId="21" fillId="35" borderId="5" xfId="0" applyFont="1" applyFill="1" applyBorder="1" applyProtection="1">
      <protection locked="0"/>
    </xf>
    <xf numFmtId="9" fontId="21" fillId="35" borderId="3" xfId="8" applyFont="1" applyFill="1" applyBorder="1" applyProtection="1">
      <protection locked="0"/>
    </xf>
    <xf numFmtId="187" fontId="21" fillId="35" borderId="27" xfId="9" applyNumberFormat="1" applyFont="1" applyFill="1" applyBorder="1" applyAlignment="1" applyProtection="1">
      <alignment horizontal="center"/>
      <protection locked="0"/>
    </xf>
    <xf numFmtId="187" fontId="21" fillId="35" borderId="3" xfId="9" applyNumberFormat="1" applyFont="1" applyFill="1" applyBorder="1" applyAlignment="1" applyProtection="1">
      <alignment horizontal="center"/>
      <protection locked="0"/>
    </xf>
    <xf numFmtId="187" fontId="3" fillId="35" borderId="72" xfId="9" applyNumberFormat="1" applyFont="1" applyFill="1" applyBorder="1" applyProtection="1">
      <protection locked="0"/>
    </xf>
    <xf numFmtId="187" fontId="21" fillId="35" borderId="50" xfId="9" applyNumberFormat="1" applyFont="1" applyFill="1" applyBorder="1" applyAlignment="1" applyProtection="1">
      <alignment vertical="top"/>
      <protection locked="0"/>
    </xf>
    <xf numFmtId="187" fontId="21" fillId="35" borderId="61" xfId="9" applyNumberFormat="1" applyFont="1" applyFill="1" applyBorder="1" applyAlignment="1" applyProtection="1">
      <alignment vertical="top"/>
      <protection locked="0"/>
    </xf>
    <xf numFmtId="187" fontId="21" fillId="35" borderId="42" xfId="9" applyNumberFormat="1" applyFont="1" applyFill="1" applyBorder="1" applyAlignment="1" applyProtection="1">
      <alignment vertical="top"/>
      <protection locked="0"/>
    </xf>
    <xf numFmtId="2" fontId="21" fillId="35" borderId="4" xfId="0" applyNumberFormat="1" applyFont="1" applyFill="1" applyBorder="1" applyAlignment="1" applyProtection="1">
      <protection locked="0"/>
    </xf>
    <xf numFmtId="2" fontId="21" fillId="35" borderId="5" xfId="0" applyNumberFormat="1" applyFont="1" applyFill="1" applyBorder="1" applyAlignment="1" applyProtection="1">
      <protection locked="0"/>
    </xf>
    <xf numFmtId="5" fontId="21" fillId="35" borderId="3" xfId="0" applyNumberFormat="1" applyFont="1" applyFill="1" applyBorder="1" applyAlignment="1" applyProtection="1">
      <protection locked="0"/>
    </xf>
    <xf numFmtId="0" fontId="21" fillId="35" borderId="4" xfId="0" applyFont="1" applyFill="1" applyBorder="1" applyAlignment="1" applyProtection="1">
      <protection locked="0"/>
    </xf>
    <xf numFmtId="0" fontId="21" fillId="35" borderId="2" xfId="0" applyFont="1" applyFill="1" applyBorder="1" applyAlignment="1" applyProtection="1">
      <protection locked="0"/>
    </xf>
    <xf numFmtId="0" fontId="21" fillId="35" borderId="36" xfId="0" applyFont="1" applyFill="1" applyBorder="1" applyAlignment="1" applyProtection="1">
      <protection locked="0"/>
    </xf>
    <xf numFmtId="0" fontId="20" fillId="35" borderId="4" xfId="0" applyFont="1" applyFill="1" applyBorder="1" applyProtection="1">
      <protection locked="0"/>
    </xf>
    <xf numFmtId="0" fontId="21" fillId="35" borderId="4" xfId="0" applyFont="1" applyFill="1" applyBorder="1" applyProtection="1">
      <protection locked="0"/>
    </xf>
    <xf numFmtId="0" fontId="21" fillId="35" borderId="11" xfId="0" applyFont="1" applyFill="1" applyBorder="1" applyAlignment="1" applyProtection="1">
      <protection locked="0"/>
    </xf>
    <xf numFmtId="0" fontId="21" fillId="35" borderId="1" xfId="0" applyFont="1" applyFill="1" applyBorder="1" applyAlignment="1" applyProtection="1">
      <protection locked="0"/>
    </xf>
    <xf numFmtId="0" fontId="21" fillId="35" borderId="39" xfId="0" applyFont="1" applyFill="1" applyBorder="1" applyAlignment="1" applyProtection="1">
      <protection locked="0"/>
    </xf>
    <xf numFmtId="0" fontId="21" fillId="35" borderId="36" xfId="0" applyFont="1" applyFill="1" applyBorder="1" applyAlignment="1" applyProtection="1">
      <alignment horizontal="left"/>
      <protection locked="0"/>
    </xf>
    <xf numFmtId="0" fontId="21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Alignment="1" applyProtection="1">
      <alignment horizontal="left"/>
      <protection locked="0"/>
    </xf>
    <xf numFmtId="0" fontId="21" fillId="35" borderId="34" xfId="0" applyFont="1" applyFill="1" applyBorder="1" applyAlignment="1" applyProtection="1">
      <alignment horizontal="left"/>
      <protection locked="0"/>
    </xf>
    <xf numFmtId="37" fontId="18" fillId="0" borderId="58" xfId="85" applyFont="1" applyFill="1" applyBorder="1" applyProtection="1"/>
    <xf numFmtId="187" fontId="18" fillId="0" borderId="53" xfId="9" applyNumberFormat="1" applyFont="1" applyFill="1" applyBorder="1" applyProtection="1"/>
    <xf numFmtId="0" fontId="21" fillId="0" borderId="0" xfId="0" applyFont="1" applyBorder="1"/>
    <xf numFmtId="0" fontId="20" fillId="0" borderId="0" xfId="0" applyFont="1" applyAlignment="1">
      <alignment horizontal="center" wrapText="1"/>
    </xf>
    <xf numFmtId="0" fontId="71" fillId="0" borderId="30" xfId="104" applyFont="1" applyFill="1" applyBorder="1"/>
    <xf numFmtId="0" fontId="30" fillId="0" borderId="0" xfId="104" applyFill="1" applyBorder="1"/>
    <xf numFmtId="187" fontId="30" fillId="0" borderId="0" xfId="104" applyNumberFormat="1" applyFill="1" applyBorder="1"/>
    <xf numFmtId="0" fontId="30" fillId="0" borderId="30" xfId="104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9" fontId="19" fillId="0" borderId="37" xfId="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9" fontId="19" fillId="0" borderId="3" xfId="8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7" xfId="0" applyFont="1" applyFill="1" applyBorder="1"/>
    <xf numFmtId="9" fontId="19" fillId="0" borderId="8" xfId="8" applyFont="1" applyFill="1" applyBorder="1" applyAlignment="1">
      <alignment horizontal="center" vertical="center"/>
    </xf>
    <xf numFmtId="207" fontId="21" fillId="35" borderId="4" xfId="0" applyNumberFormat="1" applyFont="1" applyFill="1" applyBorder="1" applyProtection="1">
      <protection locked="0"/>
    </xf>
    <xf numFmtId="0" fontId="21" fillId="35" borderId="36" xfId="0" applyFont="1" applyFill="1" applyBorder="1" applyProtection="1">
      <protection locked="0"/>
    </xf>
    <xf numFmtId="0" fontId="21" fillId="6" borderId="53" xfId="0" applyFont="1" applyFill="1" applyBorder="1" applyAlignment="1" applyProtection="1">
      <alignment horizontal="right"/>
      <protection locked="0"/>
    </xf>
    <xf numFmtId="0" fontId="20" fillId="6" borderId="53" xfId="0" applyFont="1" applyFill="1" applyBorder="1" applyAlignment="1" applyProtection="1">
      <alignment horizontal="right"/>
      <protection locked="0"/>
    </xf>
    <xf numFmtId="206" fontId="20" fillId="6" borderId="53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Border="1" applyAlignment="1">
      <alignment horizontal="center" vertical="center"/>
    </xf>
    <xf numFmtId="0" fontId="19" fillId="6" borderId="83" xfId="0" applyFont="1" applyFill="1" applyBorder="1" applyAlignment="1">
      <alignment horizontal="left"/>
    </xf>
    <xf numFmtId="0" fontId="19" fillId="6" borderId="85" xfId="0" applyFont="1" applyFill="1" applyBorder="1" applyAlignment="1">
      <alignment horizontal="left" vertical="center"/>
    </xf>
    <xf numFmtId="0" fontId="21" fillId="6" borderId="5" xfId="0" applyFont="1" applyFill="1" applyBorder="1" applyAlignment="1" applyProtection="1">
      <alignment horizontal="center"/>
      <protection locked="0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21" fillId="35" borderId="4" xfId="0" applyFont="1" applyFill="1" applyBorder="1" applyAlignment="1" applyProtection="1">
      <alignment horizontal="left"/>
      <protection locked="0"/>
    </xf>
    <xf numFmtId="0" fontId="21" fillId="35" borderId="2" xfId="0" applyFont="1" applyFill="1" applyBorder="1" applyAlignment="1" applyProtection="1">
      <alignment horizontal="left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0" fontId="30" fillId="0" borderId="0" xfId="104" applyAlignment="1">
      <alignment horizontal="center" wrapText="1"/>
    </xf>
    <xf numFmtId="9" fontId="21" fillId="6" borderId="3" xfId="42" applyFont="1" applyFill="1" applyBorder="1" applyAlignment="1" applyProtection="1">
      <alignment horizontal="right"/>
      <protection locked="0"/>
    </xf>
    <xf numFmtId="0" fontId="73" fillId="0" borderId="0" xfId="0" applyFont="1" applyBorder="1" applyAlignment="1">
      <alignment horizontal="center" vertical="center"/>
    </xf>
    <xf numFmtId="169" fontId="21" fillId="6" borderId="3" xfId="0" applyNumberFormat="1" applyFont="1" applyFill="1" applyBorder="1" applyAlignment="1" applyProtection="1">
      <alignment horizontal="center"/>
      <protection locked="0"/>
    </xf>
    <xf numFmtId="0" fontId="21" fillId="0" borderId="47" xfId="0" applyFont="1" applyBorder="1" applyProtection="1"/>
    <xf numFmtId="2" fontId="21" fillId="0" borderId="0" xfId="0" applyNumberFormat="1" applyFont="1" applyBorder="1" applyProtection="1"/>
    <xf numFmtId="9" fontId="21" fillId="0" borderId="0" xfId="0" applyNumberFormat="1" applyFont="1" applyBorder="1" applyAlignment="1" applyProtection="1">
      <alignment horizontal="center"/>
    </xf>
    <xf numFmtId="0" fontId="21" fillId="0" borderId="0" xfId="6" applyFont="1" applyBorder="1" applyProtection="1"/>
    <xf numFmtId="5" fontId="21" fillId="6" borderId="4" xfId="3" applyFont="1" applyFill="1" applyBorder="1" applyProtection="1">
      <alignment horizontal="right"/>
    </xf>
    <xf numFmtId="5" fontId="21" fillId="0" borderId="4" xfId="3" applyFont="1" applyFill="1" applyBorder="1" applyProtection="1">
      <alignment horizontal="right"/>
    </xf>
    <xf numFmtId="0" fontId="21" fillId="0" borderId="49" xfId="0" applyFont="1" applyBorder="1" applyProtection="1"/>
    <xf numFmtId="2" fontId="21" fillId="0" borderId="50" xfId="0" applyNumberFormat="1" applyFont="1" applyBorder="1" applyProtection="1"/>
    <xf numFmtId="9" fontId="21" fillId="0" borderId="50" xfId="0" applyNumberFormat="1" applyFont="1" applyBorder="1" applyAlignment="1" applyProtection="1">
      <alignment horizontal="center"/>
    </xf>
    <xf numFmtId="0" fontId="21" fillId="0" borderId="50" xfId="6" applyFont="1" applyBorder="1" applyProtection="1"/>
    <xf numFmtId="9" fontId="21" fillId="6" borderId="41" xfId="8" applyFont="1" applyFill="1" applyBorder="1" applyAlignment="1" applyProtection="1">
      <alignment horizontal="right"/>
    </xf>
    <xf numFmtId="0" fontId="21" fillId="0" borderId="0" xfId="0" applyFont="1" applyProtection="1"/>
    <xf numFmtId="15" fontId="18" fillId="0" borderId="0" xfId="0" applyNumberFormat="1" applyFont="1" applyAlignment="1" applyProtection="1">
      <alignment horizontal="center"/>
    </xf>
    <xf numFmtId="0" fontId="21" fillId="0" borderId="0" xfId="6" applyFont="1" applyProtection="1"/>
    <xf numFmtId="0" fontId="21" fillId="0" borderId="0" xfId="6" applyFont="1" applyAlignment="1" applyProtection="1">
      <alignment horizontal="center"/>
    </xf>
    <xf numFmtId="0" fontId="76" fillId="0" borderId="55" xfId="6" applyFont="1" applyFill="1" applyBorder="1" applyAlignment="1" applyProtection="1">
      <alignment horizontal="center"/>
    </xf>
    <xf numFmtId="0" fontId="76" fillId="0" borderId="12" xfId="6" applyFont="1" applyFill="1" applyBorder="1" applyAlignment="1" applyProtection="1">
      <alignment horizontal="center"/>
    </xf>
    <xf numFmtId="14" fontId="21" fillId="35" borderId="4" xfId="6" applyNumberFormat="1" applyFont="1" applyFill="1" applyBorder="1" applyAlignment="1" applyProtection="1">
      <alignment horizontal="center"/>
    </xf>
    <xf numFmtId="14" fontId="21" fillId="0" borderId="5" xfId="6" applyNumberFormat="1" applyFont="1" applyFill="1" applyBorder="1" applyAlignment="1" applyProtection="1"/>
    <xf numFmtId="0" fontId="21" fillId="0" borderId="72" xfId="6" applyFont="1" applyBorder="1" applyProtection="1"/>
    <xf numFmtId="200" fontId="18" fillId="8" borderId="67" xfId="0" applyNumberFormat="1" applyFont="1" applyFill="1" applyBorder="1" applyAlignment="1" applyProtection="1">
      <alignment horizontal="center"/>
    </xf>
    <xf numFmtId="200" fontId="18" fillId="8" borderId="8" xfId="0" applyNumberFormat="1" applyFont="1" applyFill="1" applyBorder="1" applyAlignment="1" applyProtection="1">
      <alignment horizontal="center"/>
    </xf>
    <xf numFmtId="200" fontId="18" fillId="8" borderId="53" xfId="0" applyNumberFormat="1" applyFont="1" applyFill="1" applyBorder="1" applyAlignment="1" applyProtection="1">
      <alignment horizontal="center"/>
    </xf>
    <xf numFmtId="3" fontId="21" fillId="6" borderId="64" xfId="6" applyNumberFormat="1" applyFont="1" applyFill="1" applyBorder="1" applyProtection="1"/>
    <xf numFmtId="3" fontId="21" fillId="6" borderId="16" xfId="6" applyNumberFormat="1" applyFont="1" applyFill="1" applyBorder="1" applyProtection="1"/>
    <xf numFmtId="3" fontId="21" fillId="6" borderId="65" xfId="6" applyNumberFormat="1" applyFont="1" applyFill="1" applyBorder="1" applyProtection="1"/>
    <xf numFmtId="0" fontId="21" fillId="0" borderId="40" xfId="6" applyFont="1" applyFill="1" applyBorder="1" applyAlignment="1" applyProtection="1"/>
    <xf numFmtId="0" fontId="21" fillId="35" borderId="73" xfId="6" applyFont="1" applyFill="1" applyBorder="1" applyAlignment="1" applyProtection="1">
      <alignment horizontal="left"/>
    </xf>
    <xf numFmtId="0" fontId="21" fillId="35" borderId="66" xfId="6" applyFont="1" applyFill="1" applyBorder="1" applyAlignment="1" applyProtection="1">
      <alignment horizontal="center"/>
    </xf>
    <xf numFmtId="0" fontId="21" fillId="35" borderId="74" xfId="6" applyFont="1" applyFill="1" applyBorder="1" applyAlignment="1" applyProtection="1">
      <alignment horizontal="center"/>
    </xf>
    <xf numFmtId="14" fontId="21" fillId="35" borderId="11" xfId="6" quotePrefix="1" applyNumberFormat="1" applyFont="1" applyFill="1" applyBorder="1" applyAlignment="1" applyProtection="1">
      <alignment horizontal="center"/>
    </xf>
    <xf numFmtId="14" fontId="21" fillId="0" borderId="11" xfId="6" applyNumberFormat="1" applyFont="1" applyFill="1" applyBorder="1" applyAlignment="1" applyProtection="1"/>
    <xf numFmtId="14" fontId="21" fillId="0" borderId="1" xfId="6" applyNumberFormat="1" applyFont="1" applyFill="1" applyBorder="1" applyAlignment="1" applyProtection="1"/>
    <xf numFmtId="0" fontId="21" fillId="0" borderId="39" xfId="6" applyFont="1" applyBorder="1" applyProtection="1"/>
    <xf numFmtId="0" fontId="21" fillId="0" borderId="52" xfId="6" applyFont="1" applyBorder="1" applyProtection="1"/>
    <xf numFmtId="200" fontId="18" fillId="0" borderId="5" xfId="0" applyNumberFormat="1" applyFont="1" applyFill="1" applyBorder="1" applyAlignment="1" applyProtection="1">
      <alignment horizontal="center"/>
    </xf>
    <xf numFmtId="200" fontId="18" fillId="0" borderId="4" xfId="0" applyNumberFormat="1" applyFont="1" applyFill="1" applyBorder="1" applyAlignment="1" applyProtection="1">
      <alignment horizontal="center"/>
    </xf>
    <xf numFmtId="200" fontId="18" fillId="0" borderId="36" xfId="0" applyNumberFormat="1" applyFont="1" applyFill="1" applyBorder="1" applyAlignment="1" applyProtection="1">
      <alignment horizontal="center"/>
    </xf>
    <xf numFmtId="0" fontId="21" fillId="0" borderId="2" xfId="6" applyFont="1" applyBorder="1" applyProtection="1"/>
    <xf numFmtId="169" fontId="21" fillId="6" borderId="3" xfId="6" applyNumberFormat="1" applyFont="1" applyFill="1" applyBorder="1" applyProtection="1"/>
    <xf numFmtId="169" fontId="21" fillId="6" borderId="5" xfId="6" applyNumberFormat="1" applyFont="1" applyFill="1" applyBorder="1" applyProtection="1"/>
    <xf numFmtId="0" fontId="21" fillId="0" borderId="37" xfId="6" applyFont="1" applyBorder="1" applyProtection="1"/>
    <xf numFmtId="169" fontId="21" fillId="6" borderId="41" xfId="6" applyNumberFormat="1" applyFont="1" applyFill="1" applyBorder="1" applyAlignment="1" applyProtection="1">
      <alignment vertical="top"/>
    </xf>
    <xf numFmtId="169" fontId="21" fillId="6" borderId="56" xfId="6" applyNumberFormat="1" applyFont="1" applyFill="1" applyBorder="1" applyAlignment="1" applyProtection="1">
      <alignment vertical="top"/>
    </xf>
    <xf numFmtId="0" fontId="21" fillId="0" borderId="50" xfId="6" applyFont="1" applyBorder="1" applyAlignment="1" applyProtection="1">
      <alignment vertical="top"/>
    </xf>
    <xf numFmtId="0" fontId="21" fillId="0" borderId="42" xfId="6" applyFont="1" applyBorder="1" applyAlignment="1" applyProtection="1">
      <alignment vertical="top"/>
    </xf>
    <xf numFmtId="0" fontId="21" fillId="0" borderId="52" xfId="6" applyFont="1" applyFill="1" applyBorder="1" applyAlignment="1" applyProtection="1">
      <alignment horizontal="center"/>
    </xf>
    <xf numFmtId="0" fontId="21" fillId="0" borderId="5" xfId="6" applyFont="1" applyFill="1" applyBorder="1" applyAlignment="1" applyProtection="1">
      <alignment horizontal="center"/>
    </xf>
    <xf numFmtId="0" fontId="21" fillId="0" borderId="3" xfId="6" applyFont="1" applyFill="1" applyBorder="1" applyAlignment="1" applyProtection="1">
      <alignment horizontal="center"/>
    </xf>
    <xf numFmtId="0" fontId="21" fillId="0" borderId="53" xfId="6" applyFont="1" applyFill="1" applyBorder="1" applyAlignment="1" applyProtection="1">
      <alignment horizontal="center"/>
    </xf>
    <xf numFmtId="0" fontId="21" fillId="0" borderId="49" xfId="6" applyFont="1" applyFill="1" applyBorder="1" applyAlignment="1" applyProtection="1">
      <alignment horizontal="left"/>
    </xf>
    <xf numFmtId="0" fontId="21" fillId="0" borderId="50" xfId="6" applyFont="1" applyFill="1" applyBorder="1" applyAlignment="1" applyProtection="1">
      <alignment horizontal="center"/>
    </xf>
    <xf numFmtId="169" fontId="21" fillId="6" borderId="41" xfId="6" applyNumberFormat="1" applyFont="1" applyFill="1" applyBorder="1" applyAlignment="1" applyProtection="1">
      <alignment horizontal="center"/>
    </xf>
    <xf numFmtId="0" fontId="21" fillId="0" borderId="41" xfId="6" applyFont="1" applyFill="1" applyBorder="1" applyAlignment="1" applyProtection="1">
      <alignment horizontal="center"/>
    </xf>
    <xf numFmtId="0" fontId="21" fillId="0" borderId="58" xfId="6" applyFont="1" applyFill="1" applyBorder="1" applyAlignment="1" applyProtection="1">
      <alignment horizontal="center"/>
    </xf>
    <xf numFmtId="0" fontId="21" fillId="0" borderId="54" xfId="6" applyFont="1" applyBorder="1" applyProtection="1"/>
    <xf numFmtId="0" fontId="21" fillId="0" borderId="10" xfId="6" applyFont="1" applyBorder="1" applyProtection="1"/>
    <xf numFmtId="0" fontId="0" fillId="0" borderId="0" xfId="0" applyProtection="1"/>
    <xf numFmtId="0" fontId="21" fillId="0" borderId="17" xfId="116" applyFont="1" applyBorder="1" applyProtection="1"/>
    <xf numFmtId="0" fontId="21" fillId="0" borderId="14" xfId="116" applyFont="1" applyBorder="1" applyProtection="1"/>
    <xf numFmtId="0" fontId="21" fillId="0" borderId="51" xfId="116" applyFont="1" applyBorder="1" applyProtection="1"/>
    <xf numFmtId="0" fontId="21" fillId="0" borderId="0" xfId="116" applyFont="1" applyProtection="1"/>
    <xf numFmtId="0" fontId="4" fillId="0" borderId="0" xfId="116" applyProtection="1"/>
    <xf numFmtId="0" fontId="18" fillId="0" borderId="0" xfId="117" applyFont="1" applyAlignment="1" applyProtection="1">
      <alignment horizontal="center"/>
    </xf>
    <xf numFmtId="0" fontId="82" fillId="0" borderId="47" xfId="118" applyFont="1" applyBorder="1" applyProtection="1"/>
    <xf numFmtId="0" fontId="76" fillId="0" borderId="0" xfId="118" applyFont="1" applyBorder="1" applyProtection="1"/>
    <xf numFmtId="0" fontId="76" fillId="0" borderId="1" xfId="118" applyFont="1" applyBorder="1" applyAlignment="1" applyProtection="1">
      <alignment horizontal="center"/>
    </xf>
    <xf numFmtId="187" fontId="76" fillId="0" borderId="1" xfId="118" applyNumberFormat="1" applyFont="1" applyBorder="1" applyAlignment="1" applyProtection="1">
      <alignment horizontal="center"/>
    </xf>
    <xf numFmtId="187" fontId="81" fillId="0" borderId="39" xfId="118" applyNumberFormat="1" applyFont="1" applyBorder="1" applyAlignment="1" applyProtection="1">
      <alignment horizontal="center" wrapText="1"/>
    </xf>
    <xf numFmtId="187" fontId="81" fillId="0" borderId="0" xfId="118" applyNumberFormat="1" applyFont="1" applyAlignment="1" applyProtection="1">
      <alignment horizontal="center" wrapText="1"/>
    </xf>
    <xf numFmtId="0" fontId="21" fillId="0" borderId="76" xfId="116" applyFont="1" applyBorder="1" applyProtection="1"/>
    <xf numFmtId="0" fontId="21" fillId="0" borderId="38" xfId="116" applyFont="1" applyBorder="1" applyAlignment="1" applyProtection="1">
      <alignment horizontal="center"/>
    </xf>
    <xf numFmtId="0" fontId="76" fillId="0" borderId="47" xfId="118" applyFont="1" applyBorder="1" applyProtection="1"/>
    <xf numFmtId="0" fontId="76" fillId="0" borderId="0" xfId="118" applyFont="1" applyBorder="1" applyAlignment="1" applyProtection="1">
      <alignment horizontal="left"/>
    </xf>
    <xf numFmtId="187" fontId="76" fillId="0" borderId="0" xfId="99" applyNumberFormat="1" applyFont="1" applyFill="1" applyBorder="1" applyProtection="1"/>
    <xf numFmtId="217" fontId="76" fillId="0" borderId="0" xfId="8" applyNumberFormat="1" applyFont="1" applyFill="1" applyBorder="1" applyProtection="1"/>
    <xf numFmtId="211" fontId="76" fillId="0" borderId="0" xfId="8" applyNumberFormat="1" applyFont="1" applyFill="1" applyBorder="1" applyProtection="1"/>
    <xf numFmtId="187" fontId="76" fillId="0" borderId="37" xfId="99" applyNumberFormat="1" applyFont="1" applyFill="1" applyBorder="1" applyProtection="1"/>
    <xf numFmtId="0" fontId="21" fillId="0" borderId="37" xfId="116" applyFont="1" applyBorder="1" applyAlignment="1" applyProtection="1">
      <alignment horizontal="center"/>
    </xf>
    <xf numFmtId="0" fontId="76" fillId="0" borderId="0" xfId="118" applyFont="1" applyBorder="1" applyAlignment="1" applyProtection="1">
      <alignment horizontal="center"/>
    </xf>
    <xf numFmtId="9" fontId="76" fillId="0" borderId="0" xfId="8" applyFont="1" applyFill="1" applyBorder="1" applyProtection="1"/>
    <xf numFmtId="0" fontId="76" fillId="0" borderId="47" xfId="116" applyFont="1" applyBorder="1" applyProtection="1"/>
    <xf numFmtId="0" fontId="21" fillId="0" borderId="77" xfId="116" applyFont="1" applyBorder="1" applyProtection="1"/>
    <xf numFmtId="0" fontId="21" fillId="0" borderId="42" xfId="116" applyFont="1" applyBorder="1" applyAlignment="1" applyProtection="1">
      <alignment horizontal="center"/>
    </xf>
    <xf numFmtId="187" fontId="76" fillId="0" borderId="0" xfId="118" applyNumberFormat="1" applyFont="1" applyBorder="1" applyProtection="1"/>
    <xf numFmtId="0" fontId="18" fillId="0" borderId="64" xfId="116" applyFont="1" applyBorder="1" applyAlignment="1" applyProtection="1">
      <alignment horizontal="center"/>
    </xf>
    <xf numFmtId="0" fontId="18" fillId="0" borderId="38" xfId="116" applyFont="1" applyBorder="1" applyAlignment="1" applyProtection="1">
      <alignment horizontal="center"/>
    </xf>
    <xf numFmtId="0" fontId="76" fillId="0" borderId="0" xfId="116" applyFont="1" applyProtection="1"/>
    <xf numFmtId="0" fontId="16" fillId="0" borderId="47" xfId="118" applyFont="1" applyBorder="1" applyProtection="1"/>
    <xf numFmtId="187" fontId="16" fillId="0" borderId="79" xfId="102" applyNumberFormat="1" applyFont="1" applyFill="1" applyBorder="1" applyProtection="1"/>
    <xf numFmtId="0" fontId="21" fillId="0" borderId="47" xfId="116" applyFont="1" applyBorder="1" applyProtection="1"/>
    <xf numFmtId="206" fontId="21" fillId="0" borderId="37" xfId="116" applyNumberFormat="1" applyFont="1" applyBorder="1" applyProtection="1"/>
    <xf numFmtId="0" fontId="82" fillId="0" borderId="47" xfId="117" applyFont="1" applyBorder="1" applyProtection="1"/>
    <xf numFmtId="0" fontId="76" fillId="0" borderId="0" xfId="117" applyFont="1" applyBorder="1" applyProtection="1"/>
    <xf numFmtId="217" fontId="76" fillId="0" borderId="0" xfId="8" applyNumberFormat="1" applyFont="1" applyFill="1" applyBorder="1" applyAlignment="1" applyProtection="1">
      <alignment horizontal="center"/>
    </xf>
    <xf numFmtId="211" fontId="76" fillId="0" borderId="0" xfId="8" applyNumberFormat="1" applyFont="1" applyFill="1" applyBorder="1" applyAlignment="1" applyProtection="1">
      <alignment horizontal="center"/>
    </xf>
    <xf numFmtId="0" fontId="76" fillId="0" borderId="47" xfId="117" applyFont="1" applyBorder="1" applyProtection="1"/>
    <xf numFmtId="187" fontId="76" fillId="0" borderId="0" xfId="102" applyNumberFormat="1" applyFont="1" applyFill="1" applyBorder="1" applyProtection="1"/>
    <xf numFmtId="217" fontId="76" fillId="0" borderId="10" xfId="8" applyNumberFormat="1" applyFont="1" applyFill="1" applyBorder="1" applyProtection="1"/>
    <xf numFmtId="10" fontId="76" fillId="0" borderId="0" xfId="8" applyNumberFormat="1" applyFont="1" applyFill="1" applyBorder="1" applyProtection="1"/>
    <xf numFmtId="0" fontId="76" fillId="0" borderId="0" xfId="102" applyNumberFormat="1" applyFont="1" applyFill="1" applyBorder="1" applyAlignment="1" applyProtection="1">
      <alignment horizontal="left"/>
    </xf>
    <xf numFmtId="0" fontId="21" fillId="0" borderId="49" xfId="116" applyFont="1" applyBorder="1" applyProtection="1"/>
    <xf numFmtId="206" fontId="21" fillId="0" borderId="42" xfId="116" applyNumberFormat="1" applyFont="1" applyBorder="1" applyProtection="1"/>
    <xf numFmtId="10" fontId="21" fillId="0" borderId="42" xfId="8" applyNumberFormat="1" applyFont="1" applyBorder="1" applyProtection="1"/>
    <xf numFmtId="15" fontId="16" fillId="0" borderId="0" xfId="116" applyNumberFormat="1" applyFont="1" applyAlignment="1" applyProtection="1">
      <alignment horizontal="center"/>
    </xf>
    <xf numFmtId="0" fontId="16" fillId="0" borderId="47" xfId="117" applyFont="1" applyBorder="1" applyProtection="1"/>
    <xf numFmtId="0" fontId="76" fillId="0" borderId="49" xfId="116" applyFont="1" applyBorder="1" applyProtection="1"/>
    <xf numFmtId="0" fontId="76" fillId="0" borderId="50" xfId="116" applyFont="1" applyBorder="1" applyProtection="1"/>
    <xf numFmtId="0" fontId="21" fillId="0" borderId="50" xfId="116" applyFont="1" applyBorder="1" applyProtection="1"/>
    <xf numFmtId="15" fontId="16" fillId="0" borderId="42" xfId="116" applyNumberFormat="1" applyFont="1" applyBorder="1" applyAlignment="1" applyProtection="1">
      <alignment horizontal="center"/>
    </xf>
    <xf numFmtId="0" fontId="76" fillId="0" borderId="0" xfId="116" applyFont="1" applyBorder="1" applyProtection="1"/>
    <xf numFmtId="0" fontId="21" fillId="0" borderId="0" xfId="116" applyFont="1" applyBorder="1" applyProtection="1"/>
    <xf numFmtId="15" fontId="16" fillId="0" borderId="0" xfId="116" applyNumberFormat="1" applyFont="1" applyBorder="1" applyAlignment="1" applyProtection="1">
      <alignment horizontal="center"/>
    </xf>
    <xf numFmtId="0" fontId="18" fillId="0" borderId="53" xfId="116" applyFont="1" applyBorder="1" applyAlignment="1" applyProtection="1">
      <alignment horizontal="center"/>
    </xf>
    <xf numFmtId="0" fontId="21" fillId="0" borderId="47" xfId="117" applyFont="1" applyBorder="1" applyProtection="1"/>
    <xf numFmtId="0" fontId="21" fillId="0" borderId="0" xfId="117" applyFont="1" applyProtection="1"/>
    <xf numFmtId="187" fontId="21" fillId="0" borderId="37" xfId="102" applyNumberFormat="1" applyFont="1" applyBorder="1" applyProtection="1"/>
    <xf numFmtId="187" fontId="21" fillId="0" borderId="0" xfId="102" applyNumberFormat="1" applyFont="1" applyBorder="1" applyProtection="1"/>
    <xf numFmtId="0" fontId="21" fillId="0" borderId="64" xfId="0" applyFont="1" applyFill="1" applyBorder="1" applyProtection="1"/>
    <xf numFmtId="0" fontId="21" fillId="0" borderId="37" xfId="116" applyFont="1" applyBorder="1" applyAlignment="1" applyProtection="1">
      <alignment horizontal="right"/>
    </xf>
    <xf numFmtId="9" fontId="21" fillId="0" borderId="76" xfId="8" applyFont="1" applyBorder="1" applyProtection="1"/>
    <xf numFmtId="0" fontId="21" fillId="0" borderId="37" xfId="116" applyFont="1" applyBorder="1" applyProtection="1"/>
    <xf numFmtId="9" fontId="21" fillId="0" borderId="76" xfId="8" applyFont="1" applyBorder="1" applyAlignment="1" applyProtection="1">
      <alignment wrapText="1"/>
    </xf>
    <xf numFmtId="9" fontId="21" fillId="0" borderId="76" xfId="8" applyFont="1" applyBorder="1" applyAlignment="1" applyProtection="1">
      <alignment horizontal="left" wrapText="1"/>
    </xf>
    <xf numFmtId="0" fontId="18" fillId="0" borderId="0" xfId="117" applyFont="1" applyAlignment="1" applyProtection="1">
      <alignment horizontal="right"/>
    </xf>
    <xf numFmtId="187" fontId="18" fillId="0" borderId="0" xfId="116" applyNumberFormat="1" applyFont="1" applyAlignment="1" applyProtection="1">
      <alignment horizontal="right"/>
    </xf>
    <xf numFmtId="0" fontId="18" fillId="0" borderId="47" xfId="117" applyFont="1" applyBorder="1" applyProtection="1"/>
    <xf numFmtId="187" fontId="21" fillId="0" borderId="78" xfId="102" applyNumberFormat="1" applyFont="1" applyBorder="1" applyProtection="1"/>
    <xf numFmtId="165" fontId="21" fillId="0" borderId="50" xfId="116" applyNumberFormat="1" applyFont="1" applyBorder="1" applyProtection="1"/>
    <xf numFmtId="0" fontId="4" fillId="0" borderId="42" xfId="116" applyBorder="1" applyProtection="1"/>
    <xf numFmtId="0" fontId="21" fillId="0" borderId="42" xfId="116" applyFont="1" applyBorder="1" applyProtection="1"/>
    <xf numFmtId="3" fontId="21" fillId="0" borderId="0" xfId="116" applyNumberFormat="1" applyFont="1" applyBorder="1" applyProtection="1"/>
    <xf numFmtId="0" fontId="18" fillId="8" borderId="69" xfId="116" applyFont="1" applyFill="1" applyBorder="1" applyAlignment="1" applyProtection="1">
      <alignment horizontal="left"/>
    </xf>
    <xf numFmtId="0" fontId="18" fillId="8" borderId="33" xfId="116" applyFont="1" applyFill="1" applyBorder="1" applyAlignment="1" applyProtection="1">
      <alignment horizontal="center"/>
    </xf>
    <xf numFmtId="0" fontId="18" fillId="8" borderId="34" xfId="116" applyFont="1" applyFill="1" applyBorder="1" applyAlignment="1" applyProtection="1">
      <alignment horizontal="center"/>
    </xf>
    <xf numFmtId="3" fontId="21" fillId="0" borderId="37" xfId="116" applyNumberFormat="1" applyFont="1" applyBorder="1" applyProtection="1"/>
    <xf numFmtId="0" fontId="18" fillId="0" borderId="47" xfId="116" applyFont="1" applyBorder="1" applyAlignment="1" applyProtection="1">
      <alignment horizontal="center"/>
    </xf>
    <xf numFmtId="0" fontId="18" fillId="0" borderId="0" xfId="116" applyFont="1" applyAlignment="1" applyProtection="1">
      <alignment horizontal="center"/>
    </xf>
    <xf numFmtId="0" fontId="18" fillId="0" borderId="37" xfId="116" applyFont="1" applyBorder="1" applyAlignment="1" applyProtection="1">
      <alignment horizontal="center"/>
    </xf>
    <xf numFmtId="10" fontId="21" fillId="0" borderId="37" xfId="8" applyNumberFormat="1" applyFont="1" applyBorder="1" applyProtection="1"/>
    <xf numFmtId="3" fontId="21" fillId="0" borderId="0" xfId="116" applyNumberFormat="1" applyFont="1" applyProtection="1"/>
    <xf numFmtId="206" fontId="21" fillId="0" borderId="0" xfId="116" applyNumberFormat="1" applyFont="1" applyBorder="1" applyProtection="1"/>
    <xf numFmtId="7" fontId="21" fillId="0" borderId="37" xfId="102" applyNumberFormat="1" applyFont="1" applyBorder="1" applyProtection="1"/>
    <xf numFmtId="7" fontId="21" fillId="0" borderId="0" xfId="102" applyNumberFormat="1" applyFont="1" applyBorder="1" applyProtection="1"/>
    <xf numFmtId="7" fontId="21" fillId="0" borderId="47" xfId="102" applyNumberFormat="1" applyFont="1" applyBorder="1" applyProtection="1"/>
    <xf numFmtId="0" fontId="21" fillId="0" borderId="49" xfId="117" applyFont="1" applyBorder="1" applyProtection="1"/>
    <xf numFmtId="187" fontId="21" fillId="0" borderId="42" xfId="102" applyNumberFormat="1" applyFont="1" applyBorder="1" applyProtection="1"/>
    <xf numFmtId="187" fontId="21" fillId="0" borderId="49" xfId="102" applyNumberFormat="1" applyFont="1" applyBorder="1" applyAlignment="1" applyProtection="1">
      <alignment horizontal="left"/>
    </xf>
    <xf numFmtId="3" fontId="80" fillId="0" borderId="42" xfId="11" applyNumberFormat="1" applyFont="1" applyBorder="1" applyAlignment="1" applyProtection="1">
      <alignment horizontal="right"/>
    </xf>
    <xf numFmtId="0" fontId="80" fillId="0" borderId="0" xfId="11" applyFont="1" applyProtection="1"/>
    <xf numFmtId="165" fontId="21" fillId="0" borderId="0" xfId="116" applyNumberFormat="1" applyFont="1" applyProtection="1"/>
    <xf numFmtId="5" fontId="21" fillId="0" borderId="0" xfId="116" applyNumberFormat="1" applyFont="1" applyProtection="1"/>
    <xf numFmtId="9" fontId="18" fillId="0" borderId="0" xfId="116" applyNumberFormat="1" applyFont="1" applyAlignment="1" applyProtection="1">
      <alignment horizontal="center"/>
    </xf>
    <xf numFmtId="3" fontId="21" fillId="0" borderId="50" xfId="116" applyNumberFormat="1" applyFont="1" applyBorder="1" applyProtection="1"/>
    <xf numFmtId="3" fontId="21" fillId="0" borderId="42" xfId="116" applyNumberFormat="1" applyFont="1" applyBorder="1" applyProtection="1"/>
    <xf numFmtId="0" fontId="21" fillId="0" borderId="37" xfId="116" applyNumberFormat="1" applyFont="1" applyBorder="1" applyProtection="1"/>
    <xf numFmtId="10" fontId="21" fillId="0" borderId="37" xfId="116" applyNumberFormat="1" applyFont="1" applyBorder="1" applyProtection="1"/>
    <xf numFmtId="1" fontId="21" fillId="0" borderId="0" xfId="116" applyNumberFormat="1" applyFont="1" applyProtection="1"/>
    <xf numFmtId="4" fontId="21" fillId="0" borderId="37" xfId="116" applyNumberFormat="1" applyFont="1" applyBorder="1" applyProtection="1"/>
    <xf numFmtId="0" fontId="18" fillId="0" borderId="0" xfId="116" applyFont="1" applyProtection="1"/>
    <xf numFmtId="2" fontId="21" fillId="0" borderId="0" xfId="116" applyNumberFormat="1" applyFont="1" applyProtection="1"/>
    <xf numFmtId="5" fontId="21" fillId="0" borderId="42" xfId="116" applyNumberFormat="1" applyFont="1" applyBorder="1" applyProtection="1"/>
    <xf numFmtId="0" fontId="21" fillId="0" borderId="45" xfId="0" applyFont="1" applyBorder="1" applyProtection="1"/>
    <xf numFmtId="0" fontId="20" fillId="0" borderId="45" xfId="0" applyFont="1" applyFill="1" applyBorder="1" applyProtection="1"/>
    <xf numFmtId="0" fontId="0" fillId="0" borderId="0" xfId="0" applyBorder="1" applyProtection="1"/>
    <xf numFmtId="0" fontId="21" fillId="0" borderId="35" xfId="0" applyFont="1" applyBorder="1" applyAlignment="1" applyProtection="1">
      <alignment vertical="top"/>
    </xf>
    <xf numFmtId="0" fontId="21" fillId="0" borderId="3" xfId="0" applyFont="1" applyBorder="1" applyAlignment="1" applyProtection="1">
      <alignment vertical="top"/>
    </xf>
    <xf numFmtId="0" fontId="20" fillId="0" borderId="0" xfId="0" applyFont="1" applyFill="1" applyBorder="1" applyProtection="1"/>
    <xf numFmtId="0" fontId="20" fillId="0" borderId="35" xfId="0" applyFont="1" applyBorder="1" applyProtection="1"/>
    <xf numFmtId="206" fontId="20" fillId="0" borderId="0" xfId="0" applyNumberFormat="1" applyFont="1" applyFill="1" applyBorder="1" applyAlignment="1" applyProtection="1">
      <alignment horizontal="center"/>
    </xf>
    <xf numFmtId="0" fontId="18" fillId="8" borderId="35" xfId="0" applyFont="1" applyFill="1" applyBorder="1" applyAlignment="1" applyProtection="1">
      <alignment horizontal="center"/>
    </xf>
    <xf numFmtId="0" fontId="28" fillId="8" borderId="4" xfId="0" applyFont="1" applyFill="1" applyBorder="1" applyAlignment="1" applyProtection="1">
      <alignment horizontal="center"/>
    </xf>
    <xf numFmtId="0" fontId="28" fillId="8" borderId="53" xfId="0" applyFont="1" applyFill="1" applyBorder="1" applyAlignment="1" applyProtection="1"/>
    <xf numFmtId="0" fontId="21" fillId="0" borderId="63" xfId="0" applyFont="1" applyBorder="1" applyAlignment="1" applyProtection="1">
      <alignment vertical="top"/>
    </xf>
    <xf numFmtId="0" fontId="21" fillId="0" borderId="41" xfId="0" applyFont="1" applyBorder="1" applyProtection="1"/>
    <xf numFmtId="9" fontId="15" fillId="0" borderId="0" xfId="8" applyFont="1" applyFill="1" applyBorder="1" applyProtection="1"/>
    <xf numFmtId="0" fontId="20" fillId="0" borderId="64" xfId="0" applyFont="1" applyBorder="1" applyProtection="1"/>
    <xf numFmtId="0" fontId="21" fillId="0" borderId="35" xfId="0" applyFont="1" applyFill="1" applyBorder="1" applyProtection="1"/>
    <xf numFmtId="0" fontId="20" fillId="0" borderId="53" xfId="0" applyFont="1" applyFill="1" applyBorder="1" applyAlignment="1" applyProtection="1"/>
    <xf numFmtId="0" fontId="21" fillId="0" borderId="0" xfId="0" applyFont="1" applyBorder="1" applyProtection="1"/>
    <xf numFmtId="0" fontId="20" fillId="0" borderId="67" xfId="0" applyFont="1" applyBorder="1" applyProtection="1"/>
    <xf numFmtId="9" fontId="21" fillId="0" borderId="35" xfId="8" applyFont="1" applyBorder="1" applyProtection="1"/>
    <xf numFmtId="0" fontId="21" fillId="0" borderId="53" xfId="0" applyFont="1" applyFill="1" applyBorder="1" applyProtection="1"/>
    <xf numFmtId="215" fontId="20" fillId="0" borderId="53" xfId="0" applyNumberFormat="1" applyFont="1" applyFill="1" applyBorder="1" applyAlignment="1" applyProtection="1">
      <alignment horizontal="center"/>
    </xf>
    <xf numFmtId="0" fontId="21" fillId="0" borderId="52" xfId="0" applyFont="1" applyBorder="1" applyProtection="1"/>
    <xf numFmtId="206" fontId="20" fillId="0" borderId="53" xfId="0" applyNumberFormat="1" applyFont="1" applyFill="1" applyBorder="1" applyAlignment="1" applyProtection="1">
      <alignment horizontal="center"/>
    </xf>
    <xf numFmtId="9" fontId="21" fillId="0" borderId="35" xfId="8" applyFont="1" applyBorder="1" applyAlignment="1" applyProtection="1">
      <alignment wrapText="1"/>
    </xf>
    <xf numFmtId="0" fontId="21" fillId="0" borderId="35" xfId="0" applyFont="1" applyBorder="1" applyProtection="1"/>
    <xf numFmtId="0" fontId="21" fillId="0" borderId="3" xfId="0" applyFont="1" applyBorder="1" applyProtection="1"/>
    <xf numFmtId="9" fontId="21" fillId="0" borderId="64" xfId="8" applyFont="1" applyBorder="1" applyAlignment="1" applyProtection="1">
      <alignment horizontal="left" wrapText="1"/>
    </xf>
    <xf numFmtId="0" fontId="21" fillId="0" borderId="4" xfId="0" applyFont="1" applyBorder="1" applyAlignment="1" applyProtection="1"/>
    <xf numFmtId="0" fontId="21" fillId="0" borderId="5" xfId="0" applyFont="1" applyBorder="1" applyAlignment="1" applyProtection="1"/>
    <xf numFmtId="0" fontId="20" fillId="0" borderId="63" xfId="0" applyFont="1" applyBorder="1" applyProtection="1"/>
    <xf numFmtId="206" fontId="20" fillId="0" borderId="58" xfId="0" applyNumberFormat="1" applyFont="1" applyFill="1" applyBorder="1" applyAlignment="1" applyProtection="1">
      <alignment horizontal="center"/>
    </xf>
    <xf numFmtId="0" fontId="20" fillId="0" borderId="35" xfId="0" applyFont="1" applyFill="1" applyBorder="1" applyProtection="1"/>
    <xf numFmtId="0" fontId="21" fillId="0" borderId="63" xfId="0" applyFont="1" applyFill="1" applyBorder="1" applyProtection="1"/>
    <xf numFmtId="187" fontId="21" fillId="0" borderId="50" xfId="9" applyNumberFormat="1" applyFont="1" applyBorder="1" applyProtection="1"/>
    <xf numFmtId="0" fontId="21" fillId="0" borderId="58" xfId="0" applyFont="1" applyFill="1" applyBorder="1" applyProtection="1"/>
    <xf numFmtId="0" fontId="21" fillId="8" borderId="3" xfId="0" applyFont="1" applyFill="1" applyBorder="1" applyAlignment="1" applyProtection="1">
      <alignment horizontal="center"/>
    </xf>
    <xf numFmtId="0" fontId="20" fillId="0" borderId="52" xfId="0" applyFont="1" applyBorder="1" applyProtection="1"/>
    <xf numFmtId="0" fontId="21" fillId="0" borderId="37" xfId="0" applyFont="1" applyBorder="1" applyProtection="1"/>
    <xf numFmtId="0" fontId="20" fillId="0" borderId="3" xfId="0" applyFont="1" applyBorder="1" applyProtection="1"/>
    <xf numFmtId="0" fontId="21" fillId="0" borderId="63" xfId="0" applyFont="1" applyBorder="1" applyProtection="1"/>
    <xf numFmtId="0" fontId="20" fillId="0" borderId="41" xfId="0" applyFont="1" applyBorder="1" applyProtection="1"/>
    <xf numFmtId="0" fontId="20" fillId="0" borderId="0" xfId="0" applyFont="1" applyBorder="1" applyProtection="1"/>
    <xf numFmtId="0" fontId="18" fillId="8" borderId="67" xfId="0" applyFont="1" applyFill="1" applyBorder="1" applyAlignment="1" applyProtection="1">
      <alignment horizontal="center"/>
    </xf>
    <xf numFmtId="0" fontId="18" fillId="8" borderId="12" xfId="0" applyFont="1" applyFill="1" applyBorder="1" applyAlignment="1" applyProtection="1">
      <alignment horizontal="center"/>
    </xf>
    <xf numFmtId="0" fontId="18" fillId="8" borderId="8" xfId="0" applyFont="1" applyFill="1" applyBorder="1" applyAlignment="1" applyProtection="1">
      <alignment horizontal="center"/>
    </xf>
    <xf numFmtId="0" fontId="18" fillId="8" borderId="53" xfId="0" applyFont="1" applyFill="1" applyBorder="1" applyAlignment="1" applyProtection="1">
      <alignment wrapText="1"/>
    </xf>
    <xf numFmtId="0" fontId="18" fillId="0" borderId="47" xfId="0" applyFont="1" applyBorder="1" applyProtection="1"/>
    <xf numFmtId="0" fontId="18" fillId="0" borderId="0" xfId="0" applyFont="1" applyBorder="1" applyProtection="1"/>
    <xf numFmtId="3" fontId="18" fillId="0" borderId="0" xfId="0" applyNumberFormat="1" applyFont="1" applyBorder="1" applyProtection="1"/>
    <xf numFmtId="168" fontId="18" fillId="0" borderId="37" xfId="8" applyNumberFormat="1" applyFont="1" applyBorder="1" applyAlignment="1" applyProtection="1">
      <alignment horizontal="center"/>
    </xf>
    <xf numFmtId="0" fontId="18" fillId="8" borderId="54" xfId="0" applyFont="1" applyFill="1" applyBorder="1" applyAlignment="1" applyProtection="1">
      <alignment horizontal="center"/>
    </xf>
    <xf numFmtId="0" fontId="18" fillId="8" borderId="3" xfId="0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 vertical="top"/>
    </xf>
    <xf numFmtId="0" fontId="21" fillId="0" borderId="3" xfId="0" applyFont="1" applyBorder="1" applyAlignment="1" applyProtection="1">
      <alignment horizontal="center" vertical="top"/>
    </xf>
    <xf numFmtId="3" fontId="21" fillId="0" borderId="0" xfId="0" applyNumberFormat="1" applyFont="1" applyBorder="1" applyProtection="1"/>
    <xf numFmtId="168" fontId="21" fillId="0" borderId="37" xfId="8" applyNumberFormat="1" applyFont="1" applyBorder="1" applyAlignment="1" applyProtection="1">
      <alignment horizontal="center"/>
    </xf>
    <xf numFmtId="3" fontId="21" fillId="0" borderId="5" xfId="0" applyNumberFormat="1" applyFont="1" applyFill="1" applyBorder="1" applyProtection="1"/>
    <xf numFmtId="0" fontId="21" fillId="0" borderId="41" xfId="0" applyFont="1" applyBorder="1" applyAlignment="1" applyProtection="1">
      <alignment horizontal="center" vertical="top"/>
    </xf>
    <xf numFmtId="0" fontId="21" fillId="0" borderId="58" xfId="0" applyFont="1" applyBorder="1" applyAlignment="1" applyProtection="1">
      <alignment horizontal="center" vertical="top"/>
    </xf>
    <xf numFmtId="0" fontId="21" fillId="0" borderId="50" xfId="0" applyFont="1" applyBorder="1" applyProtection="1"/>
    <xf numFmtId="3" fontId="21" fillId="0" borderId="50" xfId="0" applyNumberFormat="1" applyFont="1" applyBorder="1" applyProtection="1"/>
    <xf numFmtId="168" fontId="21" fillId="0" borderId="42" xfId="8" applyNumberFormat="1" applyFont="1" applyBorder="1" applyAlignment="1" applyProtection="1">
      <alignment horizontal="center"/>
    </xf>
    <xf numFmtId="0" fontId="21" fillId="7" borderId="63" xfId="0" applyFont="1" applyFill="1" applyBorder="1" applyProtection="1"/>
    <xf numFmtId="0" fontId="21" fillId="7" borderId="56" xfId="0" applyFont="1" applyFill="1" applyBorder="1" applyAlignment="1" applyProtection="1">
      <alignment horizontal="center"/>
    </xf>
    <xf numFmtId="0" fontId="22" fillId="0" borderId="47" xfId="0" applyFont="1" applyFill="1" applyBorder="1" applyProtection="1"/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37" xfId="0" applyFont="1" applyFill="1" applyBorder="1" applyProtection="1"/>
    <xf numFmtId="0" fontId="88" fillId="0" borderId="47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18" fillId="8" borderId="54" xfId="0" applyFont="1" applyFill="1" applyBorder="1" applyAlignment="1" applyProtection="1"/>
    <xf numFmtId="0" fontId="18" fillId="8" borderId="3" xfId="0" applyFont="1" applyFill="1" applyBorder="1" applyAlignment="1" applyProtection="1">
      <alignment horizontal="center" vertical="top"/>
    </xf>
    <xf numFmtId="0" fontId="18" fillId="8" borderId="4" xfId="0" applyFont="1" applyFill="1" applyBorder="1" applyAlignment="1" applyProtection="1">
      <alignment vertical="top"/>
    </xf>
    <xf numFmtId="0" fontId="18" fillId="8" borderId="36" xfId="0" applyFont="1" applyFill="1" applyBorder="1" applyAlignment="1" applyProtection="1">
      <alignment vertical="top"/>
    </xf>
    <xf numFmtId="0" fontId="18" fillId="0" borderId="47" xfId="0" applyFont="1" applyFill="1" applyBorder="1" applyProtection="1"/>
    <xf numFmtId="0" fontId="21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3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8" borderId="62" xfId="0" applyFont="1" applyFill="1" applyBorder="1" applyAlignment="1" applyProtection="1">
      <alignment horizontal="center"/>
    </xf>
    <xf numFmtId="0" fontId="21" fillId="0" borderId="5" xfId="0" applyFont="1" applyFill="1" applyBorder="1" applyProtection="1"/>
    <xf numFmtId="0" fontId="18" fillId="0" borderId="47" xfId="0" applyFont="1" applyFill="1" applyBorder="1" applyAlignment="1" applyProtection="1"/>
    <xf numFmtId="0" fontId="21" fillId="0" borderId="3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right"/>
    </xf>
    <xf numFmtId="9" fontId="21" fillId="0" borderId="3" xfId="6" applyNumberFormat="1" applyFont="1" applyFill="1" applyBorder="1" applyAlignment="1" applyProtection="1">
      <alignment horizontal="center"/>
    </xf>
    <xf numFmtId="0" fontId="21" fillId="0" borderId="47" xfId="0" applyFont="1" applyFill="1" applyBorder="1" applyProtection="1"/>
    <xf numFmtId="0" fontId="28" fillId="0" borderId="0" xfId="0" applyFont="1" applyBorder="1" applyProtection="1"/>
    <xf numFmtId="0" fontId="18" fillId="0" borderId="0" xfId="0" applyFont="1" applyFill="1" applyBorder="1" applyAlignment="1" applyProtection="1"/>
    <xf numFmtId="0" fontId="20" fillId="0" borderId="9" xfId="0" applyFont="1" applyBorder="1" applyProtection="1"/>
    <xf numFmtId="0" fontId="20" fillId="0" borderId="10" xfId="0" applyFont="1" applyBorder="1" applyProtection="1"/>
    <xf numFmtId="0" fontId="21" fillId="0" borderId="30" xfId="0" applyFont="1" applyBorder="1" applyProtection="1"/>
    <xf numFmtId="9" fontId="21" fillId="0" borderId="3" xfId="0" applyNumberFormat="1" applyFont="1" applyFill="1" applyBorder="1" applyAlignment="1" applyProtection="1">
      <alignment horizontal="center"/>
    </xf>
    <xf numFmtId="0" fontId="21" fillId="0" borderId="30" xfId="0" applyFont="1" applyFill="1" applyBorder="1" applyProtection="1"/>
    <xf numFmtId="10" fontId="21" fillId="0" borderId="3" xfId="8" applyNumberFormat="1" applyFont="1" applyFill="1" applyBorder="1" applyAlignment="1" applyProtection="1">
      <alignment horizontal="center"/>
    </xf>
    <xf numFmtId="17" fontId="21" fillId="29" borderId="7" xfId="0" applyNumberFormat="1" applyFont="1" applyFill="1" applyBorder="1" applyProtection="1"/>
    <xf numFmtId="0" fontId="21" fillId="7" borderId="56" xfId="0" applyFont="1" applyFill="1" applyBorder="1" applyProtection="1"/>
    <xf numFmtId="169" fontId="21" fillId="0" borderId="3" xfId="0" applyNumberFormat="1" applyFont="1" applyFill="1" applyBorder="1" applyAlignment="1" applyProtection="1">
      <alignment horizontal="center"/>
    </xf>
    <xf numFmtId="169" fontId="21" fillId="29" borderId="3" xfId="0" applyNumberFormat="1" applyFont="1" applyFill="1" applyBorder="1" applyAlignment="1" applyProtection="1">
      <alignment horizontal="center"/>
    </xf>
    <xf numFmtId="0" fontId="21" fillId="0" borderId="42" xfId="0" applyFont="1" applyBorder="1" applyProtection="1"/>
    <xf numFmtId="10" fontId="21" fillId="0" borderId="0" xfId="8" applyNumberFormat="1" applyFont="1" applyFill="1" applyBorder="1" applyAlignment="1" applyProtection="1">
      <alignment horizontal="center"/>
    </xf>
    <xf numFmtId="0" fontId="21" fillId="0" borderId="30" xfId="0" applyFont="1" applyFill="1" applyBorder="1" applyAlignment="1" applyProtection="1">
      <alignment horizontal="left"/>
    </xf>
    <xf numFmtId="212" fontId="21" fillId="0" borderId="0" xfId="9" applyNumberFormat="1" applyFont="1" applyFill="1" applyBorder="1" applyAlignment="1" applyProtection="1">
      <alignment horizontal="center"/>
    </xf>
    <xf numFmtId="0" fontId="21" fillId="0" borderId="47" xfId="0" applyFont="1" applyBorder="1" applyAlignment="1" applyProtection="1">
      <alignment horizontal="left"/>
    </xf>
    <xf numFmtId="15" fontId="21" fillId="0" borderId="0" xfId="0" applyNumberFormat="1" applyFont="1" applyBorder="1" applyAlignment="1" applyProtection="1">
      <alignment horizontal="left"/>
    </xf>
    <xf numFmtId="0" fontId="0" fillId="0" borderId="38" xfId="0" applyBorder="1" applyProtection="1"/>
    <xf numFmtId="0" fontId="21" fillId="0" borderId="11" xfId="0" applyFont="1" applyFill="1" applyBorder="1" applyProtection="1"/>
    <xf numFmtId="0" fontId="21" fillId="0" borderId="1" xfId="0" applyFont="1" applyFill="1" applyBorder="1" applyProtection="1"/>
    <xf numFmtId="183" fontId="21" fillId="0" borderId="0" xfId="9" applyNumberFormat="1" applyFont="1" applyFill="1" applyBorder="1" applyAlignment="1" applyProtection="1"/>
    <xf numFmtId="6" fontId="21" fillId="0" borderId="0" xfId="5" applyNumberFormat="1" applyFont="1" applyFill="1" applyBorder="1" applyProtection="1"/>
    <xf numFmtId="0" fontId="21" fillId="0" borderId="11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left"/>
    </xf>
    <xf numFmtId="9" fontId="21" fillId="0" borderId="0" xfId="6" applyNumberFormat="1" applyFont="1" applyFill="1" applyBorder="1" applyAlignment="1" applyProtection="1">
      <alignment horizontal="center"/>
    </xf>
    <xf numFmtId="9" fontId="21" fillId="0" borderId="37" xfId="6" applyNumberFormat="1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wrapText="1"/>
    </xf>
    <xf numFmtId="3" fontId="21" fillId="0" borderId="37" xfId="0" applyNumberFormat="1" applyFont="1" applyFill="1" applyBorder="1" applyProtection="1"/>
    <xf numFmtId="0" fontId="19" fillId="0" borderId="0" xfId="0" applyFont="1" applyBorder="1" applyAlignment="1" applyProtection="1">
      <alignment horizontal="center"/>
    </xf>
    <xf numFmtId="0" fontId="21" fillId="0" borderId="30" xfId="0" applyFont="1" applyFill="1" applyBorder="1" applyAlignment="1" applyProtection="1"/>
    <xf numFmtId="0" fontId="21" fillId="0" borderId="7" xfId="0" applyFont="1" applyFill="1" applyBorder="1" applyAlignment="1" applyProtection="1"/>
    <xf numFmtId="0" fontId="21" fillId="0" borderId="7" xfId="0" applyFont="1" applyFill="1" applyBorder="1" applyProtection="1"/>
    <xf numFmtId="0" fontId="21" fillId="0" borderId="3" xfId="0" applyFont="1" applyFill="1" applyBorder="1" applyAlignment="1" applyProtection="1"/>
    <xf numFmtId="0" fontId="21" fillId="0" borderId="47" xfId="6" applyFont="1" applyBorder="1" applyProtection="1"/>
    <xf numFmtId="0" fontId="21" fillId="0" borderId="11" xfId="0" applyFont="1" applyFill="1" applyBorder="1" applyAlignment="1" applyProtection="1"/>
    <xf numFmtId="0" fontId="21" fillId="0" borderId="12" xfId="0" applyFont="1" applyFill="1" applyBorder="1" applyProtection="1"/>
    <xf numFmtId="0" fontId="23" fillId="0" borderId="0" xfId="0" applyFont="1" applyFill="1" applyBorder="1" applyProtection="1"/>
    <xf numFmtId="0" fontId="21" fillId="0" borderId="47" xfId="0" applyFont="1" applyFill="1" applyBorder="1" applyAlignment="1" applyProtection="1"/>
    <xf numFmtId="15" fontId="18" fillId="0" borderId="0" xfId="0" applyNumberFormat="1" applyFont="1" applyBorder="1" applyAlignment="1" applyProtection="1">
      <alignment horizontal="center"/>
    </xf>
    <xf numFmtId="0" fontId="119" fillId="0" borderId="0" xfId="0" applyFont="1" applyFill="1" applyBorder="1" applyProtection="1"/>
    <xf numFmtId="0" fontId="0" fillId="0" borderId="50" xfId="0" applyBorder="1" applyProtection="1"/>
    <xf numFmtId="0" fontId="21" fillId="0" borderId="50" xfId="0" applyFont="1" applyFill="1" applyBorder="1" applyProtection="1"/>
    <xf numFmtId="0" fontId="21" fillId="0" borderId="42" xfId="0" applyFont="1" applyFill="1" applyBorder="1" applyProtection="1"/>
    <xf numFmtId="0" fontId="21" fillId="6" borderId="3" xfId="0" applyFont="1" applyFill="1" applyBorder="1" applyAlignment="1" applyProtection="1">
      <alignment horizontal="center" vertical="top"/>
      <protection locked="0"/>
    </xf>
    <xf numFmtId="0" fontId="21" fillId="6" borderId="53" xfId="0" applyFont="1" applyFill="1" applyBorder="1" applyAlignment="1" applyProtection="1">
      <alignment horizontal="center" vertical="top"/>
      <protection locked="0"/>
    </xf>
    <xf numFmtId="10" fontId="21" fillId="6" borderId="16" xfId="8" applyNumberFormat="1" applyFont="1" applyFill="1" applyBorder="1" applyAlignment="1" applyProtection="1">
      <alignment horizontal="center"/>
      <protection locked="0"/>
    </xf>
    <xf numFmtId="10" fontId="21" fillId="6" borderId="3" xfId="8" applyNumberFormat="1" applyFont="1" applyFill="1" applyBorder="1" applyAlignment="1" applyProtection="1">
      <alignment horizontal="center"/>
      <protection locked="0"/>
    </xf>
    <xf numFmtId="212" fontId="21" fillId="6" borderId="3" xfId="0" applyNumberFormat="1" applyFont="1" applyFill="1" applyBorder="1" applyAlignment="1" applyProtection="1">
      <alignment horizontal="center"/>
      <protection locked="0"/>
    </xf>
    <xf numFmtId="0" fontId="21" fillId="6" borderId="3" xfId="0" applyFont="1" applyFill="1" applyBorder="1" applyAlignment="1" applyProtection="1">
      <protection locked="0"/>
    </xf>
    <xf numFmtId="0" fontId="21" fillId="35" borderId="3" xfId="0" applyFont="1" applyFill="1" applyBorder="1" applyAlignment="1" applyProtection="1">
      <alignment horizontal="center"/>
      <protection locked="0"/>
    </xf>
    <xf numFmtId="0" fontId="21" fillId="35" borderId="41" xfId="0" applyFont="1" applyFill="1" applyBorder="1" applyAlignment="1" applyProtection="1">
      <alignment horizontal="center"/>
      <protection locked="0"/>
    </xf>
    <xf numFmtId="0" fontId="21" fillId="35" borderId="53" xfId="0" applyFont="1" applyFill="1" applyBorder="1" applyAlignment="1" applyProtection="1">
      <alignment horizontal="center"/>
      <protection locked="0"/>
    </xf>
    <xf numFmtId="0" fontId="21" fillId="35" borderId="58" xfId="0" applyFont="1" applyFill="1" applyBorder="1" applyAlignment="1" applyProtection="1">
      <alignment horizontal="center"/>
      <protection locked="0"/>
    </xf>
    <xf numFmtId="3" fontId="21" fillId="6" borderId="3" xfId="0" applyNumberFormat="1" applyFont="1" applyFill="1" applyBorder="1" applyProtection="1">
      <protection locked="0"/>
    </xf>
    <xf numFmtId="9" fontId="21" fillId="6" borderId="53" xfId="6" applyNumberFormat="1" applyFont="1" applyFill="1" applyBorder="1" applyAlignment="1" applyProtection="1">
      <alignment horizontal="center"/>
      <protection locked="0"/>
    </xf>
    <xf numFmtId="9" fontId="21" fillId="6" borderId="53" xfId="0" applyNumberFormat="1" applyFont="1" applyFill="1" applyBorder="1" applyAlignment="1" applyProtection="1">
      <alignment horizontal="center"/>
      <protection locked="0"/>
    </xf>
    <xf numFmtId="3" fontId="21" fillId="6" borderId="53" xfId="0" applyNumberFormat="1" applyFont="1" applyFill="1" applyBorder="1" applyProtection="1">
      <protection locked="0"/>
    </xf>
    <xf numFmtId="215" fontId="20" fillId="6" borderId="62" xfId="0" applyNumberFormat="1" applyFont="1" applyFill="1" applyBorder="1" applyAlignment="1" applyProtection="1">
      <alignment horizontal="center"/>
      <protection locked="0"/>
    </xf>
    <xf numFmtId="215" fontId="20" fillId="6" borderId="53" xfId="0" applyNumberFormat="1" applyFont="1" applyFill="1" applyBorder="1" applyAlignment="1" applyProtection="1">
      <alignment horizontal="center"/>
      <protection locked="0"/>
    </xf>
    <xf numFmtId="0" fontId="21" fillId="6" borderId="62" xfId="0" applyFont="1" applyFill="1" applyBorder="1" applyAlignment="1" applyProtection="1">
      <alignment horizontal="center"/>
      <protection locked="0"/>
    </xf>
    <xf numFmtId="0" fontId="21" fillId="6" borderId="53" xfId="0" applyFont="1" applyFill="1" applyBorder="1" applyAlignment="1" applyProtection="1">
      <alignment horizontal="center"/>
      <protection locked="0"/>
    </xf>
    <xf numFmtId="0" fontId="28" fillId="6" borderId="3" xfId="0" quotePrefix="1" applyFont="1" applyFill="1" applyBorder="1" applyAlignment="1" applyProtection="1">
      <alignment horizontal="center"/>
      <protection locked="0"/>
    </xf>
    <xf numFmtId="0" fontId="0" fillId="6" borderId="35" xfId="0" applyFill="1" applyBorder="1" applyProtection="1">
      <protection locked="0"/>
    </xf>
    <xf numFmtId="6" fontId="21" fillId="6" borderId="3" xfId="0" applyNumberFormat="1" applyFont="1" applyFill="1" applyBorder="1" applyProtection="1">
      <protection locked="0"/>
    </xf>
    <xf numFmtId="0" fontId="22" fillId="0" borderId="44" xfId="0" applyFont="1" applyBorder="1" applyProtection="1"/>
    <xf numFmtId="0" fontId="24" fillId="0" borderId="45" xfId="0" applyFont="1" applyBorder="1" applyProtection="1"/>
    <xf numFmtId="0" fontId="24" fillId="0" borderId="45" xfId="0" applyFont="1" applyFill="1" applyBorder="1" applyAlignment="1" applyProtection="1"/>
    <xf numFmtId="0" fontId="21" fillId="0" borderId="45" xfId="0" applyFont="1" applyFill="1" applyBorder="1" applyAlignment="1" applyProtection="1"/>
    <xf numFmtId="0" fontId="21" fillId="0" borderId="46" xfId="0" applyFont="1" applyBorder="1" applyProtection="1"/>
    <xf numFmtId="0" fontId="21" fillId="0" borderId="2" xfId="0" applyFont="1" applyBorder="1" applyProtection="1"/>
    <xf numFmtId="0" fontId="23" fillId="0" borderId="0" xfId="0" applyFont="1" applyBorder="1" applyAlignment="1" applyProtection="1">
      <alignment horizontal="center"/>
    </xf>
    <xf numFmtId="183" fontId="21" fillId="0" borderId="4" xfId="9" applyNumberFormat="1" applyFont="1" applyBorder="1" applyAlignment="1" applyProtection="1"/>
    <xf numFmtId="183" fontId="21" fillId="0" borderId="9" xfId="9" applyNumberFormat="1" applyFont="1" applyBorder="1" applyAlignment="1" applyProtection="1"/>
    <xf numFmtId="218" fontId="21" fillId="0" borderId="9" xfId="5" applyNumberFormat="1" applyFont="1" applyBorder="1" applyAlignment="1" applyProtection="1">
      <alignment vertical="center"/>
    </xf>
    <xf numFmtId="183" fontId="21" fillId="0" borderId="27" xfId="9" applyNumberFormat="1" applyFont="1" applyBorder="1" applyAlignment="1" applyProtection="1"/>
    <xf numFmtId="0" fontId="21" fillId="0" borderId="8" xfId="5" applyNumberFormat="1" applyFont="1" applyBorder="1" applyAlignment="1" applyProtection="1">
      <alignment vertical="center"/>
    </xf>
    <xf numFmtId="183" fontId="21" fillId="0" borderId="8" xfId="9" applyNumberFormat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21" fillId="0" borderId="35" xfId="0" applyFont="1" applyBorder="1" applyAlignment="1" applyProtection="1"/>
    <xf numFmtId="0" fontId="21" fillId="0" borderId="3" xfId="0" applyFont="1" applyBorder="1" applyAlignment="1" applyProtection="1"/>
    <xf numFmtId="0" fontId="21" fillId="0" borderId="63" xfId="0" applyFont="1" applyBorder="1" applyAlignment="1" applyProtection="1"/>
    <xf numFmtId="0" fontId="21" fillId="0" borderId="41" xfId="0" applyFont="1" applyBorder="1" applyAlignment="1" applyProtection="1"/>
    <xf numFmtId="0" fontId="8" fillId="0" borderId="0" xfId="0" applyFont="1" applyFill="1" applyAlignment="1" applyProtection="1">
      <alignment horizontal="left"/>
    </xf>
    <xf numFmtId="1" fontId="8" fillId="0" borderId="0" xfId="0" applyNumberFormat="1" applyFont="1" applyFill="1" applyAlignment="1" applyProtection="1">
      <alignment horizontal="center"/>
    </xf>
    <xf numFmtId="9" fontId="8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Protection="1"/>
    <xf numFmtId="0" fontId="8" fillId="0" borderId="0" xfId="0" applyFont="1" applyFill="1" applyProtection="1"/>
    <xf numFmtId="187" fontId="18" fillId="8" borderId="4" xfId="9" applyNumberFormat="1" applyFont="1" applyFill="1" applyBorder="1" applyAlignment="1" applyProtection="1">
      <alignment horizontal="center"/>
    </xf>
    <xf numFmtId="187" fontId="18" fillId="8" borderId="2" xfId="9" applyNumberFormat="1" applyFont="1" applyFill="1" applyBorder="1" applyAlignment="1" applyProtection="1">
      <alignment horizontal="center"/>
    </xf>
    <xf numFmtId="187" fontId="18" fillId="8" borderId="5" xfId="9" applyNumberFormat="1" applyFont="1" applyFill="1" applyBorder="1" applyAlignment="1" applyProtection="1">
      <alignment horizontal="center"/>
    </xf>
    <xf numFmtId="187" fontId="18" fillId="0" borderId="4" xfId="9" applyNumberFormat="1" applyFont="1" applyFill="1" applyBorder="1" applyAlignment="1" applyProtection="1">
      <alignment horizontal="center" vertical="center"/>
    </xf>
    <xf numFmtId="187" fontId="18" fillId="0" borderId="2" xfId="9" applyNumberFormat="1" applyFont="1" applyFill="1" applyBorder="1" applyAlignment="1" applyProtection="1">
      <alignment horizontal="center" vertical="center"/>
    </xf>
    <xf numFmtId="187" fontId="18" fillId="0" borderId="3" xfId="9" applyNumberFormat="1" applyFont="1" applyFill="1" applyBorder="1" applyAlignment="1" applyProtection="1">
      <alignment horizontal="center" vertical="center"/>
    </xf>
    <xf numFmtId="187" fontId="21" fillId="0" borderId="3" xfId="9" applyNumberFormat="1" applyFont="1" applyFill="1" applyBorder="1" applyAlignment="1" applyProtection="1">
      <alignment horizontal="center" vertical="center" wrapText="1"/>
    </xf>
    <xf numFmtId="187" fontId="18" fillId="0" borderId="53" xfId="9" applyNumberFormat="1" applyFont="1" applyFill="1" applyBorder="1" applyAlignment="1" applyProtection="1">
      <alignment horizontal="center" vertical="center"/>
    </xf>
    <xf numFmtId="187" fontId="21" fillId="0" borderId="8" xfId="9" applyNumberFormat="1" applyFont="1" applyFill="1" applyBorder="1" applyProtection="1"/>
    <xf numFmtId="187" fontId="21" fillId="0" borderId="11" xfId="9" applyNumberFormat="1" applyFont="1" applyBorder="1" applyProtection="1"/>
    <xf numFmtId="187" fontId="21" fillId="0" borderId="53" xfId="9" applyNumberFormat="1" applyFont="1" applyBorder="1" applyProtection="1"/>
    <xf numFmtId="187" fontId="21" fillId="0" borderId="3" xfId="9" applyNumberFormat="1" applyFont="1" applyFill="1" applyBorder="1" applyProtection="1"/>
    <xf numFmtId="187" fontId="21" fillId="0" borderId="4" xfId="9" applyNumberFormat="1" applyFont="1" applyBorder="1" applyProtection="1"/>
    <xf numFmtId="187" fontId="18" fillId="0" borderId="3" xfId="9" applyNumberFormat="1" applyFont="1" applyFill="1" applyBorder="1" applyProtection="1"/>
    <xf numFmtId="0" fontId="18" fillId="0" borderId="0" xfId="0" applyFont="1" applyProtection="1"/>
    <xf numFmtId="187" fontId="16" fillId="0" borderId="3" xfId="9" applyNumberFormat="1" applyFont="1" applyFill="1" applyBorder="1" applyProtection="1"/>
    <xf numFmtId="187" fontId="21" fillId="0" borderId="8" xfId="9" applyNumberFormat="1" applyFont="1" applyBorder="1" applyProtection="1"/>
    <xf numFmtId="187" fontId="21" fillId="0" borderId="4" xfId="9" applyNumberFormat="1" applyFont="1" applyFill="1" applyBorder="1" applyProtection="1"/>
    <xf numFmtId="187" fontId="18" fillId="0" borderId="0" xfId="9" applyNumberFormat="1" applyFont="1" applyFill="1" applyBorder="1" applyProtection="1"/>
    <xf numFmtId="187" fontId="21" fillId="0" borderId="0" xfId="9" applyNumberFormat="1" applyFont="1" applyBorder="1" applyProtection="1"/>
    <xf numFmtId="187" fontId="18" fillId="0" borderId="0" xfId="9" applyNumberFormat="1" applyFont="1" applyBorder="1" applyProtection="1"/>
    <xf numFmtId="187" fontId="21" fillId="0" borderId="37" xfId="9" applyNumberFormat="1" applyFont="1" applyBorder="1" applyProtection="1"/>
    <xf numFmtId="187" fontId="18" fillId="0" borderId="3" xfId="9" applyNumberFormat="1" applyFont="1" applyBorder="1" applyProtection="1"/>
    <xf numFmtId="0" fontId="21" fillId="0" borderId="49" xfId="0" applyFont="1" applyFill="1" applyBorder="1" applyProtection="1"/>
    <xf numFmtId="6" fontId="21" fillId="35" borderId="8" xfId="5" applyNumberFormat="1" applyFont="1" applyFill="1" applyBorder="1" applyProtection="1">
      <protection locked="0"/>
    </xf>
    <xf numFmtId="6" fontId="21" fillId="35" borderId="41" xfId="5" applyNumberFormat="1" applyFont="1" applyFill="1" applyBorder="1" applyProtection="1">
      <protection locked="0"/>
    </xf>
    <xf numFmtId="187" fontId="18" fillId="35" borderId="3" xfId="9" applyNumberFormat="1" applyFont="1" applyFill="1" applyBorder="1" applyProtection="1">
      <protection locked="0"/>
    </xf>
    <xf numFmtId="187" fontId="18" fillId="35" borderId="3" xfId="9" applyNumberFormat="1" applyFont="1" applyFill="1" applyBorder="1" applyAlignment="1" applyProtection="1">
      <alignment horizontal="center" vertical="center"/>
      <protection locked="0"/>
    </xf>
    <xf numFmtId="0" fontId="18" fillId="0" borderId="0" xfId="100" applyFont="1" applyFill="1" applyBorder="1" applyAlignment="1" applyProtection="1">
      <alignment horizontal="center"/>
    </xf>
    <xf numFmtId="0" fontId="21" fillId="8" borderId="76" xfId="0" applyFont="1" applyFill="1" applyBorder="1" applyProtection="1"/>
    <xf numFmtId="10" fontId="20" fillId="8" borderId="7" xfId="8" applyNumberFormat="1" applyFont="1" applyFill="1" applyBorder="1" applyAlignment="1" applyProtection="1">
      <alignment horizontal="center" wrapText="1"/>
    </xf>
    <xf numFmtId="10" fontId="20" fillId="8" borderId="27" xfId="8" applyNumberFormat="1" applyFont="1" applyFill="1" applyBorder="1" applyAlignment="1" applyProtection="1">
      <alignment horizontal="center" wrapText="1"/>
    </xf>
    <xf numFmtId="10" fontId="21" fillId="8" borderId="37" xfId="8" applyNumberFormat="1" applyFont="1" applyFill="1" applyBorder="1" applyAlignment="1" applyProtection="1">
      <alignment horizontal="center"/>
    </xf>
    <xf numFmtId="187" fontId="20" fillId="0" borderId="0" xfId="98" applyNumberFormat="1" applyFont="1" applyFill="1" applyBorder="1" applyAlignment="1" applyProtection="1">
      <alignment horizontal="center" wrapText="1"/>
    </xf>
    <xf numFmtId="15" fontId="18" fillId="0" borderId="35" xfId="0" applyNumberFormat="1" applyFont="1" applyBorder="1" applyAlignment="1" applyProtection="1"/>
    <xf numFmtId="0" fontId="24" fillId="0" borderId="47" xfId="98" applyFont="1" applyBorder="1" applyProtection="1"/>
    <xf numFmtId="0" fontId="21" fillId="0" borderId="0" xfId="98" applyFont="1" applyBorder="1" applyProtection="1"/>
    <xf numFmtId="187" fontId="18" fillId="8" borderId="67" xfId="98" applyNumberFormat="1" applyFont="1" applyFill="1" applyBorder="1" applyAlignment="1" applyProtection="1">
      <alignment horizontal="center"/>
    </xf>
    <xf numFmtId="187" fontId="20" fillId="8" borderId="12" xfId="98" applyNumberFormat="1" applyFont="1" applyFill="1" applyBorder="1" applyAlignment="1" applyProtection="1">
      <alignment horizontal="center" wrapText="1"/>
    </xf>
    <xf numFmtId="187" fontId="20" fillId="8" borderId="8" xfId="98" applyNumberFormat="1" applyFont="1" applyFill="1" applyBorder="1" applyAlignment="1" applyProtection="1">
      <alignment horizontal="center" wrapText="1"/>
    </xf>
    <xf numFmtId="187" fontId="21" fillId="8" borderId="39" xfId="98" applyNumberFormat="1" applyFont="1" applyFill="1" applyBorder="1" applyAlignment="1" applyProtection="1">
      <alignment horizontal="center"/>
    </xf>
    <xf numFmtId="15" fontId="21" fillId="0" borderId="35" xfId="0" applyNumberFormat="1" applyFont="1" applyBorder="1" applyAlignment="1" applyProtection="1">
      <alignment horizontal="left"/>
    </xf>
    <xf numFmtId="0" fontId="21" fillId="7" borderId="39" xfId="0" applyFont="1" applyFill="1" applyBorder="1" applyProtection="1"/>
    <xf numFmtId="0" fontId="21" fillId="0" borderId="47" xfId="98" applyFont="1" applyBorder="1" applyAlignment="1" applyProtection="1">
      <alignment horizontal="left"/>
    </xf>
    <xf numFmtId="187" fontId="21" fillId="7" borderId="3" xfId="99" applyNumberFormat="1" applyFont="1" applyFill="1" applyBorder="1" applyProtection="1"/>
    <xf numFmtId="9" fontId="21" fillId="0" borderId="0" xfId="8" applyFont="1" applyFill="1" applyBorder="1" applyProtection="1"/>
    <xf numFmtId="0" fontId="76" fillId="7" borderId="35" xfId="0" applyFont="1" applyFill="1" applyBorder="1" applyProtection="1"/>
    <xf numFmtId="15" fontId="21" fillId="0" borderId="5" xfId="0" applyNumberFormat="1" applyFont="1" applyBorder="1" applyAlignment="1" applyProtection="1">
      <alignment horizontal="left"/>
    </xf>
    <xf numFmtId="0" fontId="21" fillId="0" borderId="47" xfId="98" applyFont="1" applyBorder="1" applyProtection="1"/>
    <xf numFmtId="0" fontId="20" fillId="0" borderId="3" xfId="0" applyFont="1" applyFill="1" applyBorder="1" applyAlignment="1" applyProtection="1">
      <alignment vertical="top"/>
    </xf>
    <xf numFmtId="0" fontId="20" fillId="0" borderId="11" xfId="0" applyFont="1" applyFill="1" applyBorder="1" applyAlignment="1" applyProtection="1">
      <alignment vertical="top"/>
    </xf>
    <xf numFmtId="172" fontId="21" fillId="0" borderId="62" xfId="0" applyNumberFormat="1" applyFont="1" applyFill="1" applyBorder="1" applyAlignment="1" applyProtection="1">
      <alignment horizontal="right" vertical="top"/>
    </xf>
    <xf numFmtId="15" fontId="76" fillId="0" borderId="52" xfId="0" applyNumberFormat="1" applyFont="1" applyBorder="1" applyAlignment="1" applyProtection="1">
      <alignment horizontal="left"/>
    </xf>
    <xf numFmtId="187" fontId="76" fillId="0" borderId="3" xfId="100" applyNumberFormat="1" applyFont="1" applyBorder="1" applyProtection="1"/>
    <xf numFmtId="0" fontId="20" fillId="0" borderId="37" xfId="0" applyFont="1" applyFill="1" applyBorder="1" applyAlignment="1" applyProtection="1">
      <alignment horizontal="left" vertical="top"/>
    </xf>
    <xf numFmtId="187" fontId="76" fillId="0" borderId="3" xfId="99" applyNumberFormat="1" applyFont="1" applyFill="1" applyBorder="1" applyProtection="1"/>
    <xf numFmtId="15" fontId="76" fillId="0" borderId="49" xfId="0" applyNumberFormat="1" applyFont="1" applyBorder="1" applyAlignment="1" applyProtection="1">
      <alignment horizontal="left"/>
    </xf>
    <xf numFmtId="187" fontId="21" fillId="0" borderId="3" xfId="99" applyNumberFormat="1" applyFont="1" applyFill="1" applyBorder="1" applyProtection="1"/>
    <xf numFmtId="15" fontId="16" fillId="0" borderId="31" xfId="0" applyNumberFormat="1" applyFont="1" applyBorder="1" applyAlignment="1" applyProtection="1">
      <alignment horizontal="left"/>
    </xf>
    <xf numFmtId="15" fontId="76" fillId="0" borderId="35" xfId="0" applyNumberFormat="1" applyFont="1" applyBorder="1" applyAlignment="1" applyProtection="1">
      <alignment horizontal="left"/>
    </xf>
    <xf numFmtId="0" fontId="81" fillId="0" borderId="3" xfId="0" applyFont="1" applyFill="1" applyBorder="1" applyProtection="1"/>
    <xf numFmtId="0" fontId="21" fillId="7" borderId="36" xfId="0" applyFont="1" applyFill="1" applyBorder="1" applyProtection="1"/>
    <xf numFmtId="187" fontId="76" fillId="7" borderId="3" xfId="99" applyNumberFormat="1" applyFont="1" applyFill="1" applyBorder="1" applyProtection="1"/>
    <xf numFmtId="187" fontId="76" fillId="0" borderId="16" xfId="99" applyNumberFormat="1" applyFont="1" applyFill="1" applyBorder="1" applyProtection="1"/>
    <xf numFmtId="0" fontId="18" fillId="0" borderId="47" xfId="98" applyFont="1" applyBorder="1" applyProtection="1"/>
    <xf numFmtId="0" fontId="0" fillId="0" borderId="72" xfId="0" applyBorder="1" applyProtection="1"/>
    <xf numFmtId="187" fontId="76" fillId="0" borderId="80" xfId="102" applyNumberFormat="1" applyFont="1" applyFill="1" applyBorder="1" applyProtection="1"/>
    <xf numFmtId="187" fontId="21" fillId="7" borderId="5" xfId="99" applyNumberFormat="1" applyFont="1" applyFill="1" applyBorder="1" applyProtection="1"/>
    <xf numFmtId="187" fontId="21" fillId="0" borderId="0" xfId="99" applyNumberFormat="1" applyFont="1" applyFill="1" applyBorder="1" applyProtection="1"/>
    <xf numFmtId="0" fontId="21" fillId="0" borderId="47" xfId="98" applyFont="1" applyFill="1" applyBorder="1" applyProtection="1"/>
    <xf numFmtId="0" fontId="21" fillId="0" borderId="0" xfId="98" applyFont="1" applyFill="1" applyBorder="1" applyProtection="1"/>
    <xf numFmtId="0" fontId="0" fillId="0" borderId="0" xfId="0" applyFill="1" applyBorder="1" applyProtection="1"/>
    <xf numFmtId="0" fontId="0" fillId="0" borderId="37" xfId="0" applyFill="1" applyBorder="1" applyProtection="1"/>
    <xf numFmtId="187" fontId="76" fillId="0" borderId="12" xfId="102" applyNumberFormat="1" applyFont="1" applyFill="1" applyBorder="1" applyProtection="1"/>
    <xf numFmtId="0" fontId="76" fillId="0" borderId="35" xfId="0" applyFont="1" applyFill="1" applyBorder="1" applyProtection="1"/>
    <xf numFmtId="187" fontId="18" fillId="0" borderId="0" xfId="0" applyNumberFormat="1" applyFont="1" applyFill="1" applyBorder="1" applyProtection="1"/>
    <xf numFmtId="0" fontId="18" fillId="0" borderId="0" xfId="0" applyFont="1" applyFill="1" applyBorder="1" applyProtection="1"/>
    <xf numFmtId="0" fontId="18" fillId="0" borderId="37" xfId="0" applyFont="1" applyFill="1" applyBorder="1" applyProtection="1"/>
    <xf numFmtId="187" fontId="18" fillId="0" borderId="37" xfId="0" applyNumberFormat="1" applyFont="1" applyBorder="1" applyProtection="1"/>
    <xf numFmtId="10" fontId="21" fillId="0" borderId="0" xfId="8" applyNumberFormat="1" applyFont="1" applyFill="1" applyBorder="1" applyProtection="1"/>
    <xf numFmtId="0" fontId="18" fillId="0" borderId="47" xfId="98" applyFont="1" applyFill="1" applyBorder="1" applyProtection="1"/>
    <xf numFmtId="187" fontId="21" fillId="0" borderId="0" xfId="98" applyNumberFormat="1" applyFont="1" applyFill="1" applyBorder="1" applyProtection="1"/>
    <xf numFmtId="9" fontId="21" fillId="0" borderId="37" xfId="8" applyFont="1" applyFill="1" applyBorder="1" applyProtection="1"/>
    <xf numFmtId="187" fontId="21" fillId="0" borderId="79" xfId="99" applyNumberFormat="1" applyFont="1" applyFill="1" applyBorder="1" applyProtection="1"/>
    <xf numFmtId="187" fontId="21" fillId="0" borderId="79" xfId="99" applyNumberFormat="1" applyFont="1" applyBorder="1" applyProtection="1"/>
    <xf numFmtId="187" fontId="21" fillId="0" borderId="78" xfId="99" applyNumberFormat="1" applyFont="1" applyBorder="1" applyProtection="1"/>
    <xf numFmtId="187" fontId="21" fillId="0" borderId="37" xfId="99" applyNumberFormat="1" applyFont="1" applyBorder="1" applyProtection="1"/>
    <xf numFmtId="187" fontId="21" fillId="0" borderId="0" xfId="99" applyNumberFormat="1" applyFont="1" applyBorder="1" applyProtection="1"/>
    <xf numFmtId="15" fontId="21" fillId="0" borderId="52" xfId="0" applyNumberFormat="1" applyFont="1" applyBorder="1" applyAlignment="1" applyProtection="1">
      <alignment horizontal="left"/>
    </xf>
    <xf numFmtId="187" fontId="21" fillId="0" borderId="3" xfId="100" applyNumberFormat="1" applyFont="1" applyBorder="1" applyProtection="1"/>
    <xf numFmtId="15" fontId="21" fillId="0" borderId="49" xfId="0" applyNumberFormat="1" applyFont="1" applyBorder="1" applyAlignment="1" applyProtection="1">
      <alignment horizontal="left"/>
    </xf>
    <xf numFmtId="187" fontId="21" fillId="0" borderId="70" xfId="100" applyNumberFormat="1" applyFont="1" applyBorder="1" applyProtection="1"/>
    <xf numFmtId="0" fontId="21" fillId="0" borderId="47" xfId="100" applyFont="1" applyBorder="1" applyProtection="1"/>
    <xf numFmtId="187" fontId="21" fillId="0" borderId="3" xfId="99" applyNumberFormat="1" applyFont="1" applyBorder="1" applyProtection="1"/>
    <xf numFmtId="15" fontId="18" fillId="0" borderId="0" xfId="0" applyNumberFormat="1" applyFont="1" applyFill="1" applyAlignment="1" applyProtection="1"/>
    <xf numFmtId="1" fontId="18" fillId="0" borderId="0" xfId="0" applyNumberFormat="1" applyFont="1" applyFill="1" applyBorder="1" applyAlignment="1" applyProtection="1"/>
    <xf numFmtId="1" fontId="21" fillId="0" borderId="35" xfId="0" applyNumberFormat="1" applyFont="1" applyFill="1" applyBorder="1" applyAlignment="1" applyProtection="1">
      <alignment horizontal="right"/>
    </xf>
    <xf numFmtId="187" fontId="21" fillId="0" borderId="53" xfId="5" applyNumberFormat="1" applyFont="1" applyFill="1" applyBorder="1" applyAlignment="1" applyProtection="1"/>
    <xf numFmtId="187" fontId="21" fillId="0" borderId="53" xfId="99" applyNumberFormat="1" applyFont="1" applyFill="1" applyBorder="1" applyProtection="1"/>
    <xf numFmtId="43" fontId="21" fillId="0" borderId="53" xfId="5" applyNumberFormat="1" applyFont="1" applyFill="1" applyBorder="1" applyAlignment="1" applyProtection="1"/>
    <xf numFmtId="15" fontId="18" fillId="0" borderId="0" xfId="0" applyNumberFormat="1" applyFont="1" applyFill="1" applyAlignment="1" applyProtection="1">
      <alignment horizontal="center"/>
    </xf>
    <xf numFmtId="10" fontId="21" fillId="7" borderId="37" xfId="8" applyNumberFormat="1" applyFont="1" applyFill="1" applyBorder="1" applyProtection="1"/>
    <xf numFmtId="187" fontId="21" fillId="0" borderId="16" xfId="99" applyNumberFormat="1" applyFont="1" applyBorder="1" applyProtection="1"/>
    <xf numFmtId="15" fontId="18" fillId="0" borderId="63" xfId="0" applyNumberFormat="1" applyFont="1" applyBorder="1" applyAlignment="1" applyProtection="1">
      <alignment horizontal="right"/>
    </xf>
    <xf numFmtId="6" fontId="18" fillId="0" borderId="58" xfId="0" applyNumberFormat="1" applyFont="1" applyBorder="1" applyProtection="1"/>
    <xf numFmtId="10" fontId="21" fillId="0" borderId="37" xfId="8" applyNumberFormat="1" applyFont="1" applyFill="1" applyBorder="1" applyProtection="1"/>
    <xf numFmtId="187" fontId="21" fillId="7" borderId="16" xfId="99" applyNumberFormat="1" applyFont="1" applyFill="1" applyBorder="1" applyProtection="1"/>
    <xf numFmtId="180" fontId="18" fillId="0" borderId="0" xfId="0" applyNumberFormat="1" applyFont="1" applyAlignment="1" applyProtection="1">
      <alignment horizontal="center"/>
    </xf>
    <xf numFmtId="10" fontId="21" fillId="0" borderId="0" xfId="8" applyNumberFormat="1" applyFont="1" applyBorder="1" applyProtection="1"/>
    <xf numFmtId="187" fontId="21" fillId="0" borderId="28" xfId="99" applyNumberFormat="1" applyFont="1" applyBorder="1" applyProtection="1"/>
    <xf numFmtId="0" fontId="24" fillId="0" borderId="47" xfId="100" applyFont="1" applyBorder="1" applyAlignment="1" applyProtection="1">
      <alignment horizontal="centerContinuous"/>
    </xf>
    <xf numFmtId="0" fontId="18" fillId="0" borderId="0" xfId="100" applyFont="1" applyBorder="1" applyAlignment="1" applyProtection="1">
      <alignment horizontal="centerContinuous"/>
    </xf>
    <xf numFmtId="192" fontId="18" fillId="0" borderId="0" xfId="26" applyNumberFormat="1" applyFont="1" applyBorder="1" applyAlignment="1" applyProtection="1">
      <alignment horizontal="centerContinuous"/>
    </xf>
    <xf numFmtId="3" fontId="21" fillId="0" borderId="0" xfId="0" applyNumberFormat="1" applyFont="1" applyBorder="1" applyAlignment="1" applyProtection="1"/>
    <xf numFmtId="187" fontId="21" fillId="0" borderId="37" xfId="0" applyNumberFormat="1" applyFont="1" applyBorder="1" applyAlignment="1" applyProtection="1">
      <alignment horizontal="center"/>
    </xf>
    <xf numFmtId="0" fontId="24" fillId="0" borderId="47" xfId="100" applyFont="1" applyBorder="1" applyProtection="1"/>
    <xf numFmtId="0" fontId="21" fillId="0" borderId="0" xfId="100" applyFont="1" applyBorder="1" applyProtection="1"/>
    <xf numFmtId="192" fontId="21" fillId="0" borderId="0" xfId="26" applyNumberFormat="1" applyFont="1" applyBorder="1" applyProtection="1"/>
    <xf numFmtId="192" fontId="21" fillId="0" borderId="37" xfId="26" applyNumberFormat="1" applyFont="1" applyBorder="1" applyProtection="1"/>
    <xf numFmtId="0" fontId="21" fillId="0" borderId="47" xfId="100" applyFont="1" applyBorder="1" applyAlignment="1" applyProtection="1"/>
    <xf numFmtId="187" fontId="21" fillId="0" borderId="3" xfId="102" applyNumberFormat="1" applyFont="1" applyBorder="1" applyProtection="1"/>
    <xf numFmtId="187" fontId="21" fillId="7" borderId="3" xfId="102" applyNumberFormat="1" applyFont="1" applyFill="1" applyBorder="1" applyProtection="1"/>
    <xf numFmtId="187" fontId="21" fillId="0" borderId="53" xfId="102" applyNumberFormat="1" applyFont="1" applyFill="1" applyBorder="1" applyProtection="1"/>
    <xf numFmtId="0" fontId="21" fillId="0" borderId="47" xfId="102" applyNumberFormat="1" applyFont="1" applyBorder="1" applyAlignment="1" applyProtection="1">
      <alignment horizontal="left"/>
    </xf>
    <xf numFmtId="0" fontId="21" fillId="0" borderId="47" xfId="102" applyNumberFormat="1" applyFont="1" applyBorder="1" applyAlignment="1" applyProtection="1"/>
    <xf numFmtId="180" fontId="18" fillId="0" borderId="0" xfId="0" applyNumberFormat="1" applyFont="1" applyBorder="1" applyAlignment="1" applyProtection="1">
      <alignment horizontal="center"/>
    </xf>
    <xf numFmtId="0" fontId="21" fillId="0" borderId="47" xfId="100" applyFont="1" applyFill="1" applyBorder="1" applyProtection="1"/>
    <xf numFmtId="0" fontId="21" fillId="0" borderId="0" xfId="100" applyFont="1" applyFill="1" applyBorder="1" applyProtection="1"/>
    <xf numFmtId="0" fontId="21" fillId="0" borderId="7" xfId="100" applyFont="1" applyFill="1" applyBorder="1" applyProtection="1"/>
    <xf numFmtId="187" fontId="21" fillId="0" borderId="5" xfId="102" applyNumberFormat="1" applyFont="1" applyFill="1" applyBorder="1" applyProtection="1"/>
    <xf numFmtId="0" fontId="21" fillId="0" borderId="49" xfId="98" applyFont="1" applyBorder="1" applyProtection="1"/>
    <xf numFmtId="180" fontId="18" fillId="0" borderId="50" xfId="0" applyNumberFormat="1" applyFont="1" applyBorder="1" applyAlignment="1" applyProtection="1">
      <alignment horizontal="center"/>
    </xf>
    <xf numFmtId="187" fontId="21" fillId="0" borderId="42" xfId="0" applyNumberFormat="1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1" fillId="0" borderId="0" xfId="0" applyFont="1" applyFill="1" applyProtection="1"/>
    <xf numFmtId="3" fontId="21" fillId="0" borderId="50" xfId="0" applyNumberFormat="1" applyFont="1" applyBorder="1" applyAlignment="1" applyProtection="1"/>
    <xf numFmtId="187" fontId="21" fillId="0" borderId="16" xfId="102" applyNumberFormat="1" applyFont="1" applyBorder="1" applyProtection="1"/>
    <xf numFmtId="0" fontId="18" fillId="0" borderId="47" xfId="100" applyFont="1" applyFill="1" applyBorder="1" applyProtection="1"/>
    <xf numFmtId="187" fontId="21" fillId="0" borderId="80" xfId="102" applyNumberFormat="1" applyFont="1" applyFill="1" applyBorder="1" applyProtection="1"/>
    <xf numFmtId="187" fontId="21" fillId="0" borderId="5" xfId="102" applyNumberFormat="1" applyFont="1" applyBorder="1" applyProtection="1"/>
    <xf numFmtId="187" fontId="21" fillId="0" borderId="53" xfId="102" applyNumberFormat="1" applyFont="1" applyBorder="1" applyProtection="1"/>
    <xf numFmtId="0" fontId="18" fillId="0" borderId="47" xfId="100" applyFont="1" applyBorder="1" applyProtection="1"/>
    <xf numFmtId="187" fontId="21" fillId="0" borderId="0" xfId="100" applyNumberFormat="1" applyFont="1" applyBorder="1" applyProtection="1"/>
    <xf numFmtId="187" fontId="21" fillId="0" borderId="79" xfId="102" applyNumberFormat="1" applyFont="1" applyBorder="1" applyProtection="1"/>
    <xf numFmtId="187" fontId="21" fillId="0" borderId="28" xfId="102" applyNumberFormat="1" applyFont="1" applyBorder="1" applyProtection="1"/>
    <xf numFmtId="187" fontId="21" fillId="0" borderId="81" xfId="102" applyNumberFormat="1" applyFont="1" applyBorder="1" applyProtection="1"/>
    <xf numFmtId="10" fontId="21" fillId="0" borderId="42" xfId="8" applyNumberFormat="1" applyFont="1" applyBorder="1" applyAlignment="1" applyProtection="1">
      <alignment horizontal="right"/>
    </xf>
    <xf numFmtId="0" fontId="18" fillId="0" borderId="3" xfId="100" applyFont="1" applyBorder="1" applyAlignment="1" applyProtection="1">
      <alignment horizontal="right"/>
    </xf>
    <xf numFmtId="187" fontId="18" fillId="0" borderId="3" xfId="0" applyNumberFormat="1" applyFont="1" applyBorder="1" applyAlignment="1" applyProtection="1">
      <alignment horizontal="right"/>
    </xf>
    <xf numFmtId="0" fontId="18" fillId="0" borderId="49" xfId="100" applyFont="1" applyBorder="1" applyProtection="1"/>
    <xf numFmtId="0" fontId="21" fillId="0" borderId="50" xfId="100" applyFont="1" applyBorder="1" applyProtection="1"/>
    <xf numFmtId="187" fontId="21" fillId="0" borderId="50" xfId="102" applyNumberFormat="1" applyFont="1" applyBorder="1" applyProtection="1"/>
    <xf numFmtId="187" fontId="76" fillId="6" borderId="4" xfId="102" applyNumberFormat="1" applyFont="1" applyFill="1" applyBorder="1" applyProtection="1">
      <protection locked="0"/>
    </xf>
    <xf numFmtId="187" fontId="76" fillId="6" borderId="53" xfId="102" applyNumberFormat="1" applyFont="1" applyFill="1" applyBorder="1" applyProtection="1">
      <protection locked="0"/>
    </xf>
    <xf numFmtId="187" fontId="21" fillId="6" borderId="16" xfId="99" applyNumberFormat="1" applyFont="1" applyFill="1" applyBorder="1" applyProtection="1">
      <protection locked="0"/>
    </xf>
    <xf numFmtId="0" fontId="21" fillId="6" borderId="53" xfId="0" applyFont="1" applyFill="1" applyBorder="1" applyProtection="1">
      <protection locked="0"/>
    </xf>
    <xf numFmtId="187" fontId="21" fillId="0" borderId="0" xfId="9" applyNumberFormat="1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 wrapText="1"/>
    </xf>
    <xf numFmtId="187" fontId="20" fillId="0" borderId="0" xfId="9" applyNumberFormat="1" applyFont="1" applyProtection="1"/>
    <xf numFmtId="0" fontId="20" fillId="0" borderId="0" xfId="0" applyFont="1" applyAlignment="1" applyProtection="1">
      <alignment horizontal="center" wrapText="1"/>
    </xf>
    <xf numFmtId="187" fontId="21" fillId="0" borderId="3" xfId="16" applyNumberFormat="1" applyFont="1" applyBorder="1" applyAlignment="1" applyProtection="1">
      <alignment horizontal="center"/>
    </xf>
    <xf numFmtId="187" fontId="21" fillId="7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Border="1" applyProtection="1"/>
    <xf numFmtId="9" fontId="21" fillId="0" borderId="3" xfId="8" applyFont="1" applyBorder="1" applyProtection="1"/>
    <xf numFmtId="187" fontId="20" fillId="0" borderId="0" xfId="0" applyNumberFormat="1" applyFont="1" applyProtection="1"/>
    <xf numFmtId="3" fontId="20" fillId="0" borderId="0" xfId="0" applyNumberFormat="1" applyFont="1" applyProtection="1"/>
    <xf numFmtId="187" fontId="65" fillId="0" borderId="3" xfId="0" applyNumberFormat="1" applyFont="1" applyBorder="1" applyAlignment="1" applyProtection="1">
      <alignment vertical="top"/>
    </xf>
    <xf numFmtId="0" fontId="64" fillId="0" borderId="10" xfId="0" applyFont="1" applyBorder="1" applyProtection="1"/>
    <xf numFmtId="187" fontId="65" fillId="0" borderId="8" xfId="0" applyNumberFormat="1" applyFont="1" applyBorder="1" applyAlignment="1" applyProtection="1">
      <alignment vertical="top"/>
    </xf>
    <xf numFmtId="187" fontId="65" fillId="0" borderId="0" xfId="0" applyNumberFormat="1" applyFont="1" applyBorder="1" applyAlignment="1" applyProtection="1">
      <alignment vertical="top"/>
    </xf>
    <xf numFmtId="187" fontId="65" fillId="0" borderId="10" xfId="0" applyNumberFormat="1" applyFont="1" applyBorder="1" applyAlignment="1" applyProtection="1">
      <alignment vertical="top"/>
    </xf>
    <xf numFmtId="0" fontId="19" fillId="0" borderId="0" xfId="0" applyFont="1" applyProtection="1"/>
    <xf numFmtId="0" fontId="0" fillId="0" borderId="0" xfId="0" applyAlignment="1" applyProtection="1">
      <alignment horizontal="center"/>
    </xf>
    <xf numFmtId="187" fontId="0" fillId="0" borderId="0" xfId="0" applyNumberFormat="1" applyAlignment="1" applyProtection="1"/>
    <xf numFmtId="0" fontId="17" fillId="0" borderId="0" xfId="0" applyFont="1" applyFill="1" applyBorder="1" applyAlignment="1" applyProtection="1"/>
    <xf numFmtId="187" fontId="21" fillId="7" borderId="53" xfId="9" applyNumberFormat="1" applyFont="1" applyFill="1" applyBorder="1" applyAlignment="1" applyProtection="1"/>
    <xf numFmtId="0" fontId="18" fillId="0" borderId="35" xfId="0" applyFont="1" applyBorder="1" applyAlignment="1" applyProtection="1">
      <alignment vertical="top" wrapText="1"/>
    </xf>
    <xf numFmtId="187" fontId="65" fillId="0" borderId="16" xfId="0" applyNumberFormat="1" applyFont="1" applyBorder="1" applyAlignment="1" applyProtection="1">
      <alignment vertical="top"/>
    </xf>
    <xf numFmtId="0" fontId="18" fillId="0" borderId="63" xfId="0" applyFont="1" applyBorder="1" applyAlignment="1" applyProtection="1">
      <alignment vertical="top" wrapText="1"/>
    </xf>
    <xf numFmtId="187" fontId="65" fillId="0" borderId="70" xfId="0" applyNumberFormat="1" applyFont="1" applyBorder="1" applyAlignment="1" applyProtection="1">
      <alignment vertical="top"/>
    </xf>
    <xf numFmtId="0" fontId="64" fillId="0" borderId="0" xfId="0" applyFont="1" applyProtection="1"/>
    <xf numFmtId="0" fontId="21" fillId="8" borderId="0" xfId="0" applyFont="1" applyFill="1" applyBorder="1" applyAlignment="1" applyProtection="1">
      <alignment horizontal="center"/>
    </xf>
    <xf numFmtId="9" fontId="21" fillId="0" borderId="0" xfId="8" applyFont="1" applyBorder="1" applyProtection="1"/>
    <xf numFmtId="168" fontId="21" fillId="0" borderId="0" xfId="8" applyNumberFormat="1" applyFont="1" applyBorder="1" applyProtection="1"/>
    <xf numFmtId="0" fontId="20" fillId="8" borderId="35" xfId="11" applyFont="1" applyFill="1" applyBorder="1" applyAlignment="1" applyProtection="1">
      <alignment horizontal="center" wrapText="1"/>
    </xf>
    <xf numFmtId="0" fontId="20" fillId="8" borderId="3" xfId="11" applyFont="1" applyFill="1" applyBorder="1" applyAlignment="1" applyProtection="1">
      <alignment horizontal="center" wrapText="1"/>
    </xf>
    <xf numFmtId="0" fontId="20" fillId="8" borderId="53" xfId="11" applyFont="1" applyFill="1" applyBorder="1" applyAlignment="1" applyProtection="1">
      <alignment horizontal="center" wrapText="1"/>
    </xf>
    <xf numFmtId="0" fontId="21" fillId="8" borderId="35" xfId="0" applyFont="1" applyFill="1" applyBorder="1" applyProtection="1"/>
    <xf numFmtId="0" fontId="21" fillId="8" borderId="53" xfId="0" applyFont="1" applyFill="1" applyBorder="1" applyAlignment="1" applyProtection="1">
      <alignment horizontal="center"/>
    </xf>
    <xf numFmtId="200" fontId="21" fillId="0" borderId="35" xfId="0" applyNumberFormat="1" applyFont="1" applyBorder="1" applyProtection="1"/>
    <xf numFmtId="9" fontId="21" fillId="0" borderId="53" xfId="8" applyFont="1" applyBorder="1" applyProtection="1"/>
    <xf numFmtId="0" fontId="21" fillId="0" borderId="3" xfId="0" applyFont="1" applyFill="1" applyBorder="1" applyAlignment="1" applyProtection="1">
      <alignment horizontal="center"/>
    </xf>
    <xf numFmtId="168" fontId="21" fillId="0" borderId="3" xfId="8" applyNumberFormat="1" applyFont="1" applyBorder="1" applyAlignment="1" applyProtection="1">
      <alignment horizontal="center"/>
    </xf>
    <xf numFmtId="187" fontId="21" fillId="0" borderId="3" xfId="0" applyNumberFormat="1" applyFont="1" applyFill="1" applyBorder="1" applyProtection="1"/>
    <xf numFmtId="168" fontId="21" fillId="0" borderId="53" xfId="8" applyNumberFormat="1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3" xfId="0" applyFont="1" applyBorder="1" applyAlignment="1" applyProtection="1">
      <alignment horizontal="center"/>
    </xf>
    <xf numFmtId="187" fontId="21" fillId="0" borderId="3" xfId="0" applyNumberFormat="1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/>
    </xf>
    <xf numFmtId="187" fontId="21" fillId="0" borderId="3" xfId="9" applyNumberFormat="1" applyFont="1" applyBorder="1" applyAlignment="1" applyProtection="1">
      <alignment horizontal="center" vertical="center"/>
    </xf>
    <xf numFmtId="0" fontId="18" fillId="0" borderId="63" xfId="0" applyFont="1" applyBorder="1" applyProtection="1"/>
    <xf numFmtId="0" fontId="18" fillId="0" borderId="41" xfId="0" applyFont="1" applyBorder="1" applyProtection="1"/>
    <xf numFmtId="9" fontId="18" fillId="0" borderId="58" xfId="0" applyNumberFormat="1" applyFont="1" applyBorder="1" applyProtection="1"/>
    <xf numFmtId="3" fontId="21" fillId="0" borderId="3" xfId="0" applyNumberFormat="1" applyFont="1" applyBorder="1" applyAlignment="1" applyProtection="1">
      <alignment horizontal="center" vertical="center"/>
    </xf>
    <xf numFmtId="187" fontId="21" fillId="0" borderId="3" xfId="9" applyNumberFormat="1" applyFont="1" applyBorder="1" applyAlignment="1" applyProtection="1">
      <alignment vertical="center"/>
    </xf>
    <xf numFmtId="3" fontId="21" fillId="0" borderId="16" xfId="0" applyNumberFormat="1" applyFont="1" applyBorder="1" applyAlignment="1" applyProtection="1">
      <alignment horizontal="center" vertical="center"/>
    </xf>
    <xf numFmtId="187" fontId="21" fillId="0" borderId="16" xfId="9" applyNumberFormat="1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9" fontId="18" fillId="0" borderId="63" xfId="8" applyFont="1" applyBorder="1" applyProtection="1"/>
    <xf numFmtId="0" fontId="18" fillId="0" borderId="41" xfId="0" applyFont="1" applyBorder="1" applyAlignment="1" applyProtection="1">
      <alignment horizontal="center"/>
    </xf>
    <xf numFmtId="9" fontId="18" fillId="0" borderId="41" xfId="8" applyFont="1" applyBorder="1" applyAlignment="1" applyProtection="1">
      <alignment horizontal="center"/>
    </xf>
    <xf numFmtId="187" fontId="18" fillId="0" borderId="41" xfId="0" applyNumberFormat="1" applyFont="1" applyBorder="1" applyAlignment="1" applyProtection="1">
      <alignment horizontal="center"/>
    </xf>
    <xf numFmtId="9" fontId="18" fillId="0" borderId="0" xfId="8" applyFont="1" applyBorder="1" applyProtection="1"/>
    <xf numFmtId="9" fontId="18" fillId="0" borderId="0" xfId="8" applyFont="1" applyBorder="1" applyAlignment="1" applyProtection="1">
      <alignment horizontal="center"/>
    </xf>
    <xf numFmtId="187" fontId="18" fillId="0" borderId="0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10" xfId="0" applyBorder="1" applyProtection="1"/>
    <xf numFmtId="0" fontId="18" fillId="0" borderId="47" xfId="0" applyFont="1" applyBorder="1" applyAlignment="1" applyProtection="1">
      <alignment horizontal="left"/>
    </xf>
    <xf numFmtId="0" fontId="21" fillId="0" borderId="47" xfId="0" applyFont="1" applyBorder="1" applyAlignment="1" applyProtection="1">
      <alignment horizontal="center"/>
    </xf>
    <xf numFmtId="0" fontId="21" fillId="0" borderId="49" xfId="0" applyFont="1" applyBorder="1" applyAlignment="1" applyProtection="1">
      <alignment horizontal="left"/>
    </xf>
    <xf numFmtId="0" fontId="21" fillId="0" borderId="50" xfId="0" applyFont="1" applyBorder="1" applyAlignment="1" applyProtection="1">
      <alignment horizontal="center"/>
    </xf>
    <xf numFmtId="187" fontId="21" fillId="0" borderId="0" xfId="0" applyNumberFormat="1" applyFont="1" applyProtection="1"/>
    <xf numFmtId="187" fontId="0" fillId="7" borderId="0" xfId="9" applyNumberFormat="1" applyFont="1" applyFill="1" applyProtection="1"/>
    <xf numFmtId="0" fontId="0" fillId="7" borderId="0" xfId="0" applyFill="1" applyProtection="1"/>
    <xf numFmtId="187" fontId="0" fillId="0" borderId="0" xfId="9" applyNumberFormat="1" applyFont="1" applyProtection="1"/>
    <xf numFmtId="187" fontId="0" fillId="0" borderId="0" xfId="9" applyNumberFormat="1" applyFont="1" applyFill="1" applyProtection="1"/>
    <xf numFmtId="187" fontId="21" fillId="0" borderId="0" xfId="9" applyNumberFormat="1" applyFont="1" applyAlignment="1" applyProtection="1">
      <alignment horizontal="center"/>
    </xf>
    <xf numFmtId="0" fontId="17" fillId="0" borderId="0" xfId="0" applyFont="1" applyProtection="1"/>
    <xf numFmtId="0" fontId="1" fillId="0" borderId="0" xfId="0" applyFont="1" applyProtection="1"/>
    <xf numFmtId="0" fontId="18" fillId="7" borderId="0" xfId="0" applyFont="1" applyFill="1" applyBorder="1" applyAlignment="1" applyProtection="1">
      <alignment horizontal="center"/>
    </xf>
    <xf numFmtId="174" fontId="17" fillId="0" borderId="3" xfId="0" applyNumberFormat="1" applyFont="1" applyFill="1" applyBorder="1" applyAlignment="1" applyProtection="1">
      <alignment horizontal="right" wrapText="1"/>
    </xf>
    <xf numFmtId="10" fontId="21" fillId="8" borderId="6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2" fontId="17" fillId="8" borderId="8" xfId="0" applyNumberFormat="1" applyFont="1" applyFill="1" applyBorder="1" applyAlignment="1" applyProtection="1">
      <alignment vertical="center"/>
    </xf>
    <xf numFmtId="10" fontId="17" fillId="8" borderId="8" xfId="8" applyNumberFormat="1" applyFont="1" applyFill="1" applyBorder="1" applyAlignment="1" applyProtection="1">
      <alignment horizontal="center" vertical="center" wrapText="1"/>
    </xf>
    <xf numFmtId="174" fontId="18" fillId="8" borderId="3" xfId="0" applyNumberFormat="1" applyFont="1" applyFill="1" applyBorder="1" applyAlignment="1" applyProtection="1">
      <alignment horizontal="center" wrapText="1"/>
    </xf>
    <xf numFmtId="174" fontId="17" fillId="8" borderId="3" xfId="0" applyNumberFormat="1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2" fontId="17" fillId="0" borderId="0" xfId="0" applyNumberFormat="1" applyFont="1" applyFill="1" applyBorder="1" applyProtection="1"/>
    <xf numFmtId="2" fontId="28" fillId="0" borderId="0" xfId="0" applyNumberFormat="1" applyFont="1" applyFill="1" applyBorder="1" applyAlignment="1" applyProtection="1">
      <alignment horizontal="center"/>
    </xf>
    <xf numFmtId="2" fontId="17" fillId="0" borderId="10" xfId="0" applyNumberFormat="1" applyFont="1" applyFill="1" applyBorder="1" applyAlignment="1" applyProtection="1">
      <alignment horizontal="center"/>
    </xf>
    <xf numFmtId="187" fontId="17" fillId="0" borderId="10" xfId="9" applyNumberFormat="1" applyFont="1" applyFill="1" applyBorder="1" applyAlignment="1" applyProtection="1">
      <alignment horizontal="center"/>
    </xf>
    <xf numFmtId="2" fontId="17" fillId="0" borderId="10" xfId="0" applyNumberFormat="1" applyFont="1" applyFill="1" applyBorder="1" applyAlignment="1" applyProtection="1">
      <alignment horizontal="center" wrapText="1"/>
    </xf>
    <xf numFmtId="174" fontId="18" fillId="0" borderId="10" xfId="0" applyNumberFormat="1" applyFont="1" applyFill="1" applyBorder="1" applyAlignment="1" applyProtection="1">
      <alignment horizontal="center" wrapText="1"/>
    </xf>
    <xf numFmtId="174" fontId="17" fillId="0" borderId="10" xfId="0" applyNumberFormat="1" applyFont="1" applyFill="1" applyBorder="1" applyAlignment="1" applyProtection="1">
      <alignment horizontal="center" wrapText="1"/>
    </xf>
    <xf numFmtId="187" fontId="17" fillId="0" borderId="10" xfId="9" applyNumberFormat="1" applyFont="1" applyFill="1" applyBorder="1" applyAlignment="1" applyProtection="1">
      <alignment horizontal="center" wrapText="1"/>
    </xf>
    <xf numFmtId="187" fontId="17" fillId="0" borderId="0" xfId="9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Protection="1"/>
    <xf numFmtId="187" fontId="21" fillId="0" borderId="0" xfId="9" applyNumberFormat="1" applyFont="1" applyBorder="1" applyAlignment="1" applyProtection="1">
      <alignment horizontal="center"/>
    </xf>
    <xf numFmtId="0" fontId="21" fillId="0" borderId="64" xfId="0" applyFont="1" applyBorder="1" applyAlignment="1" applyProtection="1">
      <alignment vertical="center"/>
    </xf>
    <xf numFmtId="2" fontId="21" fillId="7" borderId="8" xfId="0" applyNumberFormat="1" applyFont="1" applyFill="1" applyBorder="1" applyProtection="1"/>
    <xf numFmtId="9" fontId="20" fillId="0" borderId="8" xfId="8" applyFont="1" applyFill="1" applyBorder="1" applyAlignment="1" applyProtection="1">
      <alignment horizontal="center"/>
    </xf>
    <xf numFmtId="187" fontId="21" fillId="0" borderId="11" xfId="9" applyNumberFormat="1" applyFont="1" applyFill="1" applyBorder="1" applyAlignment="1" applyProtection="1"/>
    <xf numFmtId="187" fontId="21" fillId="7" borderId="1" xfId="9" applyNumberFormat="1" applyFont="1" applyFill="1" applyBorder="1" applyAlignment="1" applyProtection="1">
      <alignment horizontal="center"/>
    </xf>
    <xf numFmtId="187" fontId="21" fillId="7" borderId="0" xfId="9" applyNumberFormat="1" applyFont="1" applyFill="1" applyBorder="1" applyAlignment="1" applyProtection="1">
      <alignment horizontal="center"/>
    </xf>
    <xf numFmtId="187" fontId="3" fillId="0" borderId="0" xfId="9" applyNumberFormat="1" applyFont="1" applyFill="1" applyBorder="1" applyProtection="1"/>
    <xf numFmtId="0" fontId="21" fillId="0" borderId="76" xfId="0" applyFont="1" applyBorder="1" applyAlignment="1" applyProtection="1">
      <alignment vertical="center"/>
    </xf>
    <xf numFmtId="187" fontId="21" fillId="0" borderId="3" xfId="9" applyNumberFormat="1" applyFont="1" applyFill="1" applyBorder="1" applyAlignment="1" applyProtection="1">
      <alignment vertical="center"/>
    </xf>
    <xf numFmtId="2" fontId="21" fillId="7" borderId="3" xfId="0" applyNumberFormat="1" applyFont="1" applyFill="1" applyBorder="1" applyProtection="1"/>
    <xf numFmtId="9" fontId="20" fillId="0" borderId="3" xfId="8" applyFont="1" applyFill="1" applyBorder="1" applyAlignment="1" applyProtection="1">
      <alignment horizontal="center"/>
    </xf>
    <xf numFmtId="187" fontId="21" fillId="0" borderId="4" xfId="9" applyNumberFormat="1" applyFont="1" applyFill="1" applyBorder="1" applyAlignment="1" applyProtection="1"/>
    <xf numFmtId="187" fontId="21" fillId="7" borderId="2" xfId="9" applyNumberFormat="1" applyFont="1" applyFill="1" applyBorder="1" applyAlignment="1" applyProtection="1">
      <alignment horizontal="center"/>
    </xf>
    <xf numFmtId="187" fontId="21" fillId="7" borderId="5" xfId="9" applyNumberFormat="1" applyFont="1" applyFill="1" applyBorder="1" applyAlignment="1" applyProtection="1">
      <alignment horizontal="center"/>
    </xf>
    <xf numFmtId="187" fontId="21" fillId="0" borderId="2" xfId="9" applyNumberFormat="1" applyFont="1" applyFill="1" applyBorder="1" applyAlignment="1" applyProtection="1">
      <alignment vertical="top"/>
    </xf>
    <xf numFmtId="187" fontId="21" fillId="0" borderId="36" xfId="9" applyNumberFormat="1" applyFont="1" applyFill="1" applyBorder="1" applyAlignment="1" applyProtection="1">
      <alignment vertical="top"/>
    </xf>
    <xf numFmtId="0" fontId="21" fillId="0" borderId="77" xfId="0" applyFont="1" applyBorder="1" applyAlignment="1" applyProtection="1">
      <alignment vertical="center"/>
    </xf>
    <xf numFmtId="2" fontId="21" fillId="7" borderId="41" xfId="0" applyNumberFormat="1" applyFont="1" applyFill="1" applyBorder="1" applyProtection="1"/>
    <xf numFmtId="9" fontId="20" fillId="0" borderId="41" xfId="8" applyFont="1" applyFill="1" applyBorder="1" applyAlignment="1" applyProtection="1">
      <alignment horizontal="center"/>
    </xf>
    <xf numFmtId="187" fontId="21" fillId="0" borderId="30" xfId="9" applyNumberFormat="1" applyFont="1" applyFill="1" applyBorder="1" applyAlignment="1" applyProtection="1"/>
    <xf numFmtId="187" fontId="21" fillId="7" borderId="50" xfId="9" applyNumberFormat="1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vertical="center"/>
    </xf>
    <xf numFmtId="0" fontId="21" fillId="0" borderId="67" xfId="0" applyFont="1" applyBorder="1" applyAlignment="1" applyProtection="1">
      <alignment vertical="center"/>
    </xf>
    <xf numFmtId="0" fontId="21" fillId="0" borderId="63" xfId="0" applyFont="1" applyBorder="1" applyAlignment="1" applyProtection="1">
      <alignment horizontal="center" vertical="center"/>
    </xf>
    <xf numFmtId="187" fontId="21" fillId="0" borderId="41" xfId="9" applyNumberFormat="1" applyFont="1" applyFill="1" applyBorder="1" applyAlignment="1" applyProtection="1">
      <alignment vertical="top"/>
    </xf>
    <xf numFmtId="187" fontId="21" fillId="0" borderId="73" xfId="9" applyNumberFormat="1" applyFont="1" applyFill="1" applyBorder="1" applyAlignment="1" applyProtection="1">
      <alignment vertical="top"/>
    </xf>
    <xf numFmtId="187" fontId="21" fillId="0" borderId="66" xfId="9" applyNumberFormat="1" applyFont="1" applyFill="1" applyBorder="1" applyAlignment="1" applyProtection="1">
      <alignment vertical="top"/>
    </xf>
    <xf numFmtId="187" fontId="21" fillId="0" borderId="74" xfId="9" applyNumberFormat="1" applyFont="1" applyFill="1" applyBorder="1" applyAlignment="1" applyProtection="1">
      <alignment vertical="top"/>
    </xf>
    <xf numFmtId="187" fontId="21" fillId="0" borderId="0" xfId="9" applyNumberFormat="1" applyFont="1" applyFill="1" applyBorder="1" applyAlignment="1" applyProtection="1">
      <alignment wrapText="1"/>
    </xf>
    <xf numFmtId="2" fontId="21" fillId="7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187" fontId="7" fillId="7" borderId="0" xfId="9" applyNumberFormat="1" applyFont="1" applyFill="1" applyBorder="1" applyAlignment="1" applyProtection="1">
      <alignment horizontal="center"/>
    </xf>
    <xf numFmtId="2" fontId="7" fillId="7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83" fillId="0" borderId="0" xfId="0" applyFont="1" applyAlignment="1" applyProtection="1">
      <alignment horizontal="center"/>
    </xf>
    <xf numFmtId="5" fontId="20" fillId="0" borderId="0" xfId="0" applyNumberFormat="1" applyFont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187" fontId="3" fillId="9" borderId="3" xfId="9" applyNumberFormat="1" applyFont="1" applyFill="1" applyBorder="1" applyProtection="1"/>
    <xf numFmtId="187" fontId="21" fillId="9" borderId="3" xfId="9" applyNumberFormat="1" applyFont="1" applyFill="1" applyBorder="1" applyAlignment="1" applyProtection="1">
      <alignment horizontal="right"/>
    </xf>
    <xf numFmtId="5" fontId="21" fillId="0" borderId="0" xfId="0" applyNumberFormat="1" applyFon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left"/>
    </xf>
    <xf numFmtId="5" fontId="20" fillId="7" borderId="0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187" fontId="21" fillId="7" borderId="0" xfId="9" applyNumberFormat="1" applyFont="1" applyFill="1" applyBorder="1" applyAlignment="1" applyProtection="1">
      <alignment horizontal="right"/>
    </xf>
    <xf numFmtId="187" fontId="7" fillId="7" borderId="0" xfId="9" applyNumberFormat="1" applyFont="1" applyFill="1" applyBorder="1" applyAlignment="1" applyProtection="1">
      <alignment horizontal="right"/>
    </xf>
    <xf numFmtId="9" fontId="7" fillId="7" borderId="0" xfId="8" applyFont="1" applyFill="1" applyBorder="1" applyAlignment="1" applyProtection="1">
      <alignment horizontal="right"/>
    </xf>
    <xf numFmtId="3" fontId="7" fillId="7" borderId="0" xfId="8" applyNumberFormat="1" applyFont="1" applyFill="1" applyBorder="1" applyAlignment="1" applyProtection="1">
      <alignment horizontal="right"/>
    </xf>
    <xf numFmtId="5" fontId="7" fillId="7" borderId="0" xfId="0" applyNumberFormat="1" applyFont="1" applyFill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</xf>
    <xf numFmtId="187" fontId="21" fillId="0" borderId="0" xfId="9" applyNumberFormat="1" applyFont="1" applyFill="1" applyBorder="1" applyAlignment="1" applyProtection="1">
      <alignment horizontal="center"/>
    </xf>
    <xf numFmtId="5" fontId="21" fillId="9" borderId="3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188" fontId="21" fillId="0" borderId="0" xfId="8" applyNumberFormat="1" applyFont="1" applyFill="1" applyBorder="1" applyAlignment="1" applyProtection="1">
      <alignment horizontal="right"/>
    </xf>
    <xf numFmtId="0" fontId="21" fillId="0" borderId="0" xfId="0" applyFont="1" applyBorder="1" applyAlignment="1" applyProtection="1"/>
    <xf numFmtId="0" fontId="21" fillId="0" borderId="7" xfId="0" applyFont="1" applyBorder="1" applyAlignment="1" applyProtection="1"/>
    <xf numFmtId="0" fontId="83" fillId="0" borderId="0" xfId="0" applyFont="1" applyAlignment="1" applyProtection="1">
      <alignment horizontal="center" vertical="top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/>
    </xf>
    <xf numFmtId="5" fontId="20" fillId="0" borderId="0" xfId="0" applyNumberFormat="1" applyFont="1" applyBorder="1" applyAlignment="1" applyProtection="1">
      <alignment horizontal="center" vertical="top"/>
    </xf>
    <xf numFmtId="5" fontId="21" fillId="9" borderId="3" xfId="0" applyNumberFormat="1" applyFont="1" applyFill="1" applyBorder="1" applyAlignment="1" applyProtection="1">
      <alignment horizontal="right" vertical="top"/>
    </xf>
    <xf numFmtId="5" fontId="26" fillId="8" borderId="3" xfId="0" applyNumberFormat="1" applyFont="1" applyFill="1" applyBorder="1" applyAlignment="1" applyProtection="1">
      <alignment horizontal="center"/>
    </xf>
    <xf numFmtId="5" fontId="7" fillId="9" borderId="3" xfId="0" applyNumberFormat="1" applyFont="1" applyFill="1" applyBorder="1" applyAlignment="1" applyProtection="1">
      <alignment horizontal="right"/>
    </xf>
    <xf numFmtId="10" fontId="21" fillId="9" borderId="3" xfId="8" applyNumberFormat="1" applyFont="1" applyFill="1" applyBorder="1" applyAlignment="1" applyProtection="1">
      <alignment horizontal="right"/>
    </xf>
    <xf numFmtId="169" fontId="21" fillId="7" borderId="3" xfId="8" applyNumberFormat="1" applyFont="1" applyFill="1" applyBorder="1" applyAlignment="1" applyProtection="1">
      <alignment horizontal="right"/>
    </xf>
    <xf numFmtId="187" fontId="7" fillId="9" borderId="3" xfId="9" applyNumberFormat="1" applyFont="1" applyFill="1" applyBorder="1" applyAlignment="1" applyProtection="1">
      <alignment horizontal="right"/>
    </xf>
    <xf numFmtId="0" fontId="21" fillId="0" borderId="0" xfId="0" applyFont="1" applyBorder="1" applyAlignment="1" applyProtection="1">
      <alignment wrapText="1"/>
    </xf>
    <xf numFmtId="187" fontId="7" fillId="0" borderId="0" xfId="9" applyNumberFormat="1" applyFont="1" applyBorder="1" applyAlignment="1" applyProtection="1">
      <alignment horizontal="right"/>
    </xf>
    <xf numFmtId="187" fontId="21" fillId="0" borderId="3" xfId="9" applyNumberFormat="1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20" fillId="0" borderId="0" xfId="0" applyFont="1" applyBorder="1" applyAlignment="1" applyProtection="1"/>
    <xf numFmtId="213" fontId="21" fillId="6" borderId="3" xfId="8" applyNumberFormat="1" applyFont="1" applyFill="1" applyBorder="1" applyAlignment="1" applyProtection="1">
      <alignment horizontal="right"/>
      <protection locked="0"/>
    </xf>
    <xf numFmtId="214" fontId="21" fillId="6" borderId="3" xfId="8" applyNumberFormat="1" applyFont="1" applyFill="1" applyBorder="1" applyAlignment="1" applyProtection="1">
      <alignment horizontal="right"/>
      <protection locked="0"/>
    </xf>
    <xf numFmtId="187" fontId="21" fillId="0" borderId="3" xfId="9" applyNumberFormat="1" applyFont="1" applyBorder="1" applyProtection="1">
      <protection locked="0"/>
    </xf>
    <xf numFmtId="0" fontId="21" fillId="0" borderId="44" xfId="0" applyFont="1" applyBorder="1" applyProtection="1"/>
    <xf numFmtId="187" fontId="21" fillId="0" borderId="45" xfId="9" applyNumberFormat="1" applyFont="1" applyBorder="1" applyProtection="1"/>
    <xf numFmtId="0" fontId="84" fillId="0" borderId="45" xfId="0" applyFont="1" applyBorder="1" applyAlignment="1" applyProtection="1">
      <alignment horizontal="center"/>
    </xf>
    <xf numFmtId="0" fontId="84" fillId="0" borderId="33" xfId="0" applyFont="1" applyBorder="1" applyAlignment="1" applyProtection="1">
      <alignment horizontal="center"/>
    </xf>
    <xf numFmtId="0" fontId="21" fillId="0" borderId="3" xfId="95" applyFont="1" applyBorder="1" applyAlignment="1" applyProtection="1"/>
    <xf numFmtId="0" fontId="21" fillId="0" borderId="4" xfId="95" applyFont="1" applyBorder="1" applyAlignment="1" applyProtection="1"/>
    <xf numFmtId="0" fontId="21" fillId="0" borderId="8" xfId="95" applyFont="1" applyBorder="1" applyAlignment="1" applyProtection="1"/>
    <xf numFmtId="0" fontId="21" fillId="0" borderId="11" xfId="95" applyFont="1" applyBorder="1" applyAlignment="1" applyProtection="1"/>
    <xf numFmtId="0" fontId="21" fillId="0" borderId="10" xfId="95" applyFont="1" applyBorder="1" applyAlignment="1" applyProtection="1"/>
    <xf numFmtId="0" fontId="21" fillId="0" borderId="2" xfId="95" applyFont="1" applyBorder="1" applyAlignment="1" applyProtection="1"/>
    <xf numFmtId="0" fontId="21" fillId="0" borderId="3" xfId="95" applyFont="1" applyBorder="1" applyProtection="1"/>
    <xf numFmtId="0" fontId="18" fillId="8" borderId="37" xfId="0" applyFont="1" applyFill="1" applyBorder="1" applyAlignment="1" applyProtection="1">
      <alignment horizontal="center"/>
    </xf>
    <xf numFmtId="0" fontId="18" fillId="8" borderId="47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center"/>
    </xf>
    <xf numFmtId="205" fontId="21" fillId="0" borderId="4" xfId="0" applyNumberFormat="1" applyFont="1" applyFill="1" applyBorder="1" applyProtection="1"/>
    <xf numFmtId="0" fontId="21" fillId="0" borderId="48" xfId="0" applyFont="1" applyBorder="1" applyProtection="1"/>
    <xf numFmtId="0" fontId="21" fillId="0" borderId="16" xfId="0" applyFont="1" applyBorder="1" applyProtection="1"/>
    <xf numFmtId="187" fontId="21" fillId="0" borderId="16" xfId="9" applyNumberFormat="1" applyFont="1" applyBorder="1" applyProtection="1"/>
    <xf numFmtId="187" fontId="21" fillId="0" borderId="2" xfId="9" applyNumberFormat="1" applyFont="1" applyBorder="1" applyProtection="1"/>
    <xf numFmtId="0" fontId="21" fillId="0" borderId="36" xfId="0" applyFont="1" applyBorder="1" applyProtection="1"/>
    <xf numFmtId="0" fontId="21" fillId="8" borderId="52" xfId="0" applyFont="1" applyFill="1" applyBorder="1" applyProtection="1"/>
    <xf numFmtId="0" fontId="21" fillId="8" borderId="2" xfId="0" applyFont="1" applyFill="1" applyBorder="1" applyProtection="1"/>
    <xf numFmtId="187" fontId="21" fillId="8" borderId="2" xfId="9" applyNumberFormat="1" applyFont="1" applyFill="1" applyBorder="1" applyProtection="1"/>
    <xf numFmtId="0" fontId="18" fillId="8" borderId="2" xfId="0" applyFont="1" applyFill="1" applyBorder="1" applyProtection="1"/>
    <xf numFmtId="0" fontId="21" fillId="8" borderId="36" xfId="0" applyFont="1" applyFill="1" applyBorder="1" applyProtection="1"/>
    <xf numFmtId="0" fontId="24" fillId="0" borderId="47" xfId="0" applyFont="1" applyBorder="1" applyProtection="1"/>
    <xf numFmtId="187" fontId="21" fillId="0" borderId="16" xfId="9" applyNumberFormat="1" applyFont="1" applyBorder="1" applyAlignment="1" applyProtection="1">
      <alignment horizontal="center"/>
    </xf>
    <xf numFmtId="187" fontId="20" fillId="0" borderId="3" xfId="9" applyNumberFormat="1" applyFont="1" applyBorder="1" applyProtection="1"/>
    <xf numFmtId="172" fontId="21" fillId="0" borderId="3" xfId="9" applyNumberFormat="1" applyFont="1" applyFill="1" applyBorder="1" applyProtection="1"/>
    <xf numFmtId="187" fontId="20" fillId="0" borderId="4" xfId="9" applyNumberFormat="1" applyFont="1" applyFill="1" applyBorder="1" applyProtection="1"/>
    <xf numFmtId="172" fontId="21" fillId="0" borderId="2" xfId="9" applyNumberFormat="1" applyFont="1" applyFill="1" applyBorder="1" applyProtection="1"/>
    <xf numFmtId="0" fontId="21" fillId="0" borderId="36" xfId="0" applyFont="1" applyFill="1" applyBorder="1" applyProtection="1"/>
    <xf numFmtId="205" fontId="21" fillId="0" borderId="3" xfId="0" applyNumberFormat="1" applyFont="1" applyFill="1" applyBorder="1" applyProtection="1"/>
    <xf numFmtId="0" fontId="21" fillId="0" borderId="3" xfId="0" applyFont="1" applyBorder="1" applyAlignment="1" applyProtection="1">
      <alignment horizontal="right"/>
    </xf>
    <xf numFmtId="6" fontId="21" fillId="0" borderId="3" xfId="0" applyNumberFormat="1" applyFont="1" applyBorder="1" applyProtection="1"/>
    <xf numFmtId="204" fontId="21" fillId="0" borderId="3" xfId="9" applyNumberFormat="1" applyFont="1" applyBorder="1" applyProtection="1"/>
    <xf numFmtId="187" fontId="21" fillId="7" borderId="0" xfId="9" applyNumberFormat="1" applyFont="1" applyFill="1" applyBorder="1" applyProtection="1"/>
    <xf numFmtId="187" fontId="20" fillId="0" borderId="8" xfId="9" applyNumberFormat="1" applyFont="1" applyBorder="1" applyProtection="1"/>
    <xf numFmtId="172" fontId="21" fillId="0" borderId="8" xfId="9" applyNumberFormat="1" applyFont="1" applyFill="1" applyBorder="1" applyProtection="1"/>
    <xf numFmtId="0" fontId="21" fillId="0" borderId="62" xfId="0" applyFont="1" applyFill="1" applyBorder="1" applyProtection="1"/>
    <xf numFmtId="187" fontId="21" fillId="0" borderId="12" xfId="9" applyNumberFormat="1" applyFont="1" applyBorder="1" applyProtection="1"/>
    <xf numFmtId="0" fontId="18" fillId="0" borderId="30" xfId="0" applyFont="1" applyBorder="1" applyProtection="1"/>
    <xf numFmtId="187" fontId="20" fillId="0" borderId="5" xfId="9" applyNumberFormat="1" applyFont="1" applyBorder="1" applyProtection="1"/>
    <xf numFmtId="172" fontId="21" fillId="0" borderId="0" xfId="9" applyNumberFormat="1" applyFont="1" applyFill="1" applyBorder="1" applyProtection="1"/>
    <xf numFmtId="187" fontId="18" fillId="0" borderId="53" xfId="9" applyNumberFormat="1" applyFont="1" applyBorder="1" applyProtection="1"/>
    <xf numFmtId="0" fontId="21" fillId="0" borderId="4" xfId="0" applyFont="1" applyFill="1" applyBorder="1" applyAlignment="1" applyProtection="1"/>
    <xf numFmtId="0" fontId="21" fillId="0" borderId="2" xfId="0" applyFont="1" applyFill="1" applyBorder="1" applyAlignment="1" applyProtection="1"/>
    <xf numFmtId="0" fontId="21" fillId="0" borderId="36" xfId="0" applyFont="1" applyFill="1" applyBorder="1" applyAlignment="1" applyProtection="1"/>
    <xf numFmtId="0" fontId="0" fillId="0" borderId="36" xfId="0" applyBorder="1" applyProtection="1"/>
    <xf numFmtId="0" fontId="18" fillId="7" borderId="0" xfId="0" applyFont="1" applyFill="1" applyBorder="1" applyProtection="1"/>
    <xf numFmtId="187" fontId="18" fillId="7" borderId="3" xfId="9" applyNumberFormat="1" applyFont="1" applyFill="1" applyBorder="1" applyProtection="1"/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187" fontId="65" fillId="7" borderId="0" xfId="9" applyNumberFormat="1" applyFont="1" applyFill="1" applyBorder="1" applyAlignment="1" applyProtection="1">
      <alignment vertical="center"/>
    </xf>
    <xf numFmtId="187" fontId="65" fillId="0" borderId="37" xfId="9" applyNumberFormat="1" applyFont="1" applyBorder="1" applyAlignment="1" applyProtection="1">
      <alignment vertical="center"/>
    </xf>
    <xf numFmtId="0" fontId="21" fillId="0" borderId="55" xfId="0" applyFont="1" applyBorder="1" applyProtection="1"/>
    <xf numFmtId="0" fontId="21" fillId="0" borderId="1" xfId="0" applyFont="1" applyBorder="1" applyProtection="1"/>
    <xf numFmtId="0" fontId="0" fillId="0" borderId="1" xfId="0" applyBorder="1" applyProtection="1"/>
    <xf numFmtId="0" fontId="21" fillId="0" borderId="74" xfId="0" applyFont="1" applyBorder="1" applyProtection="1"/>
    <xf numFmtId="187" fontId="21" fillId="0" borderId="38" xfId="9" applyNumberFormat="1" applyFont="1" applyBorder="1" applyProtection="1"/>
    <xf numFmtId="0" fontId="18" fillId="0" borderId="50" xfId="0" applyFont="1" applyBorder="1" applyAlignment="1" applyProtection="1">
      <alignment horizontal="left" vertical="center"/>
    </xf>
    <xf numFmtId="0" fontId="21" fillId="0" borderId="50" xfId="0" applyFont="1" applyBorder="1" applyAlignment="1" applyProtection="1">
      <alignment vertical="center"/>
    </xf>
    <xf numFmtId="187" fontId="65" fillId="0" borderId="50" xfId="9" applyNumberFormat="1" applyFont="1" applyBorder="1" applyAlignment="1" applyProtection="1">
      <alignment vertical="center"/>
    </xf>
    <xf numFmtId="187" fontId="65" fillId="0" borderId="42" xfId="9" applyNumberFormat="1" applyFont="1" applyBorder="1" applyAlignment="1" applyProtection="1">
      <alignment vertical="center"/>
    </xf>
    <xf numFmtId="205" fontId="21" fillId="0" borderId="0" xfId="0" applyNumberFormat="1" applyFont="1" applyFill="1" applyBorder="1" applyProtection="1"/>
    <xf numFmtId="187" fontId="21" fillId="0" borderId="0" xfId="9" applyNumberFormat="1" applyFont="1" applyFill="1" applyBorder="1" applyAlignment="1" applyProtection="1">
      <alignment horizontal="center" vertical="center"/>
    </xf>
    <xf numFmtId="187" fontId="21" fillId="0" borderId="37" xfId="9" applyNumberFormat="1" applyFont="1" applyBorder="1" applyAlignment="1" applyProtection="1"/>
    <xf numFmtId="187" fontId="21" fillId="0" borderId="0" xfId="9" applyNumberFormat="1" applyFont="1" applyFill="1" applyBorder="1" applyProtection="1"/>
    <xf numFmtId="0" fontId="21" fillId="0" borderId="38" xfId="0" applyFont="1" applyBorder="1" applyProtection="1"/>
    <xf numFmtId="187" fontId="21" fillId="0" borderId="1" xfId="9" applyNumberFormat="1" applyFont="1" applyBorder="1" applyProtection="1"/>
    <xf numFmtId="0" fontId="21" fillId="0" borderId="39" xfId="0" applyFont="1" applyBorder="1" applyProtection="1"/>
    <xf numFmtId="9" fontId="21" fillId="6" borderId="0" xfId="0" applyNumberFormat="1" applyFont="1" applyFill="1" applyBorder="1" applyAlignment="1" applyProtection="1">
      <alignment horizontal="center"/>
    </xf>
    <xf numFmtId="187" fontId="65" fillId="0" borderId="0" xfId="9" applyNumberFormat="1" applyFont="1" applyBorder="1" applyProtection="1"/>
    <xf numFmtId="187" fontId="65" fillId="0" borderId="37" xfId="9" applyNumberFormat="1" applyFont="1" applyBorder="1" applyAlignment="1" applyProtection="1"/>
    <xf numFmtId="187" fontId="21" fillId="0" borderId="70" xfId="9" applyNumberFormat="1" applyFont="1" applyBorder="1" applyAlignment="1" applyProtection="1">
      <alignment horizontal="center"/>
    </xf>
    <xf numFmtId="0" fontId="21" fillId="0" borderId="70" xfId="0" applyFont="1" applyBorder="1" applyProtection="1"/>
    <xf numFmtId="187" fontId="21" fillId="0" borderId="42" xfId="9" applyNumberFormat="1" applyFont="1" applyBorder="1" applyProtection="1"/>
    <xf numFmtId="9" fontId="21" fillId="0" borderId="0" xfId="0" applyNumberFormat="1" applyFont="1" applyProtection="1"/>
    <xf numFmtId="9" fontId="21" fillId="6" borderId="3" xfId="0" applyNumberFormat="1" applyFont="1" applyFill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9" fontId="21" fillId="6" borderId="8" xfId="0" applyNumberFormat="1" applyFont="1" applyFill="1" applyBorder="1" applyAlignment="1" applyProtection="1">
      <alignment horizontal="center"/>
      <protection locked="0"/>
    </xf>
    <xf numFmtId="9" fontId="21" fillId="6" borderId="27" xfId="0" applyNumberFormat="1" applyFont="1" applyFill="1" applyBorder="1" applyAlignment="1" applyProtection="1">
      <alignment horizontal="center"/>
      <protection locked="0"/>
    </xf>
    <xf numFmtId="3" fontId="21" fillId="6" borderId="8" xfId="0" applyNumberFormat="1" applyFont="1" applyFill="1" applyBorder="1" applyProtection="1">
      <protection locked="0"/>
    </xf>
    <xf numFmtId="187" fontId="21" fillId="6" borderId="8" xfId="9" applyNumberFormat="1" applyFont="1" applyFill="1" applyBorder="1" applyProtection="1">
      <protection locked="0"/>
    </xf>
    <xf numFmtId="3" fontId="21" fillId="6" borderId="41" xfId="0" applyNumberFormat="1" applyFont="1" applyFill="1" applyBorder="1" applyProtection="1">
      <protection locked="0"/>
    </xf>
    <xf numFmtId="187" fontId="21" fillId="6" borderId="41" xfId="9" applyNumberFormat="1" applyFont="1" applyFill="1" applyBorder="1" applyProtection="1">
      <protection locked="0"/>
    </xf>
    <xf numFmtId="10" fontId="21" fillId="6" borderId="59" xfId="8" applyNumberFormat="1" applyFont="1" applyFill="1" applyBorder="1" applyProtection="1">
      <protection locked="0"/>
    </xf>
    <xf numFmtId="43" fontId="21" fillId="6" borderId="41" xfId="9" applyNumberFormat="1" applyFont="1" applyFill="1" applyBorder="1" applyProtection="1">
      <protection locked="0"/>
    </xf>
    <xf numFmtId="0" fontId="21" fillId="6" borderId="41" xfId="0" applyFont="1" applyFill="1" applyBorder="1" applyProtection="1">
      <protection locked="0"/>
    </xf>
    <xf numFmtId="9" fontId="18" fillId="0" borderId="0" xfId="0" applyNumberFormat="1" applyFont="1" applyAlignment="1" applyProtection="1">
      <alignment horizontal="center"/>
    </xf>
    <xf numFmtId="0" fontId="73" fillId="0" borderId="0" xfId="0" applyFont="1" applyAlignment="1" applyProtection="1"/>
    <xf numFmtId="2" fontId="21" fillId="0" borderId="0" xfId="0" applyNumberFormat="1" applyFont="1" applyProtection="1"/>
    <xf numFmtId="9" fontId="21" fillId="0" borderId="0" xfId="0" applyNumberFormat="1" applyFont="1" applyAlignment="1" applyProtection="1">
      <alignment horizontal="center"/>
    </xf>
    <xf numFmtId="9" fontId="21" fillId="0" borderId="3" xfId="8" applyFont="1" applyFill="1" applyBorder="1" applyAlignment="1" applyProtection="1">
      <alignment horizontal="right"/>
    </xf>
    <xf numFmtId="0" fontId="21" fillId="0" borderId="52" xfId="0" applyFont="1" applyFill="1" applyBorder="1" applyAlignment="1" applyProtection="1">
      <alignment horizontal="left"/>
    </xf>
    <xf numFmtId="0" fontId="24" fillId="0" borderId="5" xfId="0" applyFont="1" applyFill="1" applyBorder="1" applyAlignment="1" applyProtection="1">
      <alignment horizontal="center"/>
    </xf>
    <xf numFmtId="1" fontId="21" fillId="0" borderId="3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4" fillId="0" borderId="39" xfId="0" applyFont="1" applyFill="1" applyBorder="1" applyAlignment="1" applyProtection="1">
      <alignment horizontal="center"/>
    </xf>
    <xf numFmtId="200" fontId="18" fillId="8" borderId="62" xfId="0" applyNumberFormat="1" applyFont="1" applyFill="1" applyBorder="1" applyAlignment="1" applyProtection="1">
      <alignment horizontal="center"/>
    </xf>
    <xf numFmtId="166" fontId="21" fillId="8" borderId="11" xfId="0" applyNumberFormat="1" applyFont="1" applyFill="1" applyBorder="1" applyAlignment="1" applyProtection="1">
      <alignment horizontal="center" wrapText="1"/>
    </xf>
    <xf numFmtId="166" fontId="21" fillId="8" borderId="1" xfId="0" applyNumberFormat="1" applyFont="1" applyFill="1" applyBorder="1" applyAlignment="1" applyProtection="1">
      <alignment horizontal="center" wrapText="1"/>
    </xf>
    <xf numFmtId="166" fontId="21" fillId="8" borderId="39" xfId="0" applyNumberFormat="1" applyFont="1" applyFill="1" applyBorder="1" applyAlignment="1" applyProtection="1">
      <alignment horizontal="center" wrapText="1"/>
    </xf>
    <xf numFmtId="3" fontId="21" fillId="0" borderId="64" xfId="6" applyNumberFormat="1" applyFont="1" applyFill="1" applyBorder="1" applyProtection="1"/>
    <xf numFmtId="3" fontId="21" fillId="0" borderId="16" xfId="6" applyNumberFormat="1" applyFont="1" applyFill="1" applyBorder="1" applyProtection="1"/>
    <xf numFmtId="3" fontId="21" fillId="0" borderId="65" xfId="6" applyNumberFormat="1" applyFont="1" applyFill="1" applyBorder="1" applyProtection="1"/>
    <xf numFmtId="9" fontId="21" fillId="8" borderId="3" xfId="0" applyNumberFormat="1" applyFont="1" applyFill="1" applyBorder="1" applyAlignment="1" applyProtection="1">
      <alignment horizontal="center"/>
    </xf>
    <xf numFmtId="9" fontId="21" fillId="8" borderId="53" xfId="0" applyNumberFormat="1" applyFont="1" applyFill="1" applyBorder="1" applyAlignment="1" applyProtection="1">
      <alignment horizontal="center"/>
    </xf>
    <xf numFmtId="187" fontId="21" fillId="0" borderId="53" xfId="9" applyNumberFormat="1" applyFont="1" applyBorder="1" applyAlignment="1" applyProtection="1">
      <alignment horizontal="center"/>
    </xf>
    <xf numFmtId="187" fontId="18" fillId="0" borderId="3" xfId="9" applyNumberFormat="1" applyFont="1" applyFill="1" applyBorder="1" applyAlignment="1" applyProtection="1">
      <alignment horizontal="center"/>
    </xf>
    <xf numFmtId="187" fontId="18" fillId="0" borderId="53" xfId="9" applyNumberFormat="1" applyFont="1" applyFill="1" applyBorder="1" applyAlignment="1" applyProtection="1">
      <alignment horizontal="center"/>
    </xf>
    <xf numFmtId="0" fontId="21" fillId="0" borderId="49" xfId="6" applyFont="1" applyBorder="1" applyProtection="1"/>
    <xf numFmtId="187" fontId="21" fillId="0" borderId="41" xfId="9" applyNumberFormat="1" applyFont="1" applyBorder="1" applyAlignment="1" applyProtection="1">
      <alignment horizontal="center"/>
    </xf>
    <xf numFmtId="187" fontId="21" fillId="0" borderId="58" xfId="9" applyNumberFormat="1" applyFont="1" applyBorder="1" applyAlignment="1" applyProtection="1">
      <alignment horizontal="center"/>
    </xf>
    <xf numFmtId="37" fontId="20" fillId="27" borderId="0" xfId="85" applyFont="1" applyFill="1" applyBorder="1" applyAlignment="1" applyProtection="1">
      <alignment horizontal="center"/>
    </xf>
    <xf numFmtId="37" fontId="20" fillId="27" borderId="47" xfId="85" applyFont="1" applyFill="1" applyBorder="1" applyProtection="1"/>
    <xf numFmtId="37" fontId="20" fillId="27" borderId="0" xfId="85" applyFont="1" applyFill="1" applyBorder="1" applyProtection="1"/>
    <xf numFmtId="37" fontId="20" fillId="0" borderId="37" xfId="85" applyFont="1" applyBorder="1" applyProtection="1"/>
    <xf numFmtId="37" fontId="21" fillId="27" borderId="47" xfId="85" applyFont="1" applyFill="1" applyBorder="1" applyProtection="1"/>
    <xf numFmtId="37" fontId="21" fillId="27" borderId="0" xfId="85" applyFont="1" applyFill="1" applyBorder="1" applyProtection="1"/>
    <xf numFmtId="37" fontId="21" fillId="27" borderId="53" xfId="85" applyFont="1" applyFill="1" applyBorder="1" applyProtection="1"/>
    <xf numFmtId="177" fontId="18" fillId="8" borderId="39" xfId="0" applyNumberFormat="1" applyFont="1" applyFill="1" applyBorder="1" applyAlignment="1" applyProtection="1">
      <alignment horizontal="center"/>
    </xf>
    <xf numFmtId="37" fontId="21" fillId="27" borderId="37" xfId="85" applyFont="1" applyFill="1" applyBorder="1" applyProtection="1"/>
    <xf numFmtId="9" fontId="24" fillId="8" borderId="3" xfId="8" applyFont="1" applyFill="1" applyBorder="1" applyAlignment="1" applyProtection="1">
      <alignment horizontal="center"/>
    </xf>
    <xf numFmtId="171" fontId="21" fillId="0" borderId="53" xfId="0" applyNumberFormat="1" applyFont="1" applyBorder="1" applyAlignment="1" applyProtection="1">
      <alignment horizontal="center"/>
    </xf>
    <xf numFmtId="37" fontId="21" fillId="27" borderId="0" xfId="85" applyFont="1" applyFill="1" applyBorder="1" applyAlignment="1" applyProtection="1"/>
    <xf numFmtId="176" fontId="21" fillId="0" borderId="47" xfId="0" applyNumberFormat="1" applyFont="1" applyBorder="1" applyProtection="1"/>
    <xf numFmtId="1" fontId="21" fillId="0" borderId="3" xfId="0" applyNumberFormat="1" applyFont="1" applyBorder="1" applyAlignment="1" applyProtection="1">
      <alignment horizontal="center"/>
    </xf>
    <xf numFmtId="169" fontId="21" fillId="0" borderId="53" xfId="0" applyNumberFormat="1" applyFont="1" applyBorder="1" applyAlignment="1" applyProtection="1">
      <alignment horizontal="center"/>
    </xf>
    <xf numFmtId="176" fontId="21" fillId="0" borderId="47" xfId="0" applyNumberFormat="1" applyFont="1" applyBorder="1" applyAlignment="1" applyProtection="1">
      <alignment horizontal="right"/>
    </xf>
    <xf numFmtId="0" fontId="21" fillId="0" borderId="55" xfId="0" applyFont="1" applyFill="1" applyBorder="1" applyProtection="1"/>
    <xf numFmtId="1" fontId="21" fillId="0" borderId="1" xfId="0" applyNumberFormat="1" applyFont="1" applyBorder="1" applyAlignment="1" applyProtection="1">
      <alignment horizontal="center"/>
    </xf>
    <xf numFmtId="5" fontId="21" fillId="0" borderId="1" xfId="0" applyNumberFormat="1" applyFont="1" applyBorder="1" applyAlignment="1" applyProtection="1">
      <alignment horizontal="center"/>
    </xf>
    <xf numFmtId="5" fontId="21" fillId="0" borderId="53" xfId="0" applyNumberFormat="1" applyFont="1" applyBorder="1" applyAlignment="1" applyProtection="1">
      <alignment horizontal="center"/>
    </xf>
    <xf numFmtId="37" fontId="21" fillId="0" borderId="53" xfId="85" applyFont="1" applyBorder="1" applyProtection="1"/>
    <xf numFmtId="37" fontId="66" fillId="27" borderId="0" xfId="85" applyFont="1" applyFill="1" applyBorder="1" applyProtection="1"/>
    <xf numFmtId="1" fontId="21" fillId="0" borderId="0" xfId="0" applyNumberFormat="1" applyFont="1" applyBorder="1" applyAlignment="1" applyProtection="1">
      <alignment horizontal="center"/>
    </xf>
    <xf numFmtId="5" fontId="21" fillId="0" borderId="0" xfId="0" applyNumberFormat="1" applyFont="1" applyBorder="1" applyAlignment="1" applyProtection="1">
      <alignment horizontal="center"/>
    </xf>
    <xf numFmtId="5" fontId="21" fillId="0" borderId="62" xfId="0" applyNumberFormat="1" applyFont="1" applyBorder="1" applyAlignment="1" applyProtection="1">
      <alignment horizontal="center"/>
    </xf>
    <xf numFmtId="1" fontId="18" fillId="8" borderId="3" xfId="0" applyNumberFormat="1" applyFont="1" applyFill="1" applyBorder="1" applyAlignment="1" applyProtection="1">
      <alignment horizontal="center"/>
    </xf>
    <xf numFmtId="5" fontId="18" fillId="8" borderId="3" xfId="0" applyNumberFormat="1" applyFont="1" applyFill="1" applyBorder="1" applyAlignment="1" applyProtection="1">
      <alignment horizontal="center" wrapText="1"/>
    </xf>
    <xf numFmtId="5" fontId="18" fillId="8" borderId="53" xfId="0" applyNumberFormat="1" applyFont="1" applyFill="1" applyBorder="1" applyAlignment="1" applyProtection="1">
      <alignment horizontal="center"/>
    </xf>
    <xf numFmtId="169" fontId="21" fillId="0" borderId="53" xfId="6" applyNumberFormat="1" applyFont="1" applyBorder="1" applyAlignment="1" applyProtection="1">
      <alignment horizontal="center"/>
    </xf>
    <xf numFmtId="37" fontId="21" fillId="27" borderId="0" xfId="85" applyFont="1" applyFill="1" applyBorder="1" applyAlignment="1" applyProtection="1">
      <alignment vertical="top"/>
    </xf>
    <xf numFmtId="37" fontId="18" fillId="27" borderId="3" xfId="85" applyFont="1" applyFill="1" applyBorder="1" applyAlignment="1" applyProtection="1">
      <alignment horizontal="center"/>
    </xf>
    <xf numFmtId="10" fontId="21" fillId="0" borderId="53" xfId="85" applyNumberFormat="1" applyFont="1" applyFill="1" applyBorder="1" applyAlignment="1" applyProtection="1">
      <alignment horizontal="right"/>
    </xf>
    <xf numFmtId="10" fontId="20" fillId="27" borderId="0" xfId="85" applyNumberFormat="1" applyFont="1" applyFill="1" applyBorder="1" applyProtection="1"/>
    <xf numFmtId="10" fontId="21" fillId="0" borderId="53" xfId="85" applyNumberFormat="1" applyFont="1" applyBorder="1" applyProtection="1"/>
    <xf numFmtId="2" fontId="21" fillId="0" borderId="3" xfId="0" applyNumberFormat="1" applyFont="1" applyFill="1" applyBorder="1" applyAlignment="1" applyProtection="1">
      <alignment horizontal="right"/>
    </xf>
    <xf numFmtId="37" fontId="15" fillId="27" borderId="0" xfId="85" applyFont="1" applyFill="1" applyBorder="1" applyProtection="1"/>
    <xf numFmtId="37" fontId="21" fillId="0" borderId="37" xfId="85" applyFont="1" applyBorder="1" applyProtection="1"/>
    <xf numFmtId="2" fontId="21" fillId="0" borderId="0" xfId="0" applyNumberFormat="1" applyFont="1" applyBorder="1" applyAlignment="1" applyProtection="1">
      <alignment horizontal="right"/>
    </xf>
    <xf numFmtId="9" fontId="21" fillId="0" borderId="0" xfId="6" applyNumberFormat="1" applyFont="1" applyBorder="1" applyAlignment="1" applyProtection="1">
      <alignment horizontal="center"/>
    </xf>
    <xf numFmtId="169" fontId="21" fillId="0" borderId="37" xfId="6" applyNumberFormat="1" applyFont="1" applyBorder="1" applyAlignment="1" applyProtection="1">
      <alignment horizontal="center"/>
    </xf>
    <xf numFmtId="37" fontId="18" fillId="0" borderId="47" xfId="85" applyFont="1" applyBorder="1" applyProtection="1"/>
    <xf numFmtId="37" fontId="18" fillId="0" borderId="0" xfId="85" applyFont="1" applyBorder="1" applyProtection="1"/>
    <xf numFmtId="37" fontId="18" fillId="27" borderId="53" xfId="85" applyFont="1" applyFill="1" applyBorder="1" applyProtection="1"/>
    <xf numFmtId="0" fontId="18" fillId="0" borderId="49" xfId="0" applyFont="1" applyBorder="1" applyAlignment="1" applyProtection="1">
      <alignment horizontal="left"/>
    </xf>
    <xf numFmtId="0" fontId="18" fillId="0" borderId="50" xfId="0" applyFont="1" applyBorder="1" applyAlignment="1" applyProtection="1">
      <alignment horizontal="right"/>
    </xf>
    <xf numFmtId="2" fontId="18" fillId="0" borderId="50" xfId="0" applyNumberFormat="1" applyFont="1" applyBorder="1" applyAlignment="1" applyProtection="1">
      <alignment horizontal="right"/>
    </xf>
    <xf numFmtId="9" fontId="18" fillId="0" borderId="50" xfId="6" applyNumberFormat="1" applyFont="1" applyBorder="1" applyAlignment="1" applyProtection="1">
      <alignment horizontal="center"/>
    </xf>
    <xf numFmtId="169" fontId="18" fillId="0" borderId="58" xfId="6" applyNumberFormat="1" applyFont="1" applyBorder="1" applyAlignment="1" applyProtection="1">
      <alignment horizontal="center"/>
    </xf>
    <xf numFmtId="37" fontId="28" fillId="27" borderId="0" xfId="85" applyFont="1" applyFill="1" applyBorder="1" applyProtection="1"/>
    <xf numFmtId="173" fontId="18" fillId="0" borderId="0" xfId="85" applyNumberFormat="1" applyFont="1" applyBorder="1" applyProtection="1"/>
    <xf numFmtId="5" fontId="18" fillId="0" borderId="65" xfId="85" applyNumberFormat="1" applyFont="1" applyBorder="1" applyProtection="1"/>
    <xf numFmtId="37" fontId="21" fillId="27" borderId="54" xfId="85" applyFont="1" applyFill="1" applyBorder="1" applyProtection="1"/>
    <xf numFmtId="37" fontId="21" fillId="27" borderId="10" xfId="85" applyFont="1" applyFill="1" applyBorder="1" applyProtection="1"/>
    <xf numFmtId="0" fontId="18" fillId="8" borderId="47" xfId="0" applyFont="1" applyFill="1" applyBorder="1" applyAlignment="1" applyProtection="1"/>
    <xf numFmtId="0" fontId="18" fillId="8" borderId="0" xfId="0" applyFont="1" applyFill="1" applyBorder="1" applyAlignment="1" applyProtection="1"/>
    <xf numFmtId="0" fontId="18" fillId="8" borderId="37" xfId="0" applyFont="1" applyFill="1" applyBorder="1" applyAlignment="1" applyProtection="1"/>
    <xf numFmtId="0" fontId="21" fillId="0" borderId="54" xfId="0" applyFont="1" applyBorder="1" applyProtection="1"/>
    <xf numFmtId="0" fontId="21" fillId="0" borderId="10" xfId="0" applyFont="1" applyBorder="1" applyProtection="1"/>
    <xf numFmtId="187" fontId="21" fillId="0" borderId="53" xfId="0" applyNumberFormat="1" applyFont="1" applyBorder="1" applyProtection="1"/>
    <xf numFmtId="0" fontId="18" fillId="0" borderId="55" xfId="0" applyFont="1" applyBorder="1" applyProtection="1"/>
    <xf numFmtId="0" fontId="18" fillId="0" borderId="1" xfId="0" applyFont="1" applyBorder="1" applyProtection="1"/>
    <xf numFmtId="187" fontId="18" fillId="0" borderId="53" xfId="0" applyNumberFormat="1" applyFont="1" applyBorder="1" applyProtection="1"/>
    <xf numFmtId="0" fontId="18" fillId="8" borderId="52" xfId="0" applyFont="1" applyFill="1" applyBorder="1" applyAlignment="1" applyProtection="1"/>
    <xf numFmtId="0" fontId="18" fillId="8" borderId="2" xfId="0" applyFont="1" applyFill="1" applyBorder="1" applyAlignment="1" applyProtection="1"/>
    <xf numFmtId="0" fontId="18" fillId="8" borderId="36" xfId="0" applyFont="1" applyFill="1" applyBorder="1" applyAlignment="1" applyProtection="1"/>
    <xf numFmtId="203" fontId="20" fillId="27" borderId="0" xfId="85" applyNumberFormat="1" applyFont="1" applyFill="1" applyBorder="1" applyProtection="1"/>
    <xf numFmtId="0" fontId="20" fillId="0" borderId="0" xfId="92" applyFont="1" applyBorder="1" applyProtection="1"/>
    <xf numFmtId="37" fontId="18" fillId="27" borderId="47" xfId="85" applyFont="1" applyFill="1" applyBorder="1" applyProtection="1"/>
    <xf numFmtId="37" fontId="18" fillId="27" borderId="0" xfId="85" applyFont="1" applyFill="1" applyBorder="1" applyProtection="1"/>
    <xf numFmtId="37" fontId="18" fillId="27" borderId="55" xfId="85" applyFont="1" applyFill="1" applyBorder="1" applyAlignment="1" applyProtection="1">
      <alignment horizontal="left"/>
    </xf>
    <xf numFmtId="37" fontId="21" fillId="27" borderId="1" xfId="85" applyFont="1" applyFill="1" applyBorder="1" applyProtection="1"/>
    <xf numFmtId="173" fontId="18" fillId="0" borderId="1" xfId="85" applyNumberFormat="1" applyFont="1" applyBorder="1" applyProtection="1"/>
    <xf numFmtId="0" fontId="18" fillId="0" borderId="12" xfId="0" applyFont="1" applyBorder="1" applyProtection="1"/>
    <xf numFmtId="37" fontId="18" fillId="0" borderId="53" xfId="0" applyNumberFormat="1" applyFont="1" applyBorder="1" applyProtection="1"/>
    <xf numFmtId="37" fontId="18" fillId="27" borderId="47" xfId="85" applyFont="1" applyFill="1" applyBorder="1" applyAlignment="1" applyProtection="1">
      <alignment horizontal="left"/>
    </xf>
    <xf numFmtId="37" fontId="18" fillId="27" borderId="0" xfId="85" applyFont="1" applyFill="1" applyBorder="1" applyAlignment="1" applyProtection="1">
      <alignment horizontal="left"/>
    </xf>
    <xf numFmtId="187" fontId="18" fillId="0" borderId="37" xfId="9" applyNumberFormat="1" applyFont="1" applyBorder="1" applyProtection="1"/>
    <xf numFmtId="169" fontId="18" fillId="0" borderId="0" xfId="0" applyNumberFormat="1" applyFont="1" applyFill="1" applyBorder="1" applyProtection="1"/>
    <xf numFmtId="0" fontId="18" fillId="0" borderId="49" xfId="0" applyFont="1" applyBorder="1" applyProtection="1"/>
    <xf numFmtId="0" fontId="18" fillId="0" borderId="50" xfId="0" applyFont="1" applyBorder="1" applyProtection="1"/>
    <xf numFmtId="187" fontId="18" fillId="0" borderId="58" xfId="0" applyNumberFormat="1" applyFont="1" applyBorder="1" applyProtection="1"/>
    <xf numFmtId="37" fontId="21" fillId="27" borderId="55" xfId="85" applyFont="1" applyFill="1" applyBorder="1" applyProtection="1"/>
    <xf numFmtId="37" fontId="17" fillId="27" borderId="17" xfId="85" applyFont="1" applyFill="1" applyBorder="1" applyProtection="1"/>
    <xf numFmtId="37" fontId="20" fillId="27" borderId="14" xfId="85" applyFont="1" applyFill="1" applyBorder="1" applyProtection="1"/>
    <xf numFmtId="37" fontId="18" fillId="0" borderId="51" xfId="85" applyFont="1" applyBorder="1" applyProtection="1"/>
    <xf numFmtId="37" fontId="21" fillId="27" borderId="37" xfId="85" applyFont="1" applyFill="1" applyBorder="1" applyAlignment="1" applyProtection="1">
      <alignment horizontal="center"/>
    </xf>
    <xf numFmtId="37" fontId="18" fillId="27" borderId="49" xfId="85" applyFont="1" applyFill="1" applyBorder="1" applyProtection="1"/>
    <xf numFmtId="37" fontId="21" fillId="27" borderId="50" xfId="85" applyFont="1" applyFill="1" applyBorder="1" applyProtection="1"/>
    <xf numFmtId="0" fontId="18" fillId="0" borderId="0" xfId="0" applyFont="1" applyAlignment="1" applyProtection="1">
      <alignment horizontal="left"/>
    </xf>
    <xf numFmtId="2" fontId="20" fillId="0" borderId="0" xfId="0" applyNumberFormat="1" applyFont="1" applyProtection="1"/>
    <xf numFmtId="168" fontId="20" fillId="0" borderId="0" xfId="8" applyNumberFormat="1" applyFont="1" applyProtection="1"/>
    <xf numFmtId="2" fontId="21" fillId="0" borderId="0" xfId="0" applyNumberFormat="1" applyFont="1" applyAlignment="1" applyProtection="1">
      <alignment horizontal="center"/>
    </xf>
    <xf numFmtId="0" fontId="84" fillId="0" borderId="0" xfId="0" applyFont="1" applyFill="1" applyBorder="1" applyAlignment="1" applyProtection="1">
      <alignment horizontal="left"/>
    </xf>
    <xf numFmtId="169" fontId="21" fillId="0" borderId="0" xfId="0" applyNumberFormat="1" applyFont="1" applyFill="1" applyBorder="1" applyAlignment="1" applyProtection="1">
      <alignment horizontal="right"/>
    </xf>
    <xf numFmtId="10" fontId="20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Protection="1"/>
    <xf numFmtId="10" fontId="21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9" fontId="21" fillId="0" borderId="0" xfId="8" applyNumberFormat="1" applyFont="1" applyFill="1" applyBorder="1" applyProtection="1"/>
    <xf numFmtId="9" fontId="20" fillId="0" borderId="0" xfId="8" applyNumberFormat="1" applyFont="1" applyFill="1" applyBorder="1" applyProtection="1"/>
    <xf numFmtId="9" fontId="21" fillId="0" borderId="11" xfId="8" applyFont="1" applyFill="1" applyBorder="1" applyAlignment="1" applyProtection="1">
      <alignment horizontal="center"/>
    </xf>
    <xf numFmtId="9" fontId="21" fillId="0" borderId="1" xfId="8" applyFont="1" applyFill="1" applyBorder="1" applyAlignment="1" applyProtection="1">
      <alignment horizontal="center"/>
    </xf>
    <xf numFmtId="9" fontId="21" fillId="0" borderId="12" xfId="8" applyFont="1" applyFill="1" applyBorder="1" applyAlignment="1" applyProtection="1">
      <alignment horizontal="center"/>
    </xf>
    <xf numFmtId="168" fontId="20" fillId="0" borderId="0" xfId="8" applyNumberFormat="1" applyFont="1" applyBorder="1" applyAlignment="1" applyProtection="1">
      <alignment horizontal="center"/>
    </xf>
    <xf numFmtId="209" fontId="21" fillId="0" borderId="1" xfId="0" applyNumberFormat="1" applyFont="1" applyBorder="1" applyAlignment="1" applyProtection="1">
      <alignment horizontal="center"/>
    </xf>
    <xf numFmtId="209" fontId="21" fillId="0" borderId="1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2" fontId="20" fillId="0" borderId="0" xfId="0" applyNumberFormat="1" applyFont="1" applyBorder="1" applyProtection="1"/>
    <xf numFmtId="1" fontId="21" fillId="0" borderId="0" xfId="0" applyNumberFormat="1" applyFont="1" applyFill="1" applyBorder="1" applyAlignment="1" applyProtection="1">
      <alignment horizontal="center"/>
    </xf>
    <xf numFmtId="168" fontId="20" fillId="0" borderId="0" xfId="8" applyNumberFormat="1" applyFont="1" applyBorder="1" applyProtection="1"/>
    <xf numFmtId="5" fontId="21" fillId="0" borderId="0" xfId="0" applyNumberFormat="1" applyFont="1" applyAlignment="1" applyProtection="1">
      <alignment horizontal="right"/>
    </xf>
    <xf numFmtId="168" fontId="20" fillId="0" borderId="0" xfId="8" applyNumberFormat="1" applyFont="1" applyBorder="1" applyAlignment="1" applyProtection="1">
      <alignment horizontal="right"/>
    </xf>
    <xf numFmtId="187" fontId="21" fillId="0" borderId="0" xfId="9" applyNumberFormat="1" applyFont="1" applyAlignment="1" applyProtection="1">
      <alignment horizontal="right"/>
    </xf>
    <xf numFmtId="3" fontId="21" fillId="0" borderId="0" xfId="0" applyNumberFormat="1" applyFont="1" applyFill="1" applyBorder="1" applyProtection="1"/>
    <xf numFmtId="187" fontId="21" fillId="0" borderId="0" xfId="9" applyNumberFormat="1" applyFont="1" applyFill="1" applyAlignment="1" applyProtection="1">
      <alignment horizontal="right"/>
    </xf>
    <xf numFmtId="0" fontId="20" fillId="0" borderId="5" xfId="0" applyFont="1" applyFill="1" applyBorder="1" applyProtection="1"/>
    <xf numFmtId="2" fontId="18" fillId="0" borderId="0" xfId="0" applyNumberFormat="1" applyFont="1" applyBorder="1" applyProtection="1"/>
    <xf numFmtId="2" fontId="28" fillId="0" borderId="0" xfId="0" applyNumberFormat="1" applyFont="1" applyBorder="1" applyProtection="1"/>
    <xf numFmtId="168" fontId="28" fillId="0" borderId="0" xfId="8" applyNumberFormat="1" applyFont="1" applyFill="1" applyBorder="1" applyAlignment="1" applyProtection="1">
      <alignment horizontal="right"/>
    </xf>
    <xf numFmtId="168" fontId="20" fillId="0" borderId="0" xfId="8" applyNumberFormat="1" applyFont="1" applyFill="1" applyBorder="1" applyAlignment="1" applyProtection="1">
      <alignment horizontal="right"/>
    </xf>
    <xf numFmtId="10" fontId="21" fillId="0" borderId="0" xfId="0" applyNumberFormat="1" applyFont="1" applyBorder="1" applyAlignment="1" applyProtection="1"/>
    <xf numFmtId="10" fontId="20" fillId="0" borderId="0" xfId="0" applyNumberFormat="1" applyFont="1" applyBorder="1" applyAlignment="1" applyProtection="1"/>
    <xf numFmtId="10" fontId="21" fillId="0" borderId="0" xfId="0" applyNumberFormat="1" applyFont="1" applyBorder="1" applyAlignment="1" applyProtection="1">
      <alignment horizontal="center"/>
    </xf>
    <xf numFmtId="10" fontId="21" fillId="0" borderId="0" xfId="0" applyNumberFormat="1" applyFont="1" applyProtection="1"/>
    <xf numFmtId="10" fontId="20" fillId="0" borderId="0" xfId="0" applyNumberFormat="1" applyFont="1" applyProtection="1"/>
    <xf numFmtId="2" fontId="21" fillId="0" borderId="0" xfId="0" applyNumberFormat="1" applyFont="1" applyAlignment="1" applyProtection="1"/>
    <xf numFmtId="2" fontId="20" fillId="0" borderId="0" xfId="0" applyNumberFormat="1" applyFont="1" applyAlignment="1" applyProtection="1"/>
    <xf numFmtId="169" fontId="21" fillId="0" borderId="0" xfId="0" applyNumberFormat="1" applyFont="1" applyAlignment="1" applyProtection="1"/>
    <xf numFmtId="169" fontId="20" fillId="0" borderId="0" xfId="0" applyNumberFormat="1" applyFont="1" applyAlignment="1" applyProtection="1"/>
    <xf numFmtId="5" fontId="21" fillId="0" borderId="0" xfId="0" applyNumberFormat="1" applyFont="1" applyFill="1" applyAlignment="1" applyProtection="1">
      <alignment horizontal="right"/>
    </xf>
    <xf numFmtId="9" fontId="21" fillId="0" borderId="0" xfId="0" applyNumberFormat="1" applyFont="1" applyAlignment="1" applyProtection="1"/>
    <xf numFmtId="9" fontId="20" fillId="0" borderId="0" xfId="0" applyNumberFormat="1" applyFont="1" applyAlignment="1" applyProtection="1"/>
    <xf numFmtId="187" fontId="21" fillId="0" borderId="0" xfId="0" applyNumberFormat="1" applyFont="1" applyAlignment="1" applyProtection="1">
      <alignment horizontal="right"/>
    </xf>
    <xf numFmtId="187" fontId="21" fillId="0" borderId="0" xfId="0" applyNumberFormat="1" applyFont="1" applyFill="1" applyAlignment="1" applyProtection="1">
      <alignment horizontal="right"/>
    </xf>
    <xf numFmtId="9" fontId="21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9" fontId="21" fillId="0" borderId="0" xfId="0" applyNumberFormat="1" applyFont="1" applyFill="1" applyAlignment="1" applyProtection="1"/>
    <xf numFmtId="9" fontId="20" fillId="0" borderId="0" xfId="0" applyNumberFormat="1" applyFont="1" applyFill="1" applyAlignment="1" applyProtection="1"/>
    <xf numFmtId="169" fontId="21" fillId="0" borderId="3" xfId="0" applyNumberFormat="1" applyFont="1" applyFill="1" applyBorder="1" applyProtection="1"/>
    <xf numFmtId="168" fontId="20" fillId="0" borderId="0" xfId="8" applyNumberFormat="1" applyFont="1" applyFill="1" applyProtection="1"/>
    <xf numFmtId="170" fontId="21" fillId="0" borderId="0" xfId="0" applyNumberFormat="1" applyFont="1" applyFill="1" applyBorder="1" applyAlignment="1" applyProtection="1">
      <alignment horizontal="left"/>
    </xf>
    <xf numFmtId="169" fontId="21" fillId="0" borderId="0" xfId="0" applyNumberFormat="1" applyFont="1" applyFill="1" applyAlignment="1" applyProtection="1"/>
    <xf numFmtId="169" fontId="20" fillId="0" borderId="0" xfId="0" applyNumberFormat="1" applyFont="1" applyFill="1" applyAlignment="1" applyProtection="1"/>
    <xf numFmtId="0" fontId="20" fillId="0" borderId="0" xfId="0" applyFont="1" applyFill="1" applyProtection="1"/>
    <xf numFmtId="10" fontId="21" fillId="0" borderId="0" xfId="0" applyNumberFormat="1" applyFont="1" applyFill="1" applyBorder="1" applyAlignment="1" applyProtection="1"/>
    <xf numFmtId="10" fontId="20" fillId="0" borderId="0" xfId="0" applyNumberFormat="1" applyFont="1" applyFill="1" applyBorder="1" applyAlignment="1" applyProtection="1"/>
    <xf numFmtId="9" fontId="21" fillId="0" borderId="0" xfId="0" applyNumberFormat="1" applyFont="1" applyFill="1" applyBorder="1" applyAlignment="1" applyProtection="1">
      <alignment horizontal="center"/>
    </xf>
    <xf numFmtId="168" fontId="20" fillId="0" borderId="0" xfId="8" applyNumberFormat="1" applyFont="1" applyFill="1" applyBorder="1" applyAlignment="1" applyProtection="1">
      <alignment horizontal="center"/>
    </xf>
    <xf numFmtId="170" fontId="18" fillId="0" borderId="0" xfId="0" applyNumberFormat="1" applyFont="1" applyFill="1" applyBorder="1" applyAlignment="1" applyProtection="1">
      <alignment horizontal="left"/>
    </xf>
    <xf numFmtId="187" fontId="18" fillId="0" borderId="28" xfId="9" applyNumberFormat="1" applyFont="1" applyBorder="1" applyAlignment="1" applyProtection="1">
      <alignment horizontal="right"/>
    </xf>
    <xf numFmtId="187" fontId="18" fillId="0" borderId="28" xfId="9" applyNumberFormat="1" applyFont="1" applyFill="1" applyBorder="1" applyAlignment="1" applyProtection="1">
      <alignment horizontal="right"/>
    </xf>
    <xf numFmtId="10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207" fontId="20" fillId="0" borderId="0" xfId="0" applyNumberFormat="1" applyFont="1" applyFill="1" applyBorder="1" applyAlignment="1" applyProtection="1">
      <alignment horizontal="center"/>
    </xf>
    <xf numFmtId="9" fontId="20" fillId="0" borderId="0" xfId="0" applyNumberFormat="1" applyFont="1" applyFill="1" applyBorder="1" applyAlignment="1" applyProtection="1"/>
    <xf numFmtId="206" fontId="20" fillId="0" borderId="0" xfId="8" applyNumberFormat="1" applyFont="1" applyFill="1" applyBorder="1" applyAlignment="1" applyProtection="1">
      <alignment horizontal="center"/>
    </xf>
    <xf numFmtId="218" fontId="21" fillId="0" borderId="0" xfId="9" applyNumberFormat="1" applyFont="1" applyFill="1" applyAlignment="1" applyProtection="1">
      <alignment horizontal="right"/>
    </xf>
    <xf numFmtId="43" fontId="21" fillId="0" borderId="0" xfId="9" applyFont="1" applyFill="1" applyAlignment="1" applyProtection="1">
      <alignment horizontal="right"/>
    </xf>
    <xf numFmtId="9" fontId="20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right"/>
    </xf>
    <xf numFmtId="37" fontId="21" fillId="0" borderId="0" xfId="0" applyNumberFormat="1" applyFont="1" applyAlignment="1" applyProtection="1">
      <alignment horizontal="right"/>
    </xf>
    <xf numFmtId="39" fontId="21" fillId="0" borderId="0" xfId="0" applyNumberFormat="1" applyFont="1" applyAlignment="1" applyProtection="1">
      <alignment horizontal="right"/>
    </xf>
    <xf numFmtId="9" fontId="21" fillId="0" borderId="0" xfId="0" applyNumberFormat="1" applyFont="1" applyFill="1" applyBorder="1" applyAlignment="1" applyProtection="1"/>
    <xf numFmtId="0" fontId="0" fillId="0" borderId="0" xfId="0" applyFill="1" applyProtection="1"/>
    <xf numFmtId="39" fontId="21" fillId="0" borderId="0" xfId="0" applyNumberFormat="1" applyFont="1" applyFill="1" applyAlignment="1" applyProtection="1">
      <alignment horizontal="right"/>
    </xf>
    <xf numFmtId="187" fontId="21" fillId="0" borderId="0" xfId="0" applyNumberFormat="1" applyFont="1" applyFill="1" applyProtection="1"/>
    <xf numFmtId="187" fontId="18" fillId="0" borderId="0" xfId="9" applyNumberFormat="1" applyFont="1" applyAlignment="1" applyProtection="1">
      <alignment horizontal="right"/>
    </xf>
    <xf numFmtId="187" fontId="18" fillId="0" borderId="0" xfId="9" applyNumberFormat="1" applyFont="1" applyFill="1" applyAlignment="1" applyProtection="1">
      <alignment horizontal="right"/>
    </xf>
    <xf numFmtId="170" fontId="21" fillId="0" borderId="0" xfId="0" applyNumberFormat="1" applyFont="1" applyFill="1" applyAlignment="1" applyProtection="1">
      <alignment horizontal="left"/>
    </xf>
    <xf numFmtId="0" fontId="20" fillId="0" borderId="4" xfId="0" applyFont="1" applyFill="1" applyBorder="1" applyProtection="1"/>
    <xf numFmtId="3" fontId="20" fillId="0" borderId="3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9" fontId="20" fillId="0" borderId="4" xfId="0" applyNumberFormat="1" applyFont="1" applyFill="1" applyBorder="1" applyAlignment="1" applyProtection="1"/>
    <xf numFmtId="9" fontId="20" fillId="0" borderId="5" xfId="0" applyNumberFormat="1" applyFont="1" applyFill="1" applyBorder="1" applyAlignment="1" applyProtection="1"/>
    <xf numFmtId="9" fontId="21" fillId="0" borderId="3" xfId="8" applyFont="1" applyFill="1" applyBorder="1" applyProtection="1"/>
    <xf numFmtId="9" fontId="20" fillId="0" borderId="0" xfId="0" applyNumberFormat="1" applyFont="1" applyFill="1" applyProtection="1"/>
    <xf numFmtId="9" fontId="21" fillId="0" borderId="3" xfId="0" applyNumberFormat="1" applyFont="1" applyFill="1" applyBorder="1" applyAlignment="1" applyProtection="1"/>
    <xf numFmtId="0" fontId="20" fillId="0" borderId="0" xfId="0" applyFont="1" applyFill="1" applyAlignment="1" applyProtection="1"/>
    <xf numFmtId="170" fontId="21" fillId="0" borderId="0" xfId="0" applyNumberFormat="1" applyFont="1" applyFill="1" applyBorder="1" applyAlignment="1" applyProtection="1"/>
    <xf numFmtId="9" fontId="21" fillId="0" borderId="3" xfId="0" applyNumberFormat="1" applyFont="1" applyFill="1" applyBorder="1" applyProtection="1"/>
    <xf numFmtId="0" fontId="21" fillId="0" borderId="0" xfId="0" applyFont="1" applyAlignment="1" applyProtection="1"/>
    <xf numFmtId="37" fontId="21" fillId="0" borderId="0" xfId="0" applyNumberFormat="1" applyFont="1" applyProtection="1"/>
    <xf numFmtId="37" fontId="21" fillId="0" borderId="0" xfId="0" applyNumberFormat="1" applyFont="1" applyFill="1" applyProtection="1"/>
    <xf numFmtId="10" fontId="21" fillId="0" borderId="0" xfId="0" applyNumberFormat="1" applyFont="1" applyAlignment="1" applyProtection="1"/>
    <xf numFmtId="216" fontId="21" fillId="0" borderId="0" xfId="0" applyNumberFormat="1" applyFont="1" applyProtection="1"/>
    <xf numFmtId="216" fontId="21" fillId="0" borderId="0" xfId="0" applyNumberFormat="1" applyFont="1" applyFill="1" applyProtection="1"/>
    <xf numFmtId="0" fontId="79" fillId="0" borderId="0" xfId="0" applyFont="1" applyProtection="1"/>
    <xf numFmtId="0" fontId="80" fillId="0" borderId="0" xfId="0" applyFont="1" applyProtection="1"/>
    <xf numFmtId="168" fontId="80" fillId="0" borderId="0" xfId="8" applyNumberFormat="1" applyFont="1" applyProtection="1"/>
    <xf numFmtId="0" fontId="79" fillId="0" borderId="0" xfId="11" applyFont="1" applyProtection="1"/>
    <xf numFmtId="0" fontId="80" fillId="0" borderId="3" xfId="0" applyFont="1" applyBorder="1" applyProtection="1"/>
    <xf numFmtId="0" fontId="80" fillId="0" borderId="0" xfId="11" applyNumberFormat="1" applyFont="1" applyFill="1" applyBorder="1" applyProtection="1"/>
    <xf numFmtId="206" fontId="21" fillId="0" borderId="0" xfId="0" applyNumberFormat="1" applyFont="1" applyProtection="1"/>
    <xf numFmtId="37" fontId="80" fillId="0" borderId="0" xfId="11" applyNumberFormat="1" applyFont="1" applyProtection="1"/>
    <xf numFmtId="10" fontId="80" fillId="0" borderId="3" xfId="11" applyNumberFormat="1" applyFont="1" applyFill="1" applyBorder="1" applyProtection="1"/>
    <xf numFmtId="1" fontId="80" fillId="0" borderId="3" xfId="11" applyNumberFormat="1" applyFont="1" applyFill="1" applyBorder="1" applyProtection="1"/>
    <xf numFmtId="2" fontId="80" fillId="0" borderId="3" xfId="11" applyNumberFormat="1" applyFont="1" applyFill="1" applyBorder="1" applyProtection="1"/>
    <xf numFmtId="37" fontId="80" fillId="0" borderId="0" xfId="11" applyNumberFormat="1" applyFont="1" applyAlignment="1" applyProtection="1">
      <alignment horizontal="right"/>
    </xf>
    <xf numFmtId="5" fontId="80" fillId="0" borderId="0" xfId="11" applyNumberFormat="1" applyFont="1" applyAlignment="1" applyProtection="1">
      <alignment horizontal="right"/>
    </xf>
    <xf numFmtId="0" fontId="21" fillId="0" borderId="0" xfId="0" applyNumberFormat="1" applyFont="1" applyProtection="1"/>
    <xf numFmtId="9" fontId="21" fillId="0" borderId="0" xfId="8" applyFont="1" applyProtection="1"/>
    <xf numFmtId="0" fontId="22" fillId="0" borderId="0" xfId="0" applyFont="1" applyAlignment="1" applyProtection="1">
      <alignment horizontal="center"/>
    </xf>
    <xf numFmtId="0" fontId="21" fillId="0" borderId="3" xfId="0" applyFont="1" applyFill="1" applyBorder="1" applyProtection="1"/>
    <xf numFmtId="14" fontId="21" fillId="0" borderId="0" xfId="0" applyNumberFormat="1" applyFont="1" applyProtection="1"/>
    <xf numFmtId="0" fontId="21" fillId="0" borderId="27" xfId="0" applyFont="1" applyFill="1" applyBorder="1" applyProtection="1"/>
    <xf numFmtId="206" fontId="21" fillId="0" borderId="35" xfId="0" applyNumberFormat="1" applyFont="1" applyBorder="1" applyProtection="1"/>
    <xf numFmtId="1" fontId="21" fillId="0" borderId="3" xfId="0" applyNumberFormat="1" applyFont="1" applyBorder="1" applyProtection="1"/>
    <xf numFmtId="9" fontId="21" fillId="0" borderId="53" xfId="8" applyNumberFormat="1" applyFont="1" applyBorder="1" applyProtection="1"/>
    <xf numFmtId="1" fontId="21" fillId="0" borderId="0" xfId="0" applyNumberFormat="1" applyFont="1" applyAlignment="1" applyProtection="1">
      <alignment horizontal="center"/>
    </xf>
    <xf numFmtId="206" fontId="21" fillId="0" borderId="47" xfId="0" applyNumberFormat="1" applyFont="1" applyBorder="1" applyProtection="1"/>
    <xf numFmtId="1" fontId="21" fillId="0" borderId="0" xfId="0" applyNumberFormat="1" applyFont="1" applyBorder="1" applyProtection="1"/>
    <xf numFmtId="9" fontId="21" fillId="0" borderId="37" xfId="8" applyNumberFormat="1" applyFont="1" applyBorder="1" applyProtection="1"/>
    <xf numFmtId="14" fontId="18" fillId="0" borderId="63" xfId="0" applyNumberFormat="1" applyFont="1" applyBorder="1" applyProtection="1"/>
    <xf numFmtId="1" fontId="18" fillId="0" borderId="41" xfId="0" applyNumberFormat="1" applyFont="1" applyBorder="1" applyProtection="1"/>
    <xf numFmtId="1" fontId="18" fillId="0" borderId="73" xfId="0" applyNumberFormat="1" applyFont="1" applyBorder="1" applyProtection="1"/>
    <xf numFmtId="9" fontId="18" fillId="0" borderId="58" xfId="8" applyFont="1" applyBorder="1" applyProtection="1"/>
    <xf numFmtId="14" fontId="18" fillId="0" borderId="0" xfId="0" applyNumberFormat="1" applyFont="1" applyProtection="1"/>
    <xf numFmtId="1" fontId="18" fillId="0" borderId="0" xfId="0" applyNumberFormat="1" applyFont="1" applyProtection="1"/>
    <xf numFmtId="9" fontId="18" fillId="0" borderId="0" xfId="8" applyFont="1" applyProtection="1"/>
    <xf numFmtId="10" fontId="21" fillId="35" borderId="3" xfId="8" applyNumberFormat="1" applyFont="1" applyFill="1" applyBorder="1" applyProtection="1">
      <protection locked="0"/>
    </xf>
    <xf numFmtId="0" fontId="18" fillId="8" borderId="30" xfId="0" applyFont="1" applyFill="1" applyBorder="1" applyAlignment="1" applyProtection="1">
      <alignment horizontal="center" wrapText="1"/>
    </xf>
    <xf numFmtId="0" fontId="19" fillId="6" borderId="8" xfId="0" applyFont="1" applyFill="1" applyBorder="1" applyProtection="1"/>
    <xf numFmtId="169" fontId="21" fillId="6" borderId="2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15" fontId="77" fillId="0" borderId="0" xfId="46" applyNumberFormat="1" applyFont="1" applyAlignment="1">
      <alignment horizontal="center"/>
    </xf>
    <xf numFmtId="0" fontId="78" fillId="0" borderId="0" xfId="46" applyFont="1" applyAlignment="1">
      <alignment horizontal="center"/>
    </xf>
    <xf numFmtId="0" fontId="0" fillId="0" borderId="0" xfId="0" applyAlignment="1">
      <alignment horizontal="center"/>
    </xf>
    <xf numFmtId="0" fontId="77" fillId="0" borderId="0" xfId="46" applyFont="1" applyAlignment="1">
      <alignment horizontal="center"/>
    </xf>
    <xf numFmtId="0" fontId="21" fillId="8" borderId="32" xfId="6" applyFont="1" applyFill="1" applyBorder="1" applyAlignment="1" applyProtection="1">
      <alignment horizontal="center"/>
    </xf>
    <xf numFmtId="0" fontId="21" fillId="8" borderId="34" xfId="6" applyFont="1" applyFill="1" applyBorder="1" applyAlignment="1" applyProtection="1">
      <alignment horizontal="center"/>
    </xf>
    <xf numFmtId="1" fontId="21" fillId="35" borderId="4" xfId="6" applyNumberFormat="1" applyFont="1" applyFill="1" applyBorder="1" applyAlignment="1" applyProtection="1">
      <alignment horizontal="center"/>
    </xf>
    <xf numFmtId="1" fontId="21" fillId="35" borderId="36" xfId="6" applyNumberFormat="1" applyFont="1" applyFill="1" applyBorder="1" applyAlignment="1" applyProtection="1">
      <alignment horizontal="center"/>
    </xf>
    <xf numFmtId="0" fontId="21" fillId="35" borderId="4" xfId="6" applyFont="1" applyFill="1" applyBorder="1" applyAlignment="1" applyProtection="1">
      <alignment horizontal="center"/>
    </xf>
    <xf numFmtId="0" fontId="21" fillId="35" borderId="36" xfId="6" applyFont="1" applyFill="1" applyBorder="1" applyAlignment="1" applyProtection="1">
      <alignment horizontal="center"/>
    </xf>
    <xf numFmtId="0" fontId="21" fillId="7" borderId="73" xfId="6" applyFont="1" applyFill="1" applyBorder="1" applyAlignment="1" applyProtection="1"/>
    <xf numFmtId="0" fontId="21" fillId="7" borderId="74" xfId="6" applyFont="1" applyFill="1" applyBorder="1" applyAlignment="1" applyProtection="1"/>
    <xf numFmtId="0" fontId="21" fillId="0" borderId="40" xfId="6" applyFont="1" applyBorder="1" applyAlignment="1" applyProtection="1">
      <alignment horizontal="left" vertical="top" wrapText="1"/>
    </xf>
    <xf numFmtId="0" fontId="21" fillId="0" borderId="66" xfId="6" applyFont="1" applyBorder="1" applyAlignment="1" applyProtection="1">
      <alignment horizontal="left" vertical="top" wrapText="1"/>
    </xf>
    <xf numFmtId="0" fontId="18" fillId="8" borderId="69" xfId="6" applyFont="1" applyFill="1" applyBorder="1" applyAlignment="1" applyProtection="1">
      <alignment horizontal="center"/>
    </xf>
    <xf numFmtId="0" fontId="18" fillId="8" borderId="33" xfId="6" applyFont="1" applyFill="1" applyBorder="1" applyAlignment="1" applyProtection="1">
      <alignment horizontal="center"/>
    </xf>
    <xf numFmtId="0" fontId="18" fillId="8" borderId="34" xfId="6" applyFont="1" applyFill="1" applyBorder="1" applyAlignment="1" applyProtection="1">
      <alignment horizontal="center"/>
    </xf>
    <xf numFmtId="14" fontId="21" fillId="0" borderId="2" xfId="6" applyNumberFormat="1" applyFont="1" applyFill="1" applyBorder="1" applyAlignment="1" applyProtection="1">
      <alignment horizontal="left"/>
    </xf>
    <xf numFmtId="14" fontId="21" fillId="0" borderId="36" xfId="6" applyNumberFormat="1" applyFont="1" applyFill="1" applyBorder="1" applyAlignment="1" applyProtection="1">
      <alignment horizontal="left"/>
    </xf>
    <xf numFmtId="0" fontId="73" fillId="0" borderId="0" xfId="0" applyFont="1" applyAlignment="1">
      <alignment horizontal="center"/>
    </xf>
    <xf numFmtId="0" fontId="21" fillId="35" borderId="73" xfId="6" applyFont="1" applyFill="1" applyBorder="1" applyAlignment="1" applyProtection="1">
      <alignment horizontal="center"/>
    </xf>
    <xf numFmtId="0" fontId="21" fillId="35" borderId="66" xfId="6" applyFont="1" applyFill="1" applyBorder="1" applyAlignment="1" applyProtection="1">
      <alignment horizontal="center"/>
    </xf>
    <xf numFmtId="0" fontId="21" fillId="35" borderId="74" xfId="6" applyFont="1" applyFill="1" applyBorder="1" applyAlignment="1" applyProtection="1">
      <alignment horizontal="center"/>
    </xf>
    <xf numFmtId="0" fontId="18" fillId="8" borderId="44" xfId="0" applyFont="1" applyFill="1" applyBorder="1" applyAlignment="1" applyProtection="1">
      <alignment horizontal="center"/>
    </xf>
    <xf numFmtId="0" fontId="18" fillId="8" borderId="45" xfId="0" applyFont="1" applyFill="1" applyBorder="1" applyAlignment="1" applyProtection="1">
      <alignment horizontal="center"/>
    </xf>
    <xf numFmtId="0" fontId="18" fillId="8" borderId="84" xfId="0" applyFont="1" applyFill="1" applyBorder="1" applyAlignment="1" applyProtection="1">
      <alignment horizontal="center"/>
    </xf>
    <xf numFmtId="0" fontId="18" fillId="8" borderId="31" xfId="6" applyFont="1" applyFill="1" applyBorder="1" applyAlignment="1" applyProtection="1">
      <alignment horizontal="center"/>
    </xf>
    <xf numFmtId="0" fontId="18" fillId="8" borderId="59" xfId="6" applyFont="1" applyFill="1" applyBorder="1" applyAlignment="1" applyProtection="1">
      <alignment horizontal="center"/>
    </xf>
    <xf numFmtId="0" fontId="18" fillId="8" borderId="57" xfId="6" applyFont="1" applyFill="1" applyBorder="1" applyAlignment="1" applyProtection="1">
      <alignment horizontal="center"/>
    </xf>
    <xf numFmtId="0" fontId="7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 wrapText="1"/>
    </xf>
    <xf numFmtId="0" fontId="19" fillId="6" borderId="83" xfId="0" applyFont="1" applyFill="1" applyBorder="1" applyAlignment="1">
      <alignment horizontal="left" vertical="center"/>
    </xf>
    <xf numFmtId="0" fontId="19" fillId="6" borderId="83" xfId="0" applyFont="1" applyFill="1" applyBorder="1" applyAlignment="1">
      <alignment horizontal="left"/>
    </xf>
    <xf numFmtId="0" fontId="19" fillId="6" borderId="82" xfId="0" applyFont="1" applyFill="1" applyBorder="1" applyAlignment="1">
      <alignment horizontal="left"/>
    </xf>
    <xf numFmtId="0" fontId="17" fillId="0" borderId="6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9" fillId="6" borderId="85" xfId="0" applyFont="1" applyFill="1" applyBorder="1" applyAlignment="1">
      <alignment horizontal="left" vertical="center"/>
    </xf>
    <xf numFmtId="0" fontId="19" fillId="6" borderId="82" xfId="0" applyFont="1" applyFill="1" applyBorder="1" applyAlignment="1">
      <alignment horizontal="left" vertical="center"/>
    </xf>
    <xf numFmtId="0" fontId="18" fillId="8" borderId="69" xfId="116" applyFont="1" applyFill="1" applyBorder="1" applyAlignment="1" applyProtection="1">
      <alignment horizontal="center"/>
    </xf>
    <xf numFmtId="0" fontId="18" fillId="8" borderId="34" xfId="116" applyFont="1" applyFill="1" applyBorder="1" applyAlignment="1" applyProtection="1">
      <alignment horizontal="center"/>
    </xf>
    <xf numFmtId="0" fontId="73" fillId="0" borderId="0" xfId="116" applyFont="1" applyAlignment="1">
      <alignment horizontal="center"/>
    </xf>
    <xf numFmtId="0" fontId="17" fillId="8" borderId="69" xfId="116" applyFont="1" applyFill="1" applyBorder="1" applyAlignment="1" applyProtection="1">
      <alignment horizontal="center"/>
    </xf>
    <xf numFmtId="0" fontId="17" fillId="8" borderId="34" xfId="116" applyFont="1" applyFill="1" applyBorder="1" applyAlignment="1" applyProtection="1">
      <alignment horizontal="center"/>
    </xf>
    <xf numFmtId="0" fontId="18" fillId="8" borderId="31" xfId="117" applyFont="1" applyFill="1" applyBorder="1" applyAlignment="1" applyProtection="1">
      <alignment horizontal="center"/>
    </xf>
    <xf numFmtId="0" fontId="18" fillId="8" borderId="59" xfId="117" applyFont="1" applyFill="1" applyBorder="1" applyAlignment="1" applyProtection="1">
      <alignment horizontal="center"/>
    </xf>
    <xf numFmtId="0" fontId="18" fillId="8" borderId="57" xfId="117" applyFont="1" applyFill="1" applyBorder="1" applyAlignment="1" applyProtection="1">
      <alignment horizontal="center"/>
    </xf>
    <xf numFmtId="0" fontId="17" fillId="8" borderId="69" xfId="117" applyFont="1" applyFill="1" applyBorder="1" applyAlignment="1" applyProtection="1">
      <alignment horizontal="center"/>
    </xf>
    <xf numFmtId="0" fontId="17" fillId="8" borderId="33" xfId="117" applyFont="1" applyFill="1" applyBorder="1" applyAlignment="1" applyProtection="1">
      <alignment horizontal="center"/>
    </xf>
    <xf numFmtId="0" fontId="17" fillId="8" borderId="34" xfId="117" applyFont="1" applyFill="1" applyBorder="1" applyAlignment="1" applyProtection="1">
      <alignment horizontal="center"/>
    </xf>
    <xf numFmtId="0" fontId="18" fillId="8" borderId="69" xfId="117" applyFont="1" applyFill="1" applyBorder="1" applyAlignment="1" applyProtection="1">
      <alignment horizontal="center"/>
    </xf>
    <xf numFmtId="0" fontId="18" fillId="8" borderId="34" xfId="117" applyFont="1" applyFill="1" applyBorder="1" applyAlignment="1" applyProtection="1">
      <alignment horizontal="center"/>
    </xf>
    <xf numFmtId="0" fontId="18" fillId="8" borderId="52" xfId="116" applyFont="1" applyFill="1" applyBorder="1" applyAlignment="1" applyProtection="1">
      <alignment horizontal="center"/>
    </xf>
    <xf numFmtId="0" fontId="18" fillId="8" borderId="36" xfId="116" applyFont="1" applyFill="1" applyBorder="1" applyAlignment="1" applyProtection="1">
      <alignment horizontal="center"/>
    </xf>
    <xf numFmtId="0" fontId="21" fillId="6" borderId="65" xfId="0" applyFont="1" applyFill="1" applyBorder="1" applyAlignment="1" applyProtection="1">
      <alignment horizontal="center" vertical="center"/>
      <protection locked="0"/>
    </xf>
    <xf numFmtId="0" fontId="21" fillId="6" borderId="71" xfId="0" applyFont="1" applyFill="1" applyBorder="1" applyAlignment="1" applyProtection="1">
      <alignment horizontal="center" vertical="center"/>
      <protection locked="0"/>
    </xf>
    <xf numFmtId="169" fontId="21" fillId="6" borderId="2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169" fontId="21" fillId="6" borderId="4" xfId="0" applyNumberFormat="1" applyFont="1" applyFill="1" applyBorder="1" applyAlignment="1" applyProtection="1">
      <alignment horizontal="center"/>
      <protection locked="0"/>
    </xf>
    <xf numFmtId="0" fontId="22" fillId="8" borderId="31" xfId="0" applyFont="1" applyFill="1" applyBorder="1" applyAlignment="1" applyProtection="1">
      <alignment horizontal="center"/>
    </xf>
    <xf numFmtId="0" fontId="22" fillId="8" borderId="59" xfId="0" applyFont="1" applyFill="1" applyBorder="1" applyAlignment="1" applyProtection="1">
      <alignment horizontal="center"/>
    </xf>
    <xf numFmtId="0" fontId="22" fillId="8" borderId="57" xfId="0" applyFont="1" applyFill="1" applyBorder="1" applyAlignment="1" applyProtection="1">
      <alignment horizontal="center"/>
    </xf>
    <xf numFmtId="0" fontId="21" fillId="35" borderId="59" xfId="0" applyFont="1" applyFill="1" applyBorder="1" applyAlignment="1" applyProtection="1">
      <alignment horizontal="left" vertical="top"/>
      <protection locked="0"/>
    </xf>
    <xf numFmtId="0" fontId="21" fillId="35" borderId="3" xfId="0" applyFont="1" applyFill="1" applyBorder="1" applyAlignment="1" applyProtection="1">
      <alignment horizontal="left" vertical="top"/>
      <protection locked="0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22" fillId="8" borderId="69" xfId="0" applyFont="1" applyFill="1" applyBorder="1" applyAlignment="1" applyProtection="1">
      <alignment horizontal="center"/>
    </xf>
    <xf numFmtId="0" fontId="22" fillId="8" borderId="34" xfId="0" applyFont="1" applyFill="1" applyBorder="1" applyAlignment="1" applyProtection="1">
      <alignment horizontal="center"/>
    </xf>
    <xf numFmtId="0" fontId="119" fillId="0" borderId="0" xfId="0" applyFont="1" applyFill="1" applyBorder="1" applyAlignment="1" applyProtection="1">
      <alignment horizontal="left" wrapText="1"/>
    </xf>
    <xf numFmtId="0" fontId="119" fillId="0" borderId="37" xfId="0" applyFont="1" applyFill="1" applyBorder="1" applyAlignment="1" applyProtection="1">
      <alignment horizontal="left" wrapText="1"/>
    </xf>
    <xf numFmtId="0" fontId="20" fillId="0" borderId="54" xfId="0" applyFont="1" applyBorder="1" applyAlignment="1" applyProtection="1">
      <alignment horizontal="left" wrapText="1"/>
    </xf>
    <xf numFmtId="0" fontId="20" fillId="0" borderId="49" xfId="0" applyFont="1" applyBorder="1" applyAlignment="1" applyProtection="1">
      <alignment horizontal="left" wrapText="1"/>
    </xf>
    <xf numFmtId="0" fontId="21" fillId="35" borderId="4" xfId="0" applyFont="1" applyFill="1" applyBorder="1" applyAlignment="1" applyProtection="1">
      <alignment horizontal="center" vertical="top"/>
      <protection locked="0"/>
    </xf>
    <xf numFmtId="0" fontId="21" fillId="35" borderId="2" xfId="0" applyFont="1" applyFill="1" applyBorder="1" applyAlignment="1" applyProtection="1">
      <alignment horizontal="center" vertical="top"/>
      <protection locked="0"/>
    </xf>
    <xf numFmtId="0" fontId="21" fillId="35" borderId="5" xfId="0" applyFont="1" applyFill="1" applyBorder="1" applyAlignment="1" applyProtection="1">
      <alignment horizontal="center" vertical="top"/>
      <protection locked="0"/>
    </xf>
    <xf numFmtId="0" fontId="18" fillId="8" borderId="4" xfId="0" applyFont="1" applyFill="1" applyBorder="1" applyAlignment="1" applyProtection="1">
      <alignment horizontal="center"/>
    </xf>
    <xf numFmtId="0" fontId="18" fillId="8" borderId="2" xfId="0" applyFont="1" applyFill="1" applyBorder="1" applyAlignment="1" applyProtection="1">
      <alignment horizontal="center"/>
    </xf>
    <xf numFmtId="0" fontId="18" fillId="8" borderId="36" xfId="0" applyFont="1" applyFill="1" applyBorder="1" applyAlignment="1" applyProtection="1">
      <alignment horizontal="center"/>
    </xf>
    <xf numFmtId="0" fontId="22" fillId="8" borderId="33" xfId="0" applyFont="1" applyFill="1" applyBorder="1" applyAlignment="1" applyProtection="1">
      <alignment horizontal="center"/>
    </xf>
    <xf numFmtId="0" fontId="24" fillId="8" borderId="69" xfId="0" applyFont="1" applyFill="1" applyBorder="1" applyAlignment="1" applyProtection="1">
      <alignment horizontal="center"/>
    </xf>
    <xf numFmtId="0" fontId="24" fillId="8" borderId="33" xfId="0" applyFont="1" applyFill="1" applyBorder="1" applyAlignment="1" applyProtection="1">
      <alignment horizontal="center"/>
    </xf>
    <xf numFmtId="0" fontId="24" fillId="8" borderId="34" xfId="0" applyFont="1" applyFill="1" applyBorder="1" applyAlignment="1" applyProtection="1">
      <alignment horizontal="center"/>
    </xf>
    <xf numFmtId="0" fontId="18" fillId="8" borderId="4" xfId="0" applyFont="1" applyFill="1" applyBorder="1" applyAlignment="1" applyProtection="1">
      <alignment horizontal="center" vertical="top"/>
    </xf>
    <xf numFmtId="0" fontId="18" fillId="8" borderId="5" xfId="0" applyFont="1" applyFill="1" applyBorder="1" applyAlignment="1" applyProtection="1">
      <alignment horizontal="center" vertical="top"/>
    </xf>
    <xf numFmtId="0" fontId="18" fillId="8" borderId="36" xfId="0" applyFont="1" applyFill="1" applyBorder="1" applyAlignment="1" applyProtection="1">
      <alignment horizontal="center" vertical="top"/>
    </xf>
    <xf numFmtId="169" fontId="21" fillId="7" borderId="73" xfId="0" applyNumberFormat="1" applyFont="1" applyFill="1" applyBorder="1" applyAlignment="1" applyProtection="1">
      <alignment horizontal="center"/>
    </xf>
    <xf numFmtId="169" fontId="21" fillId="7" borderId="56" xfId="0" applyNumberFormat="1" applyFont="1" applyFill="1" applyBorder="1" applyAlignment="1" applyProtection="1">
      <alignment horizontal="center"/>
    </xf>
    <xf numFmtId="0" fontId="22" fillId="0" borderId="31" xfId="0" applyFont="1" applyBorder="1" applyAlignment="1" applyProtection="1">
      <alignment horizontal="center"/>
    </xf>
    <xf numFmtId="0" fontId="22" fillId="0" borderId="59" xfId="0" applyFont="1" applyBorder="1" applyAlignment="1" applyProtection="1">
      <alignment horizontal="center"/>
    </xf>
    <xf numFmtId="0" fontId="22" fillId="0" borderId="57" xfId="0" applyFont="1" applyBorder="1" applyAlignment="1" applyProtection="1">
      <alignment horizontal="center"/>
    </xf>
    <xf numFmtId="0" fontId="21" fillId="0" borderId="47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/>
    </xf>
    <xf numFmtId="0" fontId="22" fillId="8" borderId="35" xfId="0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center"/>
    </xf>
    <xf numFmtId="0" fontId="21" fillId="0" borderId="44" xfId="0" applyFont="1" applyBorder="1" applyAlignment="1" applyProtection="1">
      <alignment horizontal="left" vertical="center" wrapText="1"/>
    </xf>
    <xf numFmtId="0" fontId="21" fillId="0" borderId="47" xfId="0" applyFont="1" applyBorder="1" applyAlignment="1" applyProtection="1">
      <alignment horizontal="left" vertical="center" wrapText="1"/>
    </xf>
    <xf numFmtId="0" fontId="18" fillId="8" borderId="5" xfId="0" applyFont="1" applyFill="1" applyBorder="1" applyAlignment="1" applyProtection="1">
      <alignment horizontal="center"/>
    </xf>
    <xf numFmtId="0" fontId="17" fillId="8" borderId="4" xfId="0" applyFont="1" applyFill="1" applyBorder="1" applyAlignment="1" applyProtection="1">
      <alignment horizontal="center"/>
    </xf>
    <xf numFmtId="0" fontId="17" fillId="8" borderId="5" xfId="0" applyFont="1" applyFill="1" applyBorder="1" applyAlignment="1" applyProtection="1">
      <alignment horizontal="center"/>
    </xf>
    <xf numFmtId="0" fontId="119" fillId="0" borderId="30" xfId="0" applyFont="1" applyBorder="1" applyAlignment="1" applyProtection="1">
      <alignment horizontal="center" wrapText="1"/>
    </xf>
    <xf numFmtId="0" fontId="119" fillId="0" borderId="0" xfId="0" applyFont="1" applyBorder="1" applyAlignment="1" applyProtection="1">
      <alignment horizontal="center" wrapText="1"/>
    </xf>
    <xf numFmtId="0" fontId="119" fillId="0" borderId="37" xfId="0" applyFont="1" applyBorder="1" applyAlignment="1" applyProtection="1">
      <alignment horizontal="center" wrapText="1"/>
    </xf>
    <xf numFmtId="0" fontId="21" fillId="0" borderId="54" xfId="0" applyFont="1" applyBorder="1" applyAlignment="1" applyProtection="1">
      <alignment horizontal="left" vertical="top" wrapText="1"/>
    </xf>
    <xf numFmtId="0" fontId="21" fillId="0" borderId="10" xfId="0" applyFont="1" applyBorder="1" applyAlignment="1" applyProtection="1">
      <alignment horizontal="left" vertical="top" wrapText="1"/>
    </xf>
    <xf numFmtId="0" fontId="21" fillId="0" borderId="29" xfId="0" applyFont="1" applyBorder="1" applyAlignment="1" applyProtection="1">
      <alignment horizontal="left" vertical="top" wrapText="1"/>
    </xf>
    <xf numFmtId="0" fontId="21" fillId="0" borderId="55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2" xfId="0" applyFont="1" applyBorder="1" applyAlignment="1" applyProtection="1">
      <alignment horizontal="left" vertical="top" wrapText="1"/>
    </xf>
    <xf numFmtId="0" fontId="20" fillId="0" borderId="54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20" fillId="0" borderId="29" xfId="0" applyFont="1" applyBorder="1" applyAlignment="1" applyProtection="1">
      <alignment horizontal="left" vertical="top" wrapText="1"/>
    </xf>
    <xf numFmtId="0" fontId="20" fillId="0" borderId="55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</xf>
    <xf numFmtId="0" fontId="20" fillId="0" borderId="12" xfId="0" applyFont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left" vertical="top"/>
    </xf>
    <xf numFmtId="0" fontId="20" fillId="0" borderId="29" xfId="0" applyFont="1" applyFill="1" applyBorder="1" applyAlignment="1" applyProtection="1">
      <alignment horizontal="left" vertical="top"/>
    </xf>
    <xf numFmtId="0" fontId="20" fillId="0" borderId="55" xfId="0" applyFont="1" applyFill="1" applyBorder="1" applyAlignment="1" applyProtection="1">
      <alignment horizontal="left" vertical="top"/>
    </xf>
    <xf numFmtId="0" fontId="20" fillId="0" borderId="1" xfId="0" applyFont="1" applyFill="1" applyBorder="1" applyAlignment="1" applyProtection="1">
      <alignment horizontal="left" vertical="top"/>
    </xf>
    <xf numFmtId="0" fontId="20" fillId="0" borderId="12" xfId="0" applyFont="1" applyFill="1" applyBorder="1" applyAlignment="1" applyProtection="1">
      <alignment horizontal="left" vertical="top"/>
    </xf>
    <xf numFmtId="0" fontId="21" fillId="8" borderId="75" xfId="0" applyFont="1" applyFill="1" applyBorder="1" applyAlignment="1" applyProtection="1">
      <alignment horizontal="center" wrapText="1"/>
    </xf>
    <xf numFmtId="0" fontId="21" fillId="8" borderId="27" xfId="0" applyFont="1" applyFill="1" applyBorder="1" applyAlignment="1" applyProtection="1">
      <alignment horizontal="center" wrapText="1"/>
    </xf>
    <xf numFmtId="0" fontId="21" fillId="8" borderId="8" xfId="0" applyFont="1" applyFill="1" applyBorder="1" applyAlignment="1" applyProtection="1">
      <alignment horizontal="center" wrapText="1"/>
    </xf>
    <xf numFmtId="0" fontId="84" fillId="8" borderId="69" xfId="0" applyFont="1" applyFill="1" applyBorder="1" applyAlignment="1" applyProtection="1">
      <alignment horizontal="center"/>
    </xf>
    <xf numFmtId="0" fontId="84" fillId="8" borderId="33" xfId="0" applyFont="1" applyFill="1" applyBorder="1" applyAlignment="1" applyProtection="1">
      <alignment horizontal="center"/>
    </xf>
    <xf numFmtId="0" fontId="84" fillId="8" borderId="34" xfId="0" applyFont="1" applyFill="1" applyBorder="1" applyAlignment="1" applyProtection="1">
      <alignment horizontal="center"/>
    </xf>
    <xf numFmtId="187" fontId="18" fillId="8" borderId="16" xfId="9" applyNumberFormat="1" applyFont="1" applyFill="1" applyBorder="1" applyAlignment="1" applyProtection="1">
      <alignment horizontal="center" vertical="center"/>
    </xf>
    <xf numFmtId="187" fontId="18" fillId="8" borderId="8" xfId="9" applyNumberFormat="1" applyFont="1" applyFill="1" applyBorder="1" applyAlignment="1" applyProtection="1">
      <alignment horizontal="center" vertical="center"/>
    </xf>
    <xf numFmtId="0" fontId="18" fillId="8" borderId="11" xfId="0" applyFont="1" applyFill="1" applyBorder="1" applyAlignment="1" applyProtection="1">
      <alignment horizontal="center"/>
    </xf>
    <xf numFmtId="0" fontId="18" fillId="8" borderId="12" xfId="0" applyFont="1" applyFill="1" applyBorder="1" applyAlignment="1" applyProtection="1">
      <alignment horizontal="center"/>
    </xf>
    <xf numFmtId="0" fontId="18" fillId="8" borderId="39" xfId="0" applyFont="1" applyFill="1" applyBorder="1" applyAlignment="1" applyProtection="1">
      <alignment horizontal="center"/>
    </xf>
    <xf numFmtId="187" fontId="18" fillId="8" borderId="65" xfId="9" applyNumberFormat="1" applyFont="1" applyFill="1" applyBorder="1" applyAlignment="1" applyProtection="1">
      <alignment horizontal="center" vertical="center"/>
    </xf>
    <xf numFmtId="187" fontId="18" fillId="8" borderId="62" xfId="9" applyNumberFormat="1" applyFont="1" applyFill="1" applyBorder="1" applyAlignment="1" applyProtection="1">
      <alignment horizontal="center" vertical="center"/>
    </xf>
    <xf numFmtId="187" fontId="18" fillId="8" borderId="16" xfId="9" applyNumberFormat="1" applyFont="1" applyFill="1" applyBorder="1" applyAlignment="1" applyProtection="1">
      <alignment horizontal="center" vertical="center" wrapText="1"/>
    </xf>
    <xf numFmtId="187" fontId="18" fillId="8" borderId="8" xfId="9" applyNumberFormat="1" applyFont="1" applyFill="1" applyBorder="1" applyAlignment="1" applyProtection="1">
      <alignment horizontal="center" vertical="center" wrapText="1"/>
    </xf>
    <xf numFmtId="0" fontId="21" fillId="0" borderId="47" xfId="0" applyFont="1" applyBorder="1" applyAlignment="1">
      <alignment horizontal="center" wrapText="1"/>
    </xf>
    <xf numFmtId="0" fontId="21" fillId="0" borderId="55" xfId="0" applyFont="1" applyBorder="1" applyAlignment="1">
      <alignment horizontal="center" wrapText="1"/>
    </xf>
    <xf numFmtId="0" fontId="21" fillId="0" borderId="0" xfId="98" applyFont="1" applyFill="1" applyBorder="1" applyProtection="1"/>
    <xf numFmtId="0" fontId="18" fillId="8" borderId="52" xfId="100" applyFont="1" applyFill="1" applyBorder="1" applyAlignment="1" applyProtection="1">
      <alignment horizontal="center"/>
    </xf>
    <xf numFmtId="0" fontId="18" fillId="8" borderId="2" xfId="100" applyFont="1" applyFill="1" applyBorder="1" applyAlignment="1" applyProtection="1">
      <alignment horizontal="center"/>
    </xf>
    <xf numFmtId="0" fontId="18" fillId="8" borderId="36" xfId="100" applyFont="1" applyFill="1" applyBorder="1" applyAlignment="1" applyProtection="1">
      <alignment horizontal="center"/>
    </xf>
    <xf numFmtId="0" fontId="18" fillId="8" borderId="69" xfId="100" applyFont="1" applyFill="1" applyBorder="1" applyAlignment="1" applyProtection="1">
      <alignment horizontal="center"/>
    </xf>
    <xf numFmtId="0" fontId="18" fillId="8" borderId="33" xfId="100" applyFont="1" applyFill="1" applyBorder="1" applyAlignment="1" applyProtection="1">
      <alignment horizontal="center"/>
    </xf>
    <xf numFmtId="0" fontId="18" fillId="8" borderId="34" xfId="100" applyFont="1" applyFill="1" applyBorder="1" applyAlignment="1" applyProtection="1">
      <alignment horizontal="center"/>
    </xf>
    <xf numFmtId="15" fontId="18" fillId="8" borderId="69" xfId="0" applyNumberFormat="1" applyFont="1" applyFill="1" applyBorder="1" applyAlignment="1" applyProtection="1">
      <alignment horizontal="center"/>
    </xf>
    <xf numFmtId="15" fontId="18" fillId="8" borderId="33" xfId="0" applyNumberFormat="1" applyFont="1" applyFill="1" applyBorder="1" applyAlignment="1" applyProtection="1">
      <alignment horizontal="center"/>
    </xf>
    <xf numFmtId="15" fontId="18" fillId="8" borderId="34" xfId="0" applyNumberFormat="1" applyFont="1" applyFill="1" applyBorder="1" applyAlignment="1" applyProtection="1">
      <alignment horizontal="center"/>
    </xf>
    <xf numFmtId="187" fontId="76" fillId="0" borderId="0" xfId="98" applyNumberFormat="1" applyFont="1" applyFill="1" applyBorder="1" applyAlignment="1" applyProtection="1"/>
    <xf numFmtId="0" fontId="76" fillId="0" borderId="0" xfId="98" applyFont="1" applyFill="1" applyBorder="1" applyAlignment="1" applyProtection="1"/>
    <xf numFmtId="0" fontId="73" fillId="0" borderId="0" xfId="0" applyFont="1" applyBorder="1" applyAlignment="1" applyProtection="1">
      <alignment horizontal="center" vertical="center"/>
    </xf>
    <xf numFmtId="0" fontId="18" fillId="8" borderId="31" xfId="0" applyFont="1" applyFill="1" applyBorder="1" applyAlignment="1" applyProtection="1">
      <alignment horizontal="center"/>
    </xf>
    <xf numFmtId="0" fontId="18" fillId="8" borderId="59" xfId="0" applyFont="1" applyFill="1" applyBorder="1" applyAlignment="1" applyProtection="1">
      <alignment horizontal="center"/>
    </xf>
    <xf numFmtId="0" fontId="18" fillId="8" borderId="57" xfId="0" applyFont="1" applyFill="1" applyBorder="1" applyAlignment="1" applyProtection="1">
      <alignment horizontal="center"/>
    </xf>
    <xf numFmtId="0" fontId="21" fillId="0" borderId="4" xfId="0" applyFont="1" applyBorder="1" applyAlignment="1" applyProtection="1">
      <alignment horizontal="left"/>
    </xf>
    <xf numFmtId="0" fontId="21" fillId="0" borderId="36" xfId="0" applyFont="1" applyBorder="1" applyAlignment="1" applyProtection="1">
      <alignment horizontal="left"/>
    </xf>
    <xf numFmtId="15" fontId="76" fillId="0" borderId="54" xfId="0" applyNumberFormat="1" applyFont="1" applyBorder="1" applyAlignment="1" applyProtection="1">
      <alignment horizontal="center" vertical="top" wrapText="1"/>
    </xf>
    <xf numFmtId="15" fontId="76" fillId="0" borderId="29" xfId="0" applyNumberFormat="1" applyFont="1" applyBorder="1" applyAlignment="1" applyProtection="1">
      <alignment horizontal="center" vertical="top" wrapText="1"/>
    </xf>
    <xf numFmtId="15" fontId="76" fillId="0" borderId="55" xfId="0" applyNumberFormat="1" applyFont="1" applyBorder="1" applyAlignment="1" applyProtection="1">
      <alignment horizontal="center" vertical="top" wrapText="1"/>
    </xf>
    <xf numFmtId="15" fontId="76" fillId="0" borderId="12" xfId="0" applyNumberFormat="1" applyFont="1" applyBorder="1" applyAlignment="1" applyProtection="1">
      <alignment horizontal="center" vertical="top" wrapText="1"/>
    </xf>
    <xf numFmtId="15" fontId="21" fillId="35" borderId="2" xfId="0" applyNumberFormat="1" applyFont="1" applyFill="1" applyBorder="1" applyAlignment="1" applyProtection="1">
      <alignment horizontal="left"/>
      <protection locked="0"/>
    </xf>
    <xf numFmtId="15" fontId="21" fillId="35" borderId="36" xfId="0" applyNumberFormat="1" applyFont="1" applyFill="1" applyBorder="1" applyAlignment="1" applyProtection="1">
      <alignment horizontal="left"/>
      <protection locked="0"/>
    </xf>
    <xf numFmtId="187" fontId="20" fillId="8" borderId="62" xfId="98" applyNumberFormat="1" applyFont="1" applyFill="1" applyBorder="1" applyAlignment="1" applyProtection="1">
      <alignment horizontal="center" wrapText="1"/>
    </xf>
    <xf numFmtId="187" fontId="20" fillId="8" borderId="53" xfId="98" applyNumberFormat="1" applyFont="1" applyFill="1" applyBorder="1" applyAlignment="1" applyProtection="1">
      <alignment horizontal="center" wrapText="1"/>
    </xf>
    <xf numFmtId="15" fontId="18" fillId="8" borderId="44" xfId="0" applyNumberFormat="1" applyFont="1" applyFill="1" applyBorder="1" applyAlignment="1" applyProtection="1">
      <alignment horizontal="center" vertical="center" wrapText="1"/>
    </xf>
    <xf numFmtId="15" fontId="18" fillId="8" borderId="46" xfId="0" applyNumberFormat="1" applyFont="1" applyFill="1" applyBorder="1" applyAlignment="1" applyProtection="1">
      <alignment horizontal="center" vertical="center" wrapText="1"/>
    </xf>
    <xf numFmtId="15" fontId="18" fillId="8" borderId="47" xfId="0" applyNumberFormat="1" applyFont="1" applyFill="1" applyBorder="1" applyAlignment="1" applyProtection="1">
      <alignment horizontal="center" vertical="center" wrapText="1"/>
    </xf>
    <xf numFmtId="15" fontId="18" fillId="8" borderId="37" xfId="0" applyNumberFormat="1" applyFont="1" applyFill="1" applyBorder="1" applyAlignment="1" applyProtection="1">
      <alignment horizontal="center" vertical="center" wrapText="1"/>
    </xf>
    <xf numFmtId="15" fontId="18" fillId="8" borderId="55" xfId="0" applyNumberFormat="1" applyFont="1" applyFill="1" applyBorder="1" applyAlignment="1" applyProtection="1">
      <alignment horizontal="center" vertical="center" wrapText="1"/>
    </xf>
    <xf numFmtId="15" fontId="18" fillId="8" borderId="39" xfId="0" applyNumberFormat="1" applyFont="1" applyFill="1" applyBorder="1" applyAlignment="1" applyProtection="1">
      <alignment horizontal="center" vertical="center" wrapText="1"/>
    </xf>
    <xf numFmtId="0" fontId="21" fillId="8" borderId="16" xfId="11" applyFont="1" applyFill="1" applyBorder="1" applyAlignment="1" applyProtection="1">
      <alignment horizontal="center" vertical="center" wrapText="1"/>
    </xf>
    <xf numFmtId="0" fontId="21" fillId="8" borderId="8" xfId="11" applyFont="1" applyFill="1" applyBorder="1" applyAlignment="1" applyProtection="1">
      <alignment horizontal="center" vertical="center" wrapText="1"/>
    </xf>
    <xf numFmtId="0" fontId="17" fillId="8" borderId="69" xfId="0" applyFont="1" applyFill="1" applyBorder="1" applyAlignment="1" applyProtection="1">
      <alignment horizontal="center"/>
    </xf>
    <xf numFmtId="0" fontId="17" fillId="8" borderId="33" xfId="0" applyFont="1" applyFill="1" applyBorder="1" applyAlignment="1" applyProtection="1">
      <alignment horizontal="center"/>
    </xf>
    <xf numFmtId="0" fontId="17" fillId="8" borderId="34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center"/>
    </xf>
    <xf numFmtId="187" fontId="21" fillId="7" borderId="3" xfId="9" applyNumberFormat="1" applyFont="1" applyFill="1" applyBorder="1" applyAlignment="1" applyProtection="1"/>
    <xf numFmtId="187" fontId="21" fillId="7" borderId="53" xfId="9" applyNumberFormat="1" applyFont="1" applyFill="1" applyBorder="1" applyAlignment="1" applyProtection="1"/>
    <xf numFmtId="0" fontId="21" fillId="8" borderId="3" xfId="11" applyFont="1" applyFill="1" applyBorder="1" applyAlignment="1" applyProtection="1">
      <alignment horizontal="center" wrapText="1"/>
    </xf>
    <xf numFmtId="0" fontId="21" fillId="8" borderId="35" xfId="11" applyFont="1" applyFill="1" applyBorder="1" applyAlignment="1" applyProtection="1">
      <alignment horizontal="center" wrapText="1"/>
    </xf>
    <xf numFmtId="0" fontId="21" fillId="8" borderId="3" xfId="11" applyFont="1" applyFill="1" applyBorder="1" applyAlignment="1" applyProtection="1">
      <alignment horizontal="center"/>
    </xf>
    <xf numFmtId="0" fontId="21" fillId="8" borderId="53" xfId="11" applyFont="1" applyFill="1" applyBorder="1" applyAlignment="1" applyProtection="1">
      <alignment horizontal="center" wrapText="1"/>
    </xf>
    <xf numFmtId="0" fontId="21" fillId="8" borderId="64" xfId="11" applyFont="1" applyFill="1" applyBorder="1" applyAlignment="1" applyProtection="1">
      <alignment horizontal="center" vertical="center" wrapText="1"/>
    </xf>
    <xf numFmtId="0" fontId="21" fillId="8" borderId="67" xfId="11" applyFont="1" applyFill="1" applyBorder="1" applyAlignment="1" applyProtection="1">
      <alignment horizontal="center" vertical="center" wrapText="1"/>
    </xf>
    <xf numFmtId="0" fontId="21" fillId="8" borderId="3" xfId="11" applyFont="1" applyFill="1" applyBorder="1" applyAlignment="1" applyProtection="1">
      <alignment horizontal="center" vertical="center" wrapText="1"/>
    </xf>
    <xf numFmtId="0" fontId="20" fillId="35" borderId="4" xfId="0" applyFont="1" applyFill="1" applyBorder="1" applyAlignment="1" applyProtection="1">
      <alignment horizontal="center"/>
      <protection locked="0"/>
    </xf>
    <xf numFmtId="0" fontId="20" fillId="35" borderId="5" xfId="0" applyFont="1" applyFill="1" applyBorder="1" applyAlignment="1" applyProtection="1">
      <alignment horizontal="center"/>
      <protection locked="0"/>
    </xf>
    <xf numFmtId="187" fontId="21" fillId="6" borderId="4" xfId="0" applyNumberFormat="1" applyFont="1" applyFill="1" applyBorder="1" applyProtection="1">
      <protection locked="0"/>
    </xf>
    <xf numFmtId="187" fontId="21" fillId="6" borderId="36" xfId="0" applyNumberFormat="1" applyFont="1" applyFill="1" applyBorder="1" applyProtection="1">
      <protection locked="0"/>
    </xf>
    <xf numFmtId="0" fontId="21" fillId="8" borderId="53" xfId="11" applyFont="1" applyFill="1" applyBorder="1" applyAlignment="1" applyProtection="1">
      <alignment horizontal="center" vertical="center" wrapText="1"/>
    </xf>
    <xf numFmtId="187" fontId="21" fillId="0" borderId="4" xfId="0" applyNumberFormat="1" applyFont="1" applyBorder="1" applyProtection="1"/>
    <xf numFmtId="187" fontId="21" fillId="0" borderId="36" xfId="0" applyNumberFormat="1" applyFont="1" applyBorder="1" applyProtection="1"/>
    <xf numFmtId="187" fontId="65" fillId="0" borderId="3" xfId="0" applyNumberFormat="1" applyFont="1" applyBorder="1" applyAlignment="1" applyProtection="1">
      <alignment horizontal="center" vertical="top"/>
    </xf>
    <xf numFmtId="187" fontId="65" fillId="0" borderId="53" xfId="0" applyNumberFormat="1" applyFont="1" applyBorder="1" applyAlignment="1" applyProtection="1">
      <alignment horizontal="center" vertical="top"/>
    </xf>
    <xf numFmtId="187" fontId="65" fillId="0" borderId="41" xfId="0" applyNumberFormat="1" applyFont="1" applyBorder="1" applyAlignment="1" applyProtection="1">
      <alignment horizontal="center" vertical="top"/>
    </xf>
    <xf numFmtId="187" fontId="65" fillId="0" borderId="58" xfId="0" applyNumberFormat="1" applyFont="1" applyBorder="1" applyAlignment="1" applyProtection="1">
      <alignment horizontal="center" vertical="top"/>
    </xf>
    <xf numFmtId="0" fontId="73" fillId="0" borderId="1" xfId="0" applyFont="1" applyBorder="1" applyAlignment="1" applyProtection="1">
      <alignment horizontal="center"/>
    </xf>
    <xf numFmtId="0" fontId="73" fillId="0" borderId="0" xfId="0" applyFont="1" applyBorder="1" applyAlignment="1" applyProtection="1">
      <alignment horizontal="center"/>
    </xf>
    <xf numFmtId="0" fontId="21" fillId="8" borderId="16" xfId="11" applyFont="1" applyFill="1" applyBorder="1" applyAlignment="1" applyProtection="1">
      <alignment horizontal="center"/>
    </xf>
    <xf numFmtId="0" fontId="21" fillId="8" borderId="8" xfId="11" applyFont="1" applyFill="1" applyBorder="1" applyAlignment="1" applyProtection="1">
      <alignment horizontal="center"/>
    </xf>
    <xf numFmtId="0" fontId="20" fillId="8" borderId="3" xfId="0" applyFont="1" applyFill="1" applyBorder="1" applyAlignment="1" applyProtection="1">
      <alignment horizontal="center" wrapText="1"/>
    </xf>
    <xf numFmtId="0" fontId="20" fillId="8" borderId="5" xfId="0" applyFont="1" applyFill="1" applyBorder="1" applyAlignment="1" applyProtection="1">
      <alignment horizontal="center" wrapText="1"/>
    </xf>
    <xf numFmtId="192" fontId="21" fillId="8" borderId="3" xfId="26" applyNumberFormat="1" applyFont="1" applyFill="1" applyBorder="1" applyAlignment="1" applyProtection="1">
      <alignment horizontal="center" wrapText="1"/>
    </xf>
    <xf numFmtId="0" fontId="21" fillId="8" borderId="16" xfId="11" applyFont="1" applyFill="1" applyBorder="1" applyAlignment="1" applyProtection="1">
      <alignment horizontal="center" wrapText="1"/>
    </xf>
    <xf numFmtId="0" fontId="21" fillId="8" borderId="8" xfId="11" applyFont="1" applyFill="1" applyBorder="1" applyAlignment="1" applyProtection="1">
      <alignment horizontal="center" wrapText="1"/>
    </xf>
    <xf numFmtId="10" fontId="21" fillId="0" borderId="73" xfId="8" applyNumberFormat="1" applyFont="1" applyBorder="1" applyProtection="1"/>
    <xf numFmtId="10" fontId="21" fillId="0" borderId="74" xfId="8" applyNumberFormat="1" applyFont="1" applyBorder="1" applyProtection="1"/>
    <xf numFmtId="0" fontId="0" fillId="0" borderId="2" xfId="0" applyBorder="1" applyProtection="1"/>
    <xf numFmtId="0" fontId="0" fillId="0" borderId="36" xfId="0" applyBorder="1" applyProtection="1"/>
    <xf numFmtId="187" fontId="65" fillId="0" borderId="4" xfId="0" applyNumberFormat="1" applyFont="1" applyBorder="1" applyProtection="1"/>
    <xf numFmtId="187" fontId="65" fillId="0" borderId="36" xfId="0" applyNumberFormat="1" applyFont="1" applyBorder="1" applyProtection="1"/>
    <xf numFmtId="0" fontId="0" fillId="0" borderId="4" xfId="0" applyBorder="1" applyProtection="1"/>
    <xf numFmtId="0" fontId="21" fillId="0" borderId="2" xfId="0" applyFont="1" applyBorder="1" applyProtection="1"/>
    <xf numFmtId="0" fontId="21" fillId="0" borderId="36" xfId="0" applyFont="1" applyBorder="1" applyProtection="1"/>
    <xf numFmtId="10" fontId="21" fillId="0" borderId="4" xfId="8" applyNumberFormat="1" applyFont="1" applyBorder="1" applyProtection="1"/>
    <xf numFmtId="10" fontId="21" fillId="0" borderId="36" xfId="8" applyNumberFormat="1" applyFont="1" applyBorder="1" applyProtection="1"/>
    <xf numFmtId="0" fontId="21" fillId="0" borderId="3" xfId="0" applyFont="1" applyBorder="1" applyAlignment="1" applyProtection="1">
      <alignment horizontal="center"/>
    </xf>
    <xf numFmtId="0" fontId="21" fillId="0" borderId="41" xfId="0" applyFont="1" applyBorder="1" applyAlignment="1" applyProtection="1">
      <alignment horizontal="center"/>
    </xf>
    <xf numFmtId="187" fontId="65" fillId="0" borderId="16" xfId="0" applyNumberFormat="1" applyFont="1" applyBorder="1" applyAlignment="1" applyProtection="1">
      <alignment horizontal="center" vertical="top"/>
    </xf>
    <xf numFmtId="187" fontId="65" fillId="0" borderId="70" xfId="0" applyNumberFormat="1" applyFont="1" applyBorder="1" applyAlignment="1" applyProtection="1">
      <alignment horizontal="center" vertical="top"/>
    </xf>
    <xf numFmtId="0" fontId="18" fillId="8" borderId="69" xfId="0" applyFont="1" applyFill="1" applyBorder="1" applyAlignment="1" applyProtection="1">
      <alignment horizontal="center"/>
    </xf>
    <xf numFmtId="0" fontId="18" fillId="8" borderId="33" xfId="0" applyFont="1" applyFill="1" applyBorder="1" applyAlignment="1" applyProtection="1">
      <alignment horizontal="center"/>
    </xf>
    <xf numFmtId="0" fontId="18" fillId="8" borderId="34" xfId="0" applyFont="1" applyFill="1" applyBorder="1" applyAlignment="1" applyProtection="1">
      <alignment horizontal="center"/>
    </xf>
    <xf numFmtId="187" fontId="65" fillId="0" borderId="65" xfId="0" applyNumberFormat="1" applyFont="1" applyBorder="1" applyAlignment="1" applyProtection="1">
      <alignment horizontal="center" vertical="top"/>
    </xf>
    <xf numFmtId="187" fontId="65" fillId="0" borderId="71" xfId="0" applyNumberFormat="1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73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174" fontId="17" fillId="8" borderId="4" xfId="0" applyNumberFormat="1" applyFont="1" applyFill="1" applyBorder="1" applyAlignment="1" applyProtection="1">
      <alignment horizontal="center" wrapText="1"/>
    </xf>
    <xf numFmtId="174" fontId="17" fillId="8" borderId="5" xfId="0" applyNumberFormat="1" applyFont="1" applyFill="1" applyBorder="1" applyAlignment="1" applyProtection="1">
      <alignment horizontal="center" wrapText="1"/>
    </xf>
    <xf numFmtId="2" fontId="17" fillId="8" borderId="16" xfId="0" applyNumberFormat="1" applyFont="1" applyFill="1" applyBorder="1" applyAlignment="1" applyProtection="1">
      <alignment horizontal="center" vertical="center"/>
    </xf>
    <xf numFmtId="2" fontId="17" fillId="8" borderId="27" xfId="0" applyNumberFormat="1" applyFont="1" applyFill="1" applyBorder="1" applyAlignment="1" applyProtection="1">
      <alignment horizontal="center" vertical="center"/>
    </xf>
    <xf numFmtId="2" fontId="17" fillId="8" borderId="8" xfId="0" applyNumberFormat="1" applyFont="1" applyFill="1" applyBorder="1" applyAlignment="1" applyProtection="1">
      <alignment horizontal="center" vertical="center"/>
    </xf>
    <xf numFmtId="2" fontId="17" fillId="8" borderId="16" xfId="0" applyNumberFormat="1" applyFont="1" applyFill="1" applyBorder="1" applyAlignment="1" applyProtection="1">
      <alignment horizontal="center" vertical="center" wrapText="1"/>
    </xf>
    <xf numFmtId="2" fontId="17" fillId="8" borderId="27" xfId="0" applyNumberFormat="1" applyFont="1" applyFill="1" applyBorder="1" applyAlignment="1" applyProtection="1">
      <alignment horizontal="center" vertical="center" wrapText="1"/>
    </xf>
    <xf numFmtId="2" fontId="17" fillId="8" borderId="8" xfId="0" applyNumberFormat="1" applyFont="1" applyFill="1" applyBorder="1" applyAlignment="1" applyProtection="1">
      <alignment horizontal="center" vertical="center" wrapText="1"/>
    </xf>
    <xf numFmtId="187" fontId="17" fillId="8" borderId="16" xfId="9" applyNumberFormat="1" applyFont="1" applyFill="1" applyBorder="1" applyAlignment="1" applyProtection="1">
      <alignment horizontal="center" vertical="center" wrapText="1"/>
    </xf>
    <xf numFmtId="187" fontId="17" fillId="8" borderId="27" xfId="9" applyNumberFormat="1" applyFont="1" applyFill="1" applyBorder="1" applyAlignment="1" applyProtection="1">
      <alignment horizontal="center" vertical="center" wrapText="1"/>
    </xf>
    <xf numFmtId="187" fontId="17" fillId="8" borderId="8" xfId="9" applyNumberFormat="1" applyFont="1" applyFill="1" applyBorder="1" applyAlignment="1" applyProtection="1">
      <alignment horizontal="center" vertical="center" wrapText="1"/>
    </xf>
    <xf numFmtId="2" fontId="17" fillId="8" borderId="9" xfId="0" applyNumberFormat="1" applyFont="1" applyFill="1" applyBorder="1" applyAlignment="1" applyProtection="1">
      <alignment horizontal="center" vertical="center" wrapText="1"/>
    </xf>
    <xf numFmtId="2" fontId="17" fillId="8" borderId="10" xfId="0" applyNumberFormat="1" applyFont="1" applyFill="1" applyBorder="1" applyAlignment="1" applyProtection="1">
      <alignment horizontal="center" vertical="center" wrapText="1"/>
    </xf>
    <xf numFmtId="2" fontId="17" fillId="8" borderId="29" xfId="0" applyNumberFormat="1" applyFont="1" applyFill="1" applyBorder="1" applyAlignment="1" applyProtection="1">
      <alignment horizontal="center" vertical="center" wrapText="1"/>
    </xf>
    <xf numFmtId="2" fontId="17" fillId="8" borderId="11" xfId="0" applyNumberFormat="1" applyFont="1" applyFill="1" applyBorder="1" applyAlignment="1" applyProtection="1">
      <alignment horizontal="center" vertical="center" wrapText="1"/>
    </xf>
    <xf numFmtId="2" fontId="17" fillId="8" borderId="1" xfId="0" applyNumberFormat="1" applyFont="1" applyFill="1" applyBorder="1" applyAlignment="1" applyProtection="1">
      <alignment horizontal="center" vertical="center" wrapText="1"/>
    </xf>
    <xf numFmtId="2" fontId="17" fillId="8" borderId="12" xfId="0" applyNumberFormat="1" applyFont="1" applyFill="1" applyBorder="1" applyAlignment="1" applyProtection="1">
      <alignment horizontal="center" vertical="center" wrapText="1"/>
    </xf>
    <xf numFmtId="187" fontId="21" fillId="0" borderId="73" xfId="9" applyNumberFormat="1" applyFont="1" applyFill="1" applyBorder="1" applyAlignment="1" applyProtection="1">
      <alignment horizontal="left" vertical="top" wrapText="1"/>
    </xf>
    <xf numFmtId="187" fontId="21" fillId="0" borderId="66" xfId="9" applyNumberFormat="1" applyFont="1" applyFill="1" applyBorder="1" applyAlignment="1" applyProtection="1">
      <alignment horizontal="left" vertical="top" wrapText="1"/>
    </xf>
    <xf numFmtId="187" fontId="21" fillId="0" borderId="56" xfId="9" applyNumberFormat="1" applyFont="1" applyFill="1" applyBorder="1" applyAlignment="1" applyProtection="1">
      <alignment horizontal="left" vertical="top" wrapText="1"/>
    </xf>
    <xf numFmtId="187" fontId="21" fillId="0" borderId="30" xfId="9" applyNumberFormat="1" applyFont="1" applyFill="1" applyBorder="1" applyAlignment="1" applyProtection="1">
      <alignment horizontal="left" vertical="top" wrapText="1"/>
    </xf>
    <xf numFmtId="187" fontId="21" fillId="0" borderId="0" xfId="9" applyNumberFormat="1" applyFont="1" applyFill="1" applyBorder="1" applyAlignment="1" applyProtection="1">
      <alignment horizontal="left" vertical="top" wrapText="1"/>
    </xf>
    <xf numFmtId="187" fontId="21" fillId="0" borderId="11" xfId="9" applyNumberFormat="1" applyFont="1" applyFill="1" applyBorder="1" applyAlignment="1" applyProtection="1">
      <alignment horizontal="left" vertical="top" wrapText="1"/>
    </xf>
    <xf numFmtId="187" fontId="21" fillId="0" borderId="1" xfId="9" applyNumberFormat="1" applyFont="1" applyFill="1" applyBorder="1" applyAlignment="1" applyProtection="1">
      <alignment horizontal="left" vertical="top" wrapText="1"/>
    </xf>
    <xf numFmtId="187" fontId="21" fillId="35" borderId="30" xfId="9" applyNumberFormat="1" applyFont="1" applyFill="1" applyBorder="1" applyAlignment="1" applyProtection="1">
      <alignment horizontal="center" vertical="top"/>
      <protection locked="0"/>
    </xf>
    <xf numFmtId="187" fontId="21" fillId="35" borderId="0" xfId="9" applyNumberFormat="1" applyFont="1" applyFill="1" applyBorder="1" applyAlignment="1" applyProtection="1">
      <alignment horizontal="center" vertical="top"/>
      <protection locked="0"/>
    </xf>
    <xf numFmtId="187" fontId="21" fillId="35" borderId="37" xfId="9" applyNumberFormat="1" applyFont="1" applyFill="1" applyBorder="1" applyAlignment="1" applyProtection="1">
      <alignment horizontal="center" vertical="top"/>
      <protection locked="0"/>
    </xf>
    <xf numFmtId="187" fontId="21" fillId="35" borderId="11" xfId="9" applyNumberFormat="1" applyFont="1" applyFill="1" applyBorder="1" applyAlignment="1" applyProtection="1">
      <alignment horizontal="center" vertical="top"/>
      <protection locked="0"/>
    </xf>
    <xf numFmtId="187" fontId="21" fillId="35" borderId="1" xfId="9" applyNumberFormat="1" applyFont="1" applyFill="1" applyBorder="1" applyAlignment="1" applyProtection="1">
      <alignment horizontal="center" vertical="top"/>
      <protection locked="0"/>
    </xf>
    <xf numFmtId="187" fontId="21" fillId="35" borderId="39" xfId="9" applyNumberFormat="1" applyFont="1" applyFill="1" applyBorder="1" applyAlignment="1" applyProtection="1">
      <alignment horizontal="center" vertical="top"/>
      <protection locked="0"/>
    </xf>
    <xf numFmtId="0" fontId="22" fillId="0" borderId="17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/>
    </xf>
    <xf numFmtId="0" fontId="22" fillId="0" borderId="33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21" fillId="35" borderId="3" xfId="0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center"/>
    </xf>
    <xf numFmtId="0" fontId="21" fillId="35" borderId="4" xfId="0" applyFont="1" applyFill="1" applyBorder="1" applyAlignment="1" applyProtection="1">
      <alignment horizontal="left"/>
      <protection locked="0"/>
    </xf>
    <xf numFmtId="0" fontId="21" fillId="35" borderId="2" xfId="0" applyFont="1" applyFill="1" applyBorder="1" applyAlignment="1" applyProtection="1">
      <alignment horizontal="left"/>
      <protection locked="0"/>
    </xf>
    <xf numFmtId="187" fontId="21" fillId="0" borderId="16" xfId="9" applyNumberFormat="1" applyFont="1" applyBorder="1" applyProtection="1"/>
    <xf numFmtId="187" fontId="21" fillId="0" borderId="65" xfId="9" applyNumberFormat="1" applyFont="1" applyBorder="1" applyProtection="1"/>
    <xf numFmtId="0" fontId="20" fillId="0" borderId="4" xfId="0" applyFont="1" applyBorder="1" applyAlignment="1" applyProtection="1">
      <alignment horizontal="center"/>
    </xf>
    <xf numFmtId="0" fontId="20" fillId="0" borderId="36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187" fontId="21" fillId="6" borderId="11" xfId="9" applyNumberFormat="1" applyFont="1" applyFill="1" applyBorder="1" applyAlignment="1" applyProtection="1">
      <alignment horizontal="center"/>
      <protection locked="0"/>
    </xf>
    <xf numFmtId="187" fontId="21" fillId="6" borderId="39" xfId="9" applyNumberFormat="1" applyFont="1" applyFill="1" applyBorder="1" applyAlignment="1" applyProtection="1">
      <alignment horizontal="center"/>
      <protection locked="0"/>
    </xf>
    <xf numFmtId="187" fontId="20" fillId="6" borderId="3" xfId="9" applyNumberFormat="1" applyFont="1" applyFill="1" applyBorder="1" applyAlignment="1" applyProtection="1">
      <alignment horizontal="center"/>
      <protection locked="0"/>
    </xf>
    <xf numFmtId="187" fontId="20" fillId="6" borderId="53" xfId="9" applyNumberFormat="1" applyFont="1" applyFill="1" applyBorder="1" applyAlignment="1" applyProtection="1">
      <alignment horizontal="center"/>
      <protection locked="0"/>
    </xf>
    <xf numFmtId="187" fontId="18" fillId="8" borderId="3" xfId="9" applyNumberFormat="1" applyFont="1" applyFill="1" applyBorder="1" applyAlignment="1" applyProtection="1">
      <alignment horizontal="center" vertical="center"/>
    </xf>
    <xf numFmtId="187" fontId="18" fillId="8" borderId="53" xfId="9" applyNumberFormat="1" applyFont="1" applyFill="1" applyBorder="1" applyAlignment="1" applyProtection="1">
      <alignment horizontal="center" vertical="center"/>
    </xf>
    <xf numFmtId="0" fontId="18" fillId="8" borderId="52" xfId="0" applyFont="1" applyFill="1" applyBorder="1" applyAlignment="1" applyProtection="1">
      <alignment horizontal="center"/>
    </xf>
    <xf numFmtId="0" fontId="18" fillId="8" borderId="49" xfId="0" applyFont="1" applyFill="1" applyBorder="1" applyAlignment="1" applyProtection="1">
      <alignment horizontal="center"/>
    </xf>
    <xf numFmtId="0" fontId="18" fillId="8" borderId="50" xfId="0" applyFont="1" applyFill="1" applyBorder="1" applyAlignment="1" applyProtection="1">
      <alignment horizontal="center"/>
    </xf>
    <xf numFmtId="0" fontId="18" fillId="8" borderId="42" xfId="0" applyFont="1" applyFill="1" applyBorder="1" applyAlignment="1" applyProtection="1">
      <alignment horizontal="center"/>
    </xf>
    <xf numFmtId="0" fontId="84" fillId="0" borderId="0" xfId="0" applyFont="1" applyBorder="1" applyAlignment="1" applyProtection="1">
      <alignment horizontal="center"/>
    </xf>
    <xf numFmtId="0" fontId="21" fillId="0" borderId="8" xfId="95" applyFont="1" applyBorder="1" applyProtection="1"/>
    <xf numFmtId="0" fontId="21" fillId="0" borderId="3" xfId="95" applyFont="1" applyBorder="1" applyProtection="1"/>
    <xf numFmtId="0" fontId="21" fillId="0" borderId="11" xfId="95" applyFont="1" applyBorder="1" applyAlignment="1" applyProtection="1">
      <alignment horizontal="left"/>
    </xf>
    <xf numFmtId="0" fontId="21" fillId="0" borderId="1" xfId="95" applyFont="1" applyBorder="1" applyAlignment="1" applyProtection="1">
      <alignment horizontal="left"/>
    </xf>
    <xf numFmtId="0" fontId="21" fillId="0" borderId="12" xfId="95" applyFont="1" applyBorder="1" applyAlignment="1" applyProtection="1">
      <alignment horizontal="left"/>
    </xf>
    <xf numFmtId="187" fontId="18" fillId="8" borderId="9" xfId="9" applyNumberFormat="1" applyFont="1" applyFill="1" applyBorder="1" applyAlignment="1" applyProtection="1">
      <alignment horizontal="center" vertical="center"/>
    </xf>
    <xf numFmtId="187" fontId="18" fillId="8" borderId="11" xfId="9" applyNumberFormat="1" applyFont="1" applyFill="1" applyBorder="1" applyAlignment="1" applyProtection="1">
      <alignment horizontal="center" vertical="center"/>
    </xf>
    <xf numFmtId="187" fontId="20" fillId="6" borderId="11" xfId="9" applyNumberFormat="1" applyFont="1" applyFill="1" applyBorder="1" applyAlignment="1" applyProtection="1">
      <alignment horizontal="center"/>
      <protection locked="0"/>
    </xf>
    <xf numFmtId="187" fontId="20" fillId="6" borderId="39" xfId="9" applyNumberFormat="1" applyFont="1" applyFill="1" applyBorder="1" applyAlignment="1" applyProtection="1">
      <alignment horizontal="center"/>
      <protection locked="0"/>
    </xf>
    <xf numFmtId="0" fontId="21" fillId="6" borderId="73" xfId="0" applyFont="1" applyFill="1" applyBorder="1" applyAlignment="1" applyProtection="1">
      <alignment horizontal="center"/>
      <protection locked="0"/>
    </xf>
    <xf numFmtId="0" fontId="21" fillId="6" borderId="56" xfId="0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187" fontId="21" fillId="6" borderId="53" xfId="9" applyNumberFormat="1" applyFont="1" applyFill="1" applyBorder="1" applyAlignment="1" applyProtection="1">
      <alignment horizontal="center"/>
      <protection locked="0"/>
    </xf>
    <xf numFmtId="187" fontId="21" fillId="0" borderId="4" xfId="9" applyNumberFormat="1" applyFont="1" applyBorder="1" applyAlignment="1" applyProtection="1">
      <alignment horizontal="left"/>
    </xf>
    <xf numFmtId="187" fontId="21" fillId="0" borderId="2" xfId="9" applyNumberFormat="1" applyFont="1" applyBorder="1" applyAlignment="1" applyProtection="1">
      <alignment horizontal="left"/>
    </xf>
    <xf numFmtId="187" fontId="21" fillId="0" borderId="36" xfId="9" applyNumberFormat="1" applyFont="1" applyBorder="1" applyAlignment="1" applyProtection="1">
      <alignment horizontal="left"/>
    </xf>
    <xf numFmtId="187" fontId="18" fillId="8" borderId="38" xfId="9" applyNumberFormat="1" applyFont="1" applyFill="1" applyBorder="1" applyAlignment="1" applyProtection="1">
      <alignment horizontal="center" vertical="center"/>
    </xf>
    <xf numFmtId="187" fontId="18" fillId="8" borderId="39" xfId="9" applyNumberFormat="1" applyFont="1" applyFill="1" applyBorder="1" applyAlignment="1" applyProtection="1">
      <alignment horizontal="center" vertical="center"/>
    </xf>
    <xf numFmtId="0" fontId="21" fillId="8" borderId="4" xfId="6" applyFont="1" applyFill="1" applyBorder="1" applyAlignment="1" applyProtection="1">
      <alignment horizontal="center"/>
    </xf>
    <xf numFmtId="0" fontId="21" fillId="8" borderId="5" xfId="6" applyFont="1" applyFill="1" applyBorder="1" applyAlignment="1" applyProtection="1">
      <alignment horizontal="center"/>
    </xf>
    <xf numFmtId="1" fontId="21" fillId="0" borderId="4" xfId="6" applyNumberFormat="1" applyFont="1" applyFill="1" applyBorder="1" applyAlignment="1" applyProtection="1">
      <alignment horizontal="center"/>
    </xf>
    <xf numFmtId="1" fontId="21" fillId="0" borderId="5" xfId="6" applyNumberFormat="1" applyFont="1" applyFill="1" applyBorder="1" applyAlignment="1" applyProtection="1">
      <alignment horizontal="center"/>
    </xf>
    <xf numFmtId="0" fontId="21" fillId="0" borderId="5" xfId="6" applyFont="1" applyFill="1" applyBorder="1" applyAlignment="1" applyProtection="1">
      <alignment horizontal="center"/>
    </xf>
    <xf numFmtId="0" fontId="21" fillId="0" borderId="9" xfId="6" applyFont="1" applyFill="1" applyBorder="1" applyAlignment="1" applyProtection="1"/>
    <xf numFmtId="0" fontId="21" fillId="0" borderId="10" xfId="6" applyFont="1" applyFill="1" applyBorder="1" applyAlignment="1" applyProtection="1"/>
    <xf numFmtId="201" fontId="21" fillId="0" borderId="0" xfId="8" applyNumberFormat="1" applyFont="1" applyBorder="1" applyAlignment="1" applyProtection="1"/>
    <xf numFmtId="201" fontId="21" fillId="0" borderId="7" xfId="8" applyNumberFormat="1" applyFont="1" applyBorder="1" applyAlignment="1" applyProtection="1"/>
    <xf numFmtId="201" fontId="21" fillId="0" borderId="50" xfId="8" applyNumberFormat="1" applyFont="1" applyBorder="1" applyAlignment="1" applyProtection="1"/>
    <xf numFmtId="201" fontId="21" fillId="0" borderId="60" xfId="8" applyNumberFormat="1" applyFont="1" applyBorder="1" applyAlignment="1" applyProtection="1"/>
    <xf numFmtId="0" fontId="21" fillId="0" borderId="73" xfId="6" applyFont="1" applyFill="1" applyBorder="1" applyAlignment="1" applyProtection="1">
      <alignment horizontal="center"/>
    </xf>
    <xf numFmtId="0" fontId="21" fillId="0" borderId="66" xfId="6" applyFont="1" applyFill="1" applyBorder="1" applyAlignment="1" applyProtection="1">
      <alignment horizontal="center"/>
    </xf>
    <xf numFmtId="0" fontId="21" fillId="0" borderId="74" xfId="6" applyFont="1" applyFill="1" applyBorder="1" applyAlignment="1" applyProtection="1">
      <alignment horizontal="center"/>
    </xf>
    <xf numFmtId="14" fontId="21" fillId="0" borderId="11" xfId="6" applyNumberFormat="1" applyFont="1" applyFill="1" applyBorder="1" applyAlignment="1" applyProtection="1">
      <alignment horizontal="center"/>
    </xf>
    <xf numFmtId="0" fontId="21" fillId="0" borderId="12" xfId="6" applyFont="1" applyFill="1" applyBorder="1" applyAlignment="1" applyProtection="1">
      <alignment horizontal="center"/>
    </xf>
    <xf numFmtId="0" fontId="76" fillId="0" borderId="55" xfId="6" applyFont="1" applyFill="1" applyBorder="1" applyAlignment="1" applyProtection="1">
      <alignment horizontal="center"/>
    </xf>
    <xf numFmtId="0" fontId="76" fillId="0" borderId="12" xfId="6" applyFont="1" applyFill="1" applyBorder="1" applyAlignment="1" applyProtection="1">
      <alignment horizontal="center"/>
    </xf>
    <xf numFmtId="0" fontId="21" fillId="0" borderId="47" xfId="0" applyFont="1" applyBorder="1" applyAlignment="1" applyProtection="1"/>
    <xf numFmtId="0" fontId="21" fillId="0" borderId="0" xfId="0" applyFont="1" applyBorder="1" applyAlignment="1" applyProtection="1"/>
    <xf numFmtId="0" fontId="21" fillId="0" borderId="7" xfId="0" applyFont="1" applyBorder="1" applyAlignment="1" applyProtection="1"/>
    <xf numFmtId="0" fontId="21" fillId="0" borderId="47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wrapText="1"/>
    </xf>
    <xf numFmtId="0" fontId="21" fillId="0" borderId="7" xfId="0" applyFont="1" applyBorder="1" applyAlignment="1" applyProtection="1">
      <alignment horizontal="left" wrapText="1"/>
    </xf>
    <xf numFmtId="0" fontId="29" fillId="8" borderId="4" xfId="0" applyFont="1" applyFill="1" applyBorder="1" applyAlignment="1" applyProtection="1">
      <alignment horizontal="center"/>
    </xf>
    <xf numFmtId="0" fontId="29" fillId="8" borderId="2" xfId="0" applyFont="1" applyFill="1" applyBorder="1" applyAlignment="1" applyProtection="1">
      <alignment horizontal="center"/>
    </xf>
    <xf numFmtId="0" fontId="29" fillId="8" borderId="36" xfId="0" applyFont="1" applyFill="1" applyBorder="1" applyAlignment="1" applyProtection="1">
      <alignment horizontal="center"/>
    </xf>
    <xf numFmtId="0" fontId="21" fillId="0" borderId="0" xfId="0" applyFont="1" applyAlignment="1">
      <alignment horizontal="center" wrapText="1"/>
    </xf>
    <xf numFmtId="0" fontId="17" fillId="8" borderId="2" xfId="0" applyFont="1" applyFill="1" applyBorder="1" applyAlignment="1" applyProtection="1">
      <alignment horizontal="center"/>
    </xf>
    <xf numFmtId="37" fontId="17" fillId="8" borderId="101" xfId="85" applyFont="1" applyFill="1" applyBorder="1" applyAlignment="1" applyProtection="1">
      <alignment horizontal="center"/>
    </xf>
    <xf numFmtId="37" fontId="17" fillId="8" borderId="102" xfId="85" applyFont="1" applyFill="1" applyBorder="1" applyAlignment="1" applyProtection="1">
      <alignment horizontal="center"/>
    </xf>
    <xf numFmtId="37" fontId="17" fillId="8" borderId="103" xfId="85" applyFont="1" applyFill="1" applyBorder="1" applyAlignment="1" applyProtection="1">
      <alignment horizontal="center"/>
    </xf>
    <xf numFmtId="0" fontId="17" fillId="8" borderId="47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37" xfId="0" applyFont="1" applyFill="1" applyBorder="1" applyAlignment="1" applyProtection="1">
      <alignment horizontal="center" vertical="center"/>
    </xf>
    <xf numFmtId="0" fontId="17" fillId="8" borderId="55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7" fillId="8" borderId="39" xfId="0" applyFont="1" applyFill="1" applyBorder="1" applyAlignment="1" applyProtection="1">
      <alignment horizontal="center" vertical="center"/>
    </xf>
    <xf numFmtId="37" fontId="17" fillId="8" borderId="69" xfId="85" applyFont="1" applyFill="1" applyBorder="1" applyAlignment="1" applyProtection="1">
      <alignment horizontal="center"/>
    </xf>
    <xf numFmtId="37" fontId="17" fillId="8" borderId="33" xfId="85" applyFont="1" applyFill="1" applyBorder="1" applyAlignment="1" applyProtection="1">
      <alignment horizontal="center"/>
    </xf>
    <xf numFmtId="37" fontId="17" fillId="8" borderId="34" xfId="85" applyFont="1" applyFill="1" applyBorder="1" applyAlignment="1" applyProtection="1">
      <alignment horizontal="center"/>
    </xf>
    <xf numFmtId="177" fontId="18" fillId="8" borderId="11" xfId="0" applyNumberFormat="1" applyFont="1" applyFill="1" applyBorder="1" applyAlignment="1" applyProtection="1">
      <alignment horizontal="center" wrapText="1"/>
    </xf>
    <xf numFmtId="177" fontId="18" fillId="8" borderId="1" xfId="0" applyNumberFormat="1" applyFont="1" applyFill="1" applyBorder="1" applyAlignment="1" applyProtection="1">
      <alignment horizontal="center" wrapText="1"/>
    </xf>
    <xf numFmtId="0" fontId="18" fillId="8" borderId="64" xfId="0" applyFont="1" applyFill="1" applyBorder="1" applyAlignment="1" applyProtection="1">
      <alignment horizontal="center"/>
    </xf>
    <xf numFmtId="0" fontId="18" fillId="8" borderId="67" xfId="0" applyFont="1" applyFill="1" applyBorder="1" applyAlignment="1" applyProtection="1">
      <alignment horizontal="center"/>
    </xf>
    <xf numFmtId="2" fontId="18" fillId="8" borderId="29" xfId="0" applyNumberFormat="1" applyFont="1" applyFill="1" applyBorder="1" applyAlignment="1" applyProtection="1">
      <alignment horizontal="center"/>
    </xf>
    <xf numFmtId="2" fontId="18" fillId="8" borderId="12" xfId="0" applyNumberFormat="1" applyFont="1" applyFill="1" applyBorder="1" applyAlignment="1" applyProtection="1">
      <alignment horizontal="center"/>
    </xf>
    <xf numFmtId="37" fontId="17" fillId="8" borderId="55" xfId="85" applyFont="1" applyFill="1" applyBorder="1" applyAlignment="1" applyProtection="1">
      <alignment horizontal="center"/>
    </xf>
    <xf numFmtId="37" fontId="17" fillId="8" borderId="1" xfId="85" applyFont="1" applyFill="1" applyBorder="1" applyAlignment="1" applyProtection="1">
      <alignment horizontal="center"/>
    </xf>
    <xf numFmtId="37" fontId="17" fillId="8" borderId="39" xfId="85" applyFont="1" applyFill="1" applyBorder="1" applyAlignment="1" applyProtection="1">
      <alignment horizontal="center"/>
    </xf>
    <xf numFmtId="37" fontId="17" fillId="8" borderId="52" xfId="85" applyFont="1" applyFill="1" applyBorder="1" applyAlignment="1" applyProtection="1">
      <alignment horizontal="center"/>
    </xf>
    <xf numFmtId="37" fontId="17" fillId="8" borderId="2" xfId="85" applyFont="1" applyFill="1" applyBorder="1" applyAlignment="1" applyProtection="1">
      <alignment horizontal="center"/>
    </xf>
    <xf numFmtId="37" fontId="17" fillId="8" borderId="36" xfId="85" applyFont="1" applyFill="1" applyBorder="1" applyAlignment="1" applyProtection="1">
      <alignment horizontal="center"/>
    </xf>
    <xf numFmtId="2" fontId="21" fillId="8" borderId="4" xfId="0" applyNumberFormat="1" applyFont="1" applyFill="1" applyBorder="1" applyAlignment="1" applyProtection="1">
      <alignment horizontal="center"/>
    </xf>
    <xf numFmtId="2" fontId="21" fillId="8" borderId="2" xfId="0" applyNumberFormat="1" applyFont="1" applyFill="1" applyBorder="1" applyAlignment="1" applyProtection="1">
      <alignment horizontal="center"/>
    </xf>
    <xf numFmtId="2" fontId="21" fillId="8" borderId="5" xfId="0" applyNumberFormat="1" applyFont="1" applyFill="1" applyBorder="1" applyAlignment="1" applyProtection="1">
      <alignment horizontal="center"/>
    </xf>
    <xf numFmtId="1" fontId="18" fillId="8" borderId="31" xfId="0" applyNumberFormat="1" applyFont="1" applyFill="1" applyBorder="1" applyAlignment="1" applyProtection="1">
      <alignment horizontal="center"/>
    </xf>
    <xf numFmtId="1" fontId="18" fillId="8" borderId="59" xfId="0" applyNumberFormat="1" applyFont="1" applyFill="1" applyBorder="1" applyAlignment="1" applyProtection="1">
      <alignment horizontal="center"/>
    </xf>
    <xf numFmtId="1" fontId="18" fillId="8" borderId="32" xfId="0" applyNumberFormat="1" applyFont="1" applyFill="1" applyBorder="1" applyAlignment="1" applyProtection="1">
      <alignment horizontal="center"/>
    </xf>
    <xf numFmtId="1" fontId="18" fillId="8" borderId="57" xfId="0" applyNumberFormat="1" applyFont="1" applyFill="1" applyBorder="1" applyAlignment="1" applyProtection="1">
      <alignment horizontal="center"/>
    </xf>
    <xf numFmtId="1" fontId="18" fillId="8" borderId="69" xfId="0" applyNumberFormat="1" applyFont="1" applyFill="1" applyBorder="1" applyAlignment="1" applyProtection="1">
      <alignment horizontal="center"/>
    </xf>
    <xf numFmtId="1" fontId="18" fillId="8" borderId="33" xfId="0" applyNumberFormat="1" applyFont="1" applyFill="1" applyBorder="1" applyAlignment="1" applyProtection="1">
      <alignment horizontal="center"/>
    </xf>
    <xf numFmtId="1" fontId="18" fillId="8" borderId="34" xfId="0" applyNumberFormat="1" applyFont="1" applyFill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center" wrapText="1"/>
    </xf>
    <xf numFmtId="14" fontId="21" fillId="8" borderId="3" xfId="0" applyNumberFormat="1" applyFont="1" applyFill="1" applyBorder="1" applyAlignment="1" applyProtection="1">
      <alignment horizontal="center" wrapText="1"/>
    </xf>
    <xf numFmtId="0" fontId="21" fillId="8" borderId="16" xfId="0" applyFont="1" applyFill="1" applyBorder="1" applyAlignment="1" applyProtection="1">
      <alignment horizontal="center" wrapText="1"/>
    </xf>
    <xf numFmtId="0" fontId="30" fillId="0" borderId="0" xfId="104" applyAlignment="1">
      <alignment horizontal="center" wrapText="1"/>
    </xf>
  </cellXfs>
  <cellStyles count="121">
    <cellStyle name="£ BP" xfId="12" xr:uid="{00000000-0005-0000-0000-000000000000}"/>
    <cellStyle name="¥ JY" xfId="13" xr:uid="{00000000-0005-0000-0000-000001000000}"/>
    <cellStyle name="20% - Accent1 2" xfId="47" xr:uid="{00000000-0005-0000-0000-000002000000}"/>
    <cellStyle name="20% - Accent2 2" xfId="48" xr:uid="{00000000-0005-0000-0000-000003000000}"/>
    <cellStyle name="20% - Accent3 2" xfId="49" xr:uid="{00000000-0005-0000-0000-000004000000}"/>
    <cellStyle name="20% - Accent4 2" xfId="50" xr:uid="{00000000-0005-0000-0000-000005000000}"/>
    <cellStyle name="20% - Accent5 2" xfId="51" xr:uid="{00000000-0005-0000-0000-000006000000}"/>
    <cellStyle name="20% - Accent6 2" xfId="52" xr:uid="{00000000-0005-0000-0000-000007000000}"/>
    <cellStyle name="40% - Accent1 2" xfId="53" xr:uid="{00000000-0005-0000-0000-000008000000}"/>
    <cellStyle name="40% - Accent2 2" xfId="54" xr:uid="{00000000-0005-0000-0000-000009000000}"/>
    <cellStyle name="40% - Accent3 2" xfId="55" xr:uid="{00000000-0005-0000-0000-00000A000000}"/>
    <cellStyle name="40% - Accent4 2" xfId="56" xr:uid="{00000000-0005-0000-0000-00000B000000}"/>
    <cellStyle name="40% - Accent5 2" xfId="57" xr:uid="{00000000-0005-0000-0000-00000C000000}"/>
    <cellStyle name="40% - Accent6 2" xfId="58" xr:uid="{00000000-0005-0000-0000-00000D000000}"/>
    <cellStyle name="60% - Accent1 2" xfId="59" xr:uid="{00000000-0005-0000-0000-00000E000000}"/>
    <cellStyle name="60% - Accent2 2" xfId="60" xr:uid="{00000000-0005-0000-0000-00000F000000}"/>
    <cellStyle name="60% - Accent3 2" xfId="61" xr:uid="{00000000-0005-0000-0000-000010000000}"/>
    <cellStyle name="60% - Accent4 2" xfId="62" xr:uid="{00000000-0005-0000-0000-000011000000}"/>
    <cellStyle name="60% - Accent5 2" xfId="63" xr:uid="{00000000-0005-0000-0000-000012000000}"/>
    <cellStyle name="60% - Accent6 2" xfId="64" xr:uid="{00000000-0005-0000-0000-000013000000}"/>
    <cellStyle name="aa  review" xfId="1" xr:uid="{00000000-0005-0000-0000-000014000000}"/>
    <cellStyle name="aa Input" xfId="2" xr:uid="{00000000-0005-0000-0000-000015000000}"/>
    <cellStyle name="aa not entered" xfId="3" xr:uid="{00000000-0005-0000-0000-000016000000}"/>
    <cellStyle name="Accent1 2" xfId="65" xr:uid="{00000000-0005-0000-0000-000017000000}"/>
    <cellStyle name="Accent2 2" xfId="66" xr:uid="{00000000-0005-0000-0000-000018000000}"/>
    <cellStyle name="Accent3 2" xfId="67" xr:uid="{00000000-0005-0000-0000-000019000000}"/>
    <cellStyle name="Accent4 2" xfId="68" xr:uid="{00000000-0005-0000-0000-00001A000000}"/>
    <cellStyle name="Accent5 2" xfId="69" xr:uid="{00000000-0005-0000-0000-00001B000000}"/>
    <cellStyle name="Accent6 2" xfId="70" xr:uid="{00000000-0005-0000-0000-00001C000000}"/>
    <cellStyle name="Bad" xfId="4" builtinId="27"/>
    <cellStyle name="Bad 2" xfId="71" xr:uid="{00000000-0005-0000-0000-00001E000000}"/>
    <cellStyle name="Bold/Border" xfId="14" xr:uid="{00000000-0005-0000-0000-00001F000000}"/>
    <cellStyle name="Bullet" xfId="15" xr:uid="{00000000-0005-0000-0000-000020000000}"/>
    <cellStyle name="Calculation 2" xfId="72" xr:uid="{00000000-0005-0000-0000-000021000000}"/>
    <cellStyle name="Check Cell 2" xfId="73" xr:uid="{00000000-0005-0000-0000-000022000000}"/>
    <cellStyle name="Comma" xfId="9" builtinId="3"/>
    <cellStyle name="Comma  - Style1" xfId="17" xr:uid="{00000000-0005-0000-0000-000024000000}"/>
    <cellStyle name="Comma  - Style2" xfId="18" xr:uid="{00000000-0005-0000-0000-000025000000}"/>
    <cellStyle name="Comma  - Style3" xfId="19" xr:uid="{00000000-0005-0000-0000-000026000000}"/>
    <cellStyle name="Comma  - Style4" xfId="20" xr:uid="{00000000-0005-0000-0000-000027000000}"/>
    <cellStyle name="Comma  - Style5" xfId="21" xr:uid="{00000000-0005-0000-0000-000028000000}"/>
    <cellStyle name="Comma  - Style6" xfId="22" xr:uid="{00000000-0005-0000-0000-000029000000}"/>
    <cellStyle name="Comma  - Style7" xfId="23" xr:uid="{00000000-0005-0000-0000-00002A000000}"/>
    <cellStyle name="Comma  - Style8" xfId="24" xr:uid="{00000000-0005-0000-0000-00002B000000}"/>
    <cellStyle name="Comma 10" xfId="120" xr:uid="{9B1627C4-AE86-064C-B817-107464E4C14B}"/>
    <cellStyle name="Comma 2" xfId="16" xr:uid="{00000000-0005-0000-0000-00002C000000}"/>
    <cellStyle name="Comma 3" xfId="96" xr:uid="{00000000-0005-0000-0000-00002D000000}"/>
    <cellStyle name="Comma 4" xfId="99" xr:uid="{00000000-0005-0000-0000-00002E000000}"/>
    <cellStyle name="Comma 5" xfId="102" xr:uid="{00000000-0005-0000-0000-00002F000000}"/>
    <cellStyle name="Comma 6" xfId="105" xr:uid="{00000000-0005-0000-0000-000030000000}"/>
    <cellStyle name="Comma 7" xfId="108" xr:uid="{00000000-0005-0000-0000-000031000000}"/>
    <cellStyle name="Comma 8" xfId="111" xr:uid="{00000000-0005-0000-0000-000032000000}"/>
    <cellStyle name="Comma 9" xfId="112" xr:uid="{00000000-0005-0000-0000-000033000000}"/>
    <cellStyle name="Comma0" xfId="25" xr:uid="{00000000-0005-0000-0000-000034000000}"/>
    <cellStyle name="Currency" xfId="5" builtinId="4"/>
    <cellStyle name="Currency 2" xfId="26" xr:uid="{00000000-0005-0000-0000-000036000000}"/>
    <cellStyle name="Currency 3" xfId="119" xr:uid="{DDEB54D5-7C08-B440-9A02-966D353DADA6}"/>
    <cellStyle name="Currency0" xfId="27" xr:uid="{00000000-0005-0000-0000-000037000000}"/>
    <cellStyle name="DATE" xfId="28" xr:uid="{00000000-0005-0000-0000-000038000000}"/>
    <cellStyle name="Euro" xfId="74" xr:uid="{00000000-0005-0000-0000-000039000000}"/>
    <cellStyle name="Explanatory Text 2" xfId="75" xr:uid="{00000000-0005-0000-0000-00003A000000}"/>
    <cellStyle name="Fixed" xfId="29" xr:uid="{00000000-0005-0000-0000-00003B000000}"/>
    <cellStyle name="FORMULA" xfId="30" xr:uid="{00000000-0005-0000-0000-00003C000000}"/>
    <cellStyle name="Good 2" xfId="76" xr:uid="{00000000-0005-0000-0000-00003D000000}"/>
    <cellStyle name="Grey" xfId="31" xr:uid="{00000000-0005-0000-0000-00003E000000}"/>
    <cellStyle name="Header1" xfId="32" xr:uid="{00000000-0005-0000-0000-00003F000000}"/>
    <cellStyle name="Header2" xfId="33" xr:uid="{00000000-0005-0000-0000-000040000000}"/>
    <cellStyle name="Heading 1 2" xfId="34" xr:uid="{00000000-0005-0000-0000-000041000000}"/>
    <cellStyle name="Heading 1 3" xfId="77" xr:uid="{00000000-0005-0000-0000-000042000000}"/>
    <cellStyle name="Heading 2 2" xfId="35" xr:uid="{00000000-0005-0000-0000-000043000000}"/>
    <cellStyle name="Heading 2 3" xfId="78" xr:uid="{00000000-0005-0000-0000-000044000000}"/>
    <cellStyle name="Heading 3 2" xfId="79" xr:uid="{00000000-0005-0000-0000-000045000000}"/>
    <cellStyle name="Heading 4 2" xfId="80" xr:uid="{00000000-0005-0000-0000-000046000000}"/>
    <cellStyle name="HIDE" xfId="36" xr:uid="{00000000-0005-0000-0000-000047000000}"/>
    <cellStyle name="Hyperlink" xfId="10" builtinId="8"/>
    <cellStyle name="INPUT 2" xfId="37" xr:uid="{00000000-0005-0000-0000-000049000000}"/>
    <cellStyle name="Input 3" xfId="81" xr:uid="{00000000-0005-0000-0000-00004A000000}"/>
    <cellStyle name="Input 4" xfId="93" xr:uid="{00000000-0005-0000-0000-00004B000000}"/>
    <cellStyle name="Jack Number Format" xfId="82" xr:uid="{00000000-0005-0000-0000-00004C000000}"/>
    <cellStyle name="LINK" xfId="38" xr:uid="{00000000-0005-0000-0000-00004D000000}"/>
    <cellStyle name="Linked Cell 2" xfId="83" xr:uid="{00000000-0005-0000-0000-00004E000000}"/>
    <cellStyle name="Neutral 2" xfId="84" xr:uid="{00000000-0005-0000-0000-00004F000000}"/>
    <cellStyle name="Nor@„l_IRRSENS" xfId="39" xr:uid="{00000000-0005-0000-0000-000050000000}"/>
    <cellStyle name="Normal" xfId="0" builtinId="0"/>
    <cellStyle name="Normal - Style1" xfId="40" xr:uid="{00000000-0005-0000-0000-000052000000}"/>
    <cellStyle name="Normal 10" xfId="110" xr:uid="{00000000-0005-0000-0000-000053000000}"/>
    <cellStyle name="Normal 11" xfId="114" xr:uid="{00000000-0005-0000-0000-000054000000}"/>
    <cellStyle name="Normal 12" xfId="116" xr:uid="{34F1DD90-44B9-6A47-A73B-815DF42CE8CF}"/>
    <cellStyle name="Normal 2" xfId="11" xr:uid="{00000000-0005-0000-0000-000055000000}"/>
    <cellStyle name="Normal 3" xfId="46" xr:uid="{00000000-0005-0000-0000-000056000000}"/>
    <cellStyle name="Normal 4" xfId="92" xr:uid="{00000000-0005-0000-0000-000057000000}"/>
    <cellStyle name="Normal 5" xfId="95" xr:uid="{00000000-0005-0000-0000-000058000000}"/>
    <cellStyle name="Normal 6" xfId="98" xr:uid="{00000000-0005-0000-0000-000059000000}"/>
    <cellStyle name="Normal 6 2" xfId="118" xr:uid="{8CB43D39-A7EB-A341-A5F4-D2EBA35769D1}"/>
    <cellStyle name="Normal 7" xfId="100" xr:uid="{00000000-0005-0000-0000-00005A000000}"/>
    <cellStyle name="Normal 7 2" xfId="117" xr:uid="{42C82213-77AA-EC45-A010-090D78F3ADB2}"/>
    <cellStyle name="Normal 8" xfId="104" xr:uid="{00000000-0005-0000-0000-00005B000000}"/>
    <cellStyle name="Normal 9" xfId="107" xr:uid="{00000000-0005-0000-0000-00005C000000}"/>
    <cellStyle name="Normal_eBrookview-Pro Forma-97" xfId="6" xr:uid="{00000000-0005-0000-0000-00005D000000}"/>
    <cellStyle name="Normal_NHDC Predev" xfId="7" xr:uid="{00000000-0005-0000-0000-00005E000000}"/>
    <cellStyle name="Normal_Pomeroy_SS1-Bid-Scenario1-03-16-10" xfId="85" xr:uid="{00000000-0005-0000-0000-00005F000000}"/>
    <cellStyle name="Note 2" xfId="86" xr:uid="{00000000-0005-0000-0000-000060000000}"/>
    <cellStyle name="Output 2" xfId="87" xr:uid="{00000000-0005-0000-0000-000061000000}"/>
    <cellStyle name="OVERWRITE" xfId="41" xr:uid="{00000000-0005-0000-0000-000062000000}"/>
    <cellStyle name="Percent" xfId="8" builtinId="5"/>
    <cellStyle name="Percent [2]" xfId="43" xr:uid="{00000000-0005-0000-0000-000064000000}"/>
    <cellStyle name="Percent 10" xfId="113" xr:uid="{00000000-0005-0000-0000-000065000000}"/>
    <cellStyle name="Percent 11" xfId="115" xr:uid="{00000000-0005-0000-0000-000066000000}"/>
    <cellStyle name="Percent 2" xfId="42" xr:uid="{00000000-0005-0000-0000-000067000000}"/>
    <cellStyle name="Percent 3" xfId="88" xr:uid="{00000000-0005-0000-0000-000068000000}"/>
    <cellStyle name="Percent 4" xfId="94" xr:uid="{00000000-0005-0000-0000-000069000000}"/>
    <cellStyle name="Percent 5" xfId="97" xr:uid="{00000000-0005-0000-0000-00006A000000}"/>
    <cellStyle name="Percent 6" xfId="101" xr:uid="{00000000-0005-0000-0000-00006B000000}"/>
    <cellStyle name="Percent 7" xfId="103" xr:uid="{00000000-0005-0000-0000-00006C000000}"/>
    <cellStyle name="Percent 8" xfId="106" xr:uid="{00000000-0005-0000-0000-00006D000000}"/>
    <cellStyle name="Percent 9" xfId="109" xr:uid="{00000000-0005-0000-0000-00006E000000}"/>
    <cellStyle name="Standard_JT 19 ergänzt" xfId="44" xr:uid="{00000000-0005-0000-0000-00006F000000}"/>
    <cellStyle name="Title 2" xfId="89" xr:uid="{00000000-0005-0000-0000-000070000000}"/>
    <cellStyle name="Total 2" xfId="45" xr:uid="{00000000-0005-0000-0000-000071000000}"/>
    <cellStyle name="Total 3" xfId="90" xr:uid="{00000000-0005-0000-0000-000072000000}"/>
    <cellStyle name="Warning Text 2" xfId="91" xr:uid="{00000000-0005-0000-0000-000073000000}"/>
  </cellStyles>
  <dxfs count="40"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  <color rgb="FFFF75CD"/>
      <color rgb="FF53FFDD"/>
      <color rgb="FFFFF58C"/>
      <color rgb="FFFFC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3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4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5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6.xml><?xml version="1.0" encoding="utf-8"?>
<formControlPr xmlns="http://schemas.microsoft.com/office/spreadsheetml/2009/9/main" objectType="Drop" dropLines="12" dropStyle="combo" dx="16" fmlaLink="$D$60" fmlaRange="Tariffs!$B$274:$B$285" noThreeD="1" sel="1" val="0"/>
</file>

<file path=xl/ctrlProps/ctrlProp7.xml><?xml version="1.0" encoding="utf-8"?>
<formControlPr xmlns="http://schemas.microsoft.com/office/spreadsheetml/2009/9/main" objectType="Drop" dropLines="12" dropStyle="combo" dx="16" fmlaLink="$D$63" fmlaRange="Tariffs!$B$274:$B$285" noThreeD="1" sel="12" val="0"/>
</file>

<file path=xl/ctrlProps/ctrlProp8.xml><?xml version="1.0" encoding="utf-8"?>
<formControlPr xmlns="http://schemas.microsoft.com/office/spreadsheetml/2009/9/main" objectType="Drop" dropLines="12" dropStyle="combo" dx="16" fmlaLink="$F$60" fmlaRange="Tariffs!$B$274:$B$285" noThreeD="1" sel="1" val="0"/>
</file>

<file path=xl/ctrlProps/ctrlProp9.xml><?xml version="1.0" encoding="utf-8"?>
<formControlPr xmlns="http://schemas.microsoft.com/office/spreadsheetml/2009/9/main" objectType="Drop" dropLines="12" dropStyle="combo" dx="16" fmlaLink="$F$63" fmlaRange="Tariffs!$B$274:$B$285" noThreeD="1" sel="12" val="0"/>
</file>

<file path=xl/ctrlProps/ctrlProp10.xml><?xml version="1.0" encoding="utf-8"?>
<formControlPr xmlns="http://schemas.microsoft.com/office/spreadsheetml/2009/9/main" objectType="CheckBox" fmlaLink="$F$51" lockText="1" noThreeD="1"/>
</file>

<file path=xl/ctrlProps/ctrlProp11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12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13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14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15.xml><?xml version="1.0" encoding="utf-8"?>
<formControlPr xmlns="http://schemas.microsoft.com/office/spreadsheetml/2009/9/main" objectType="Drop" dropLines="4" dropStyle="combo" dx="16" fmlaLink="$F$102" fmlaRange="Tariffs!$B$288:$B$291" noThreeD="1" sel="1" val="0"/>
</file>

<file path=xl/ctrlProps/ctrlProp16.xml><?xml version="1.0" encoding="utf-8"?>
<formControlPr xmlns="http://schemas.microsoft.com/office/spreadsheetml/2009/9/main" objectType="Drop" dropLines="4" dropStyle="combo" dx="16" fmlaLink="$F$189" fmlaRange="Tariffs!$B$294:$B$295" noThreeD="1" sel="1" val="0"/>
</file>

<file path=xl/ctrlProps/ctrlProp17.xml><?xml version="1.0" encoding="utf-8"?>
<formControlPr xmlns="http://schemas.microsoft.com/office/spreadsheetml/2009/9/main" objectType="Drop" dropLines="4" dropStyle="combo" dx="16" fmlaLink="$F$215" fmlaRange="Tariffs!$B$294:$B$295" noThreeD="1" sel="1" val="0"/>
</file>

<file path=xl/ctrlProps/ctrlProp18.xml><?xml version="1.0" encoding="utf-8"?>
<formControlPr xmlns="http://schemas.microsoft.com/office/spreadsheetml/2009/9/main" objectType="CheckBox" fmlaLink="$F$208" lockText="1" noThreeD="1"/>
</file>

<file path=xl/ctrlProps/ctrlProp19.xml><?xml version="1.0" encoding="utf-8"?>
<formControlPr xmlns="http://schemas.microsoft.com/office/spreadsheetml/2009/9/main" objectType="Drop" dropLines="12" dropStyle="combo" dx="16" fmlaLink="$D$13" fmlaRange="$B$274:$B$285" noThreeD="1" sel="1" val="0"/>
</file>

<file path=xl/ctrlProps/ctrlProp20.xml><?xml version="1.0" encoding="utf-8"?>
<formControlPr xmlns="http://schemas.microsoft.com/office/spreadsheetml/2009/9/main" objectType="Drop" dropLines="12" dropStyle="combo" dx="16" fmlaLink="$D$16" fmlaRange="$B$274:$B$285" noThreeD="1" sel="12" val="0"/>
</file>

<file path=xl/ctrlProps/ctrlProp21.xml><?xml version="1.0" encoding="utf-8"?>
<formControlPr xmlns="http://schemas.microsoft.com/office/spreadsheetml/2009/9/main" objectType="Drop" dropLines="12" dropStyle="combo" dx="16" fmlaLink="$F$13" fmlaRange="$B$274:$B$285" noThreeD="1" sel="1" val="0"/>
</file>

<file path=xl/ctrlProps/ctrlProp22.xml><?xml version="1.0" encoding="utf-8"?>
<formControlPr xmlns="http://schemas.microsoft.com/office/spreadsheetml/2009/9/main" objectType="Drop" dropLines="12" dropStyle="combo" dx="16" fmlaLink="$F$16" fmlaRange="$B$274:$B$285" noThreeD="1" sel="12" val="0"/>
</file>

<file path=xl/ctrlProps/ctrlProp23.xml><?xml version="1.0" encoding="utf-8"?>
<formControlPr xmlns="http://schemas.microsoft.com/office/spreadsheetml/2009/9/main" objectType="Drop" dropLines="12" dropStyle="combo" dx="16" fmlaLink="$D$60" fmlaRange="$B$274:$B$285" noThreeD="1" sel="1" val="0"/>
</file>

<file path=xl/ctrlProps/ctrlProp24.xml><?xml version="1.0" encoding="utf-8"?>
<formControlPr xmlns="http://schemas.microsoft.com/office/spreadsheetml/2009/9/main" objectType="Drop" dropLines="12" dropStyle="combo" dx="16" fmlaLink="$D$63" fmlaRange="$B$274:$B$285" noThreeD="1" sel="12" val="0"/>
</file>

<file path=xl/ctrlProps/ctrlProp25.xml><?xml version="1.0" encoding="utf-8"?>
<formControlPr xmlns="http://schemas.microsoft.com/office/spreadsheetml/2009/9/main" objectType="Drop" dropLines="12" dropStyle="combo" dx="16" fmlaLink="$F$60" fmlaRange="$B$274:$B$285" noThreeD="1" sel="1" val="0"/>
</file>

<file path=xl/ctrlProps/ctrlProp26.xml><?xml version="1.0" encoding="utf-8"?>
<formControlPr xmlns="http://schemas.microsoft.com/office/spreadsheetml/2009/9/main" objectType="Drop" dropLines="12" dropStyle="combo" dx="16" fmlaLink="$F$63" fmlaRange="$B$274:$B$285" noThreeD="1" sel="12" val="0"/>
</file>

<file path=xl/ctrlProps/ctrlProp27.xml><?xml version="1.0" encoding="utf-8"?>
<formControlPr xmlns="http://schemas.microsoft.com/office/spreadsheetml/2009/9/main" objectType="CheckBox" fmlaLink="$F$51" lockText="1" noThreeD="1"/>
</file>

<file path=xl/ctrlProps/ctrlProp28.xml><?xml version="1.0" encoding="utf-8"?>
<formControlPr xmlns="http://schemas.microsoft.com/office/spreadsheetml/2009/9/main" objectType="Drop" dropLines="12" dropStyle="combo" dx="16" fmlaLink="$D$105" fmlaRange="$B$274:$B$285" noThreeD="1" sel="1" val="0"/>
</file>

<file path=xl/ctrlProps/ctrlProp29.xml><?xml version="1.0" encoding="utf-8"?>
<formControlPr xmlns="http://schemas.microsoft.com/office/spreadsheetml/2009/9/main" objectType="Drop" dropLines="12" dropStyle="combo" dx="16" fmlaLink="$D$108" fmlaRange="$B$274:$B$285" noThreeD="1" sel="12" val="0"/>
</file>

<file path=xl/ctrlProps/ctrlProp30.xml><?xml version="1.0" encoding="utf-8"?>
<formControlPr xmlns="http://schemas.microsoft.com/office/spreadsheetml/2009/9/main" objectType="Drop" dropLines="12" dropStyle="combo" dx="16" fmlaLink="$F$105" fmlaRange="$B$274:$B$285" noThreeD="1" sel="1" val="0"/>
</file>

<file path=xl/ctrlProps/ctrlProp31.xml><?xml version="1.0" encoding="utf-8"?>
<formControlPr xmlns="http://schemas.microsoft.com/office/spreadsheetml/2009/9/main" objectType="Drop" dropLines="12" dropStyle="combo" dx="16" fmlaLink="$F$108" fmlaRange="$B$274:$B$285" noThreeD="1" sel="12" val="0"/>
</file>

<file path=xl/ctrlProps/ctrlProp32.xml><?xml version="1.0" encoding="utf-8"?>
<formControlPr xmlns="http://schemas.microsoft.com/office/spreadsheetml/2009/9/main" objectType="Drop" dropLines="4" dropStyle="combo" dx="16" fmlaLink="$F$102" fmlaRange="$B$288:$B$291" noThreeD="1" sel="1" val="0"/>
</file>

<file path=xl/ctrlProps/ctrlProp33.xml><?xml version="1.0" encoding="utf-8"?>
<formControlPr xmlns="http://schemas.microsoft.com/office/spreadsheetml/2009/9/main" objectType="Drop" dropLines="4" dropStyle="combo" dx="16" fmlaLink="$F$189" fmlaRange="$B$294:$B$295" noThreeD="1" sel="1" val="0"/>
</file>

<file path=xl/ctrlProps/ctrlProp34.xml><?xml version="1.0" encoding="utf-8"?>
<formControlPr xmlns="http://schemas.microsoft.com/office/spreadsheetml/2009/9/main" objectType="Drop" dropLines="4" dropStyle="combo" dx="16" fmlaLink="$F$215" fmlaRange="$B$294:$B$295" noThreeD="1" sel="1" val="0"/>
</file>

<file path=xl/ctrlProps/ctrlProp35.xml><?xml version="1.0" encoding="utf-8"?>
<formControlPr xmlns="http://schemas.microsoft.com/office/spreadsheetml/2009/9/main" objectType="CheckBox" fmlaLink="$F$208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K$18" lockText="1" noThreeD="1"/>
</file>

<file path=xl/ctrlProps/ctrlProp38.xml><?xml version="1.0" encoding="utf-8"?>
<formControlPr xmlns="http://schemas.microsoft.com/office/spreadsheetml/2009/9/main" objectType="CheckBox" fmlaLink="$I$110" lockText="1" noThreeD="1"/>
</file>

<file path=xl/ctrlProps/ctrlProp39.xml><?xml version="1.0" encoding="utf-8"?>
<formControlPr xmlns="http://schemas.microsoft.com/office/spreadsheetml/2009/9/main" objectType="CheckBox" fmlaLink="$K$110" lockText="1" noThreeD="1"/>
</file>

<file path=xl/ctrlProps/ctrlProp40.xml><?xml version="1.0" encoding="utf-8"?>
<formControlPr xmlns="http://schemas.microsoft.com/office/spreadsheetml/2009/9/main" objectType="CheckBox" fmlaLink="$I$65" lockText="1" noThreeD="1"/>
</file>

<file path=xl/ctrlProps/ctrlProp41.xml><?xml version="1.0" encoding="utf-8"?>
<formControlPr xmlns="http://schemas.microsoft.com/office/spreadsheetml/2009/9/main" objectType="CheckBox" fmlaLink="$K$65" lockText="1" noThreeD="1"/>
</file>

<file path=xl/ctrlProps/ctrlProp42.xml><?xml version="1.0" encoding="utf-8"?>
<formControlPr xmlns="http://schemas.microsoft.com/office/spreadsheetml/2009/9/main" objectType="CheckBox" fmlaLink="$I$144" lockText="1" noThreeD="1"/>
</file>

<file path=xl/ctrlProps/ctrlProp43.xml><?xml version="1.0" encoding="utf-8"?>
<formControlPr xmlns="http://schemas.microsoft.com/office/spreadsheetml/2009/9/main" objectType="CheckBox" fmlaLink="$K$144" lockText="1" noThreeD="1"/>
</file>

<file path=xl/ctrlProps/ctrlProp44.xml><?xml version="1.0" encoding="utf-8"?>
<formControlPr xmlns="http://schemas.microsoft.com/office/spreadsheetml/2009/9/main" objectType="CheckBox" fmlaLink="$I$166" lockText="1" noThreeD="1"/>
</file>

<file path=xl/ctrlProps/ctrlProp45.xml><?xml version="1.0" encoding="utf-8"?>
<formControlPr xmlns="http://schemas.microsoft.com/office/spreadsheetml/2009/9/main" objectType="CheckBox" fmlaLink="$K$166" lockText="1" noThreeD="1"/>
</file>

<file path=xl/ctrlProps/ctrlProp46.xml><?xml version="1.0" encoding="utf-8"?>
<formControlPr xmlns="http://schemas.microsoft.com/office/spreadsheetml/2009/9/main" objectType="CheckBox" fmlaLink="$I$190" lockText="1" noThreeD="1"/>
</file>

<file path=xl/ctrlProps/ctrlProp47.xml><?xml version="1.0" encoding="utf-8"?>
<formControlPr xmlns="http://schemas.microsoft.com/office/spreadsheetml/2009/9/main" objectType="CheckBox" fmlaLink="$K$190" lockText="1" noThreeD="1"/>
</file>

<file path=xl/ctrlProps/ctrlProp48.xml><?xml version="1.0" encoding="utf-8"?>
<formControlPr xmlns="http://schemas.microsoft.com/office/spreadsheetml/2009/9/main" objectType="CheckBox" fmlaLink="$I$216" lockText="1" noThreeD="1"/>
</file>

<file path=xl/ctrlProps/ctrlProp49.xml><?xml version="1.0" encoding="utf-8"?>
<formControlPr xmlns="http://schemas.microsoft.com/office/spreadsheetml/2009/9/main" objectType="CheckBox" fmlaLink="$K$216" lockText="1" noThreeD="1"/>
</file>

<file path=xl/ctrlProps/ctrlProp50.xml><?xml version="1.0" encoding="utf-8"?>
<formControlPr xmlns="http://schemas.microsoft.com/office/spreadsheetml/2009/9/main" objectType="Drop" dropLines="16" dropStyle="combo" dx="16" fmlaLink="$H$4" fmlaRange="$L$173:$L$177" noThreeD="1" sel="1" val="0"/>
</file>

<file path=xl/ctrlProps/ctrlProp51.xml><?xml version="1.0" encoding="utf-8"?>
<formControlPr xmlns="http://schemas.microsoft.com/office/spreadsheetml/2009/9/main" objectType="Drop" dropLines="2" dropStyle="combo" dx="16" fmlaLink="$H$8" fmlaRange="$N$367:$N$368" noThreeD="1" sel="1" val="0"/>
</file>

<file path=xl/ctrlProps/ctrlProp52.xml><?xml version="1.0" encoding="utf-8"?>
<formControlPr xmlns="http://schemas.microsoft.com/office/spreadsheetml/2009/9/main" objectType="Drop" dropLines="4" dropStyle="combo" dx="16" fmlaLink="$H$10" fmlaRange="$U$82:$U$85" noThreeD="1" sel="1" val="0"/>
</file>

<file path=xl/ctrlProps/ctrlProp53.xml><?xml version="1.0" encoding="utf-8"?>
<formControlPr xmlns="http://schemas.microsoft.com/office/spreadsheetml/2009/9/main" objectType="Drop" dropStyle="combo" dx="16" fmlaLink="$C$90" fmlaRange="source_heating" noThreeD="1" sel="1" val="0"/>
</file>

<file path=xl/ctrlProps/ctrlProp54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5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6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7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8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9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0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1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2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3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4.xml><?xml version="1.0" encoding="utf-8"?>
<formControlPr xmlns="http://schemas.microsoft.com/office/spreadsheetml/2009/9/main" objectType="Drop" dropStyle="combo" dx="16" fmlaLink="$C$91" fmlaRange="source_cooking" noThreeD="1" sel="1" val="0"/>
</file>

<file path=xl/ctrlProps/ctrlProp65.xml><?xml version="1.0" encoding="utf-8"?>
<formControlPr xmlns="http://schemas.microsoft.com/office/spreadsheetml/2009/9/main" objectType="Drop" dropStyle="combo" dx="16" fmlaLink="$C$92" fmlaRange="source_ac" noThreeD="1" sel="1" val="0"/>
</file>

<file path=xl/ctrlProps/ctrlProp66.xml><?xml version="1.0" encoding="utf-8"?>
<formControlPr xmlns="http://schemas.microsoft.com/office/spreadsheetml/2009/9/main" objectType="Drop" dropStyle="combo" dx="16" fmlaLink="$C$93" fmlaRange="source_ac" noThreeD="1" sel="1" val="0"/>
</file>

<file path=xl/ctrlProps/ctrlProp67.xml><?xml version="1.0" encoding="utf-8"?>
<formControlPr xmlns="http://schemas.microsoft.com/office/spreadsheetml/2009/9/main" objectType="Drop" dropStyle="combo" dx="16" fmlaLink="$C$94" fmlaRange="source_water" noThreeD="1" sel="1" val="0"/>
</file>

<file path=xl/ctrlProps/ctrlProp68.xml><?xml version="1.0" encoding="utf-8"?>
<formControlPr xmlns="http://schemas.microsoft.com/office/spreadsheetml/2009/9/main" objectType="Drop" dropStyle="combo" dx="16" fmlaLink="$C$95" fmlaRange="source_other" noThreeD="1" sel="1" val="0"/>
</file>

<file path=xl/ctrlProps/ctrlProp69.xml><?xml version="1.0" encoding="utf-8"?>
<formControlPr xmlns="http://schemas.microsoft.com/office/spreadsheetml/2009/9/main" objectType="Drop" dropStyle="combo" dx="16" fmlaLink="$C$96" fmlaRange="source_other" noThreeD="1" sel="1" val="0"/>
</file>

<file path=xl/ctrlProps/ctrlProp70.xml><?xml version="1.0" encoding="utf-8"?>
<formControlPr xmlns="http://schemas.microsoft.com/office/spreadsheetml/2009/9/main" objectType="Drop" dropStyle="combo" dx="16" fmlaLink="$C$97" fmlaRange="source_other" noThreeD="1" sel="1" val="0"/>
</file>

<file path=xl/ctrlProps/ctrlProp71.xml><?xml version="1.0" encoding="utf-8"?>
<formControlPr xmlns="http://schemas.microsoft.com/office/spreadsheetml/2009/9/main" objectType="Drop" dropStyle="combo" dx="16" fmlaLink="$C$98" fmlaRange="source_other" noThreeD="1" sel="1" val="0"/>
</file>

<file path=xl/ctrlProps/ctrlProp72.xml><?xml version="1.0" encoding="utf-8"?>
<formControlPr xmlns="http://schemas.microsoft.com/office/spreadsheetml/2009/9/main" objectType="Drop" dropStyle="combo" dx="16" fmlaLink="$C$99" fmlaRange="source_other" noThreeD="1" sel="1" val="0"/>
</file>

<file path=xl/ctrlProps/ctrlProp73.xml><?xml version="1.0" encoding="utf-8"?>
<formControlPr xmlns="http://schemas.microsoft.com/office/spreadsheetml/2009/9/main" objectType="Drop" dropStyle="combo" dx="16" fmlaLink="$C$100" fmlaRange="source_other" noThreeD="1" sel="1" val="0"/>
</file>

<file path=xl/ctrlProps/ctrlProp74.xml><?xml version="1.0" encoding="utf-8"?>
<formControlPr xmlns="http://schemas.microsoft.com/office/spreadsheetml/2009/9/main" objectType="Drop" dropStyle="combo" dx="16" fmlaLink="$C$87" fmlaRange="unit_sizes" noThreeD="1" sel="1" val="0"/>
</file>

<file path=xl/ctrlProps/ctrlProp75.xml><?xml version="1.0" encoding="utf-8"?>
<formControlPr xmlns="http://schemas.microsoft.com/office/spreadsheetml/2009/9/main" objectType="Drop" dropLines="3" dropStyle="combo" dx="16" fmlaLink="$H$6" fmlaRange="ScheduleType" noThreeD="1" sel="2" val="0"/>
</file>

<file path=xl/ctrlProps/ctrlProp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666514</xdr:colOff>
      <xdr:row>0</xdr:row>
      <xdr:rowOff>1612900</xdr:rowOff>
    </xdr:to>
    <xdr:pic>
      <xdr:nvPicPr>
        <xdr:cNvPr id="5" name="Picture 4" descr="image001_irv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72114" cy="161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9</xdr:row>
          <xdr:rowOff>0</xdr:rowOff>
        </xdr:from>
        <xdr:to>
          <xdr:col>3</xdr:col>
          <xdr:colOff>800100</xdr:colOff>
          <xdr:row>10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B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C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C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C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C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13" name="Drop Dow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C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14" name="Drop Dow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C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15" name="Drop Dow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C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16" name="Drop Dow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C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C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18" name="Drop Down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C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19" name="Drop Down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C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20" name="Drop Down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C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21" name="Drop Down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C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485775</xdr:colOff>
          <xdr:row>101</xdr:row>
          <xdr:rowOff>9525</xdr:rowOff>
        </xdr:to>
        <xdr:sp macro="" textlink="">
          <xdr:nvSpPr>
            <xdr:cNvPr id="43022" name="Drop Down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C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23" name="Drop Down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C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24" name="Drop Down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C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C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26" name="Drop Dow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C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27" name="Drop Dow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C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28" name="Drop Dow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C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29" name="Drop Down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C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30" name="Drop Dow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C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31" name="Drop Down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C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32" name="Drop Down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C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33" name="Drop Down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C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C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35" name="Drop Down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C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36" name="Drop Down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C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37" name="Drop Down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C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38" name="Drop Down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C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495300</xdr:colOff>
          <xdr:row>101</xdr:row>
          <xdr:rowOff>9525</xdr:rowOff>
        </xdr:to>
        <xdr:sp macro="" textlink="">
          <xdr:nvSpPr>
            <xdr:cNvPr id="43039" name="Drop Down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C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40" name="Drop Down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C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41" name="Drop Down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C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C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152400</xdr:rowOff>
        </xdr:from>
        <xdr:to>
          <xdr:col>8</xdr:col>
          <xdr:colOff>295275</xdr:colOff>
          <xdr:row>18</xdr:row>
          <xdr:rowOff>76200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C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142875</xdr:rowOff>
        </xdr:from>
        <xdr:to>
          <xdr:col>11</xdr:col>
          <xdr:colOff>0</xdr:colOff>
          <xdr:row>18</xdr:row>
          <xdr:rowOff>66675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C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108</xdr:row>
          <xdr:rowOff>152400</xdr:rowOff>
        </xdr:from>
        <xdr:to>
          <xdr:col>8</xdr:col>
          <xdr:colOff>295275</xdr:colOff>
          <xdr:row>110</xdr:row>
          <xdr:rowOff>38100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C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108</xdr:row>
          <xdr:rowOff>142875</xdr:rowOff>
        </xdr:from>
        <xdr:to>
          <xdr:col>11</xdr:col>
          <xdr:colOff>0</xdr:colOff>
          <xdr:row>110</xdr:row>
          <xdr:rowOff>28575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C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63</xdr:row>
          <xdr:rowOff>152400</xdr:rowOff>
        </xdr:from>
        <xdr:to>
          <xdr:col>8</xdr:col>
          <xdr:colOff>295275</xdr:colOff>
          <xdr:row>65</xdr:row>
          <xdr:rowOff>38100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C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142875</xdr:rowOff>
        </xdr:from>
        <xdr:to>
          <xdr:col>11</xdr:col>
          <xdr:colOff>0</xdr:colOff>
          <xdr:row>65</xdr:row>
          <xdr:rowOff>28575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C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152400</xdr:rowOff>
        </xdr:from>
        <xdr:to>
          <xdr:col>8</xdr:col>
          <xdr:colOff>295275</xdr:colOff>
          <xdr:row>144</xdr:row>
          <xdr:rowOff>114300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C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142</xdr:row>
          <xdr:rowOff>142875</xdr:rowOff>
        </xdr:from>
        <xdr:to>
          <xdr:col>11</xdr:col>
          <xdr:colOff>0</xdr:colOff>
          <xdr:row>144</xdr:row>
          <xdr:rowOff>104775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C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164</xdr:row>
          <xdr:rowOff>152400</xdr:rowOff>
        </xdr:from>
        <xdr:to>
          <xdr:col>8</xdr:col>
          <xdr:colOff>295275</xdr:colOff>
          <xdr:row>166</xdr:row>
          <xdr:rowOff>114300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C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164</xdr:row>
          <xdr:rowOff>142875</xdr:rowOff>
        </xdr:from>
        <xdr:to>
          <xdr:col>11</xdr:col>
          <xdr:colOff>0</xdr:colOff>
          <xdr:row>166</xdr:row>
          <xdr:rowOff>104775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C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188</xdr:row>
          <xdr:rowOff>152400</xdr:rowOff>
        </xdr:from>
        <xdr:to>
          <xdr:col>8</xdr:col>
          <xdr:colOff>295275</xdr:colOff>
          <xdr:row>190</xdr:row>
          <xdr:rowOff>38100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C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188</xdr:row>
          <xdr:rowOff>142875</xdr:rowOff>
        </xdr:from>
        <xdr:to>
          <xdr:col>11</xdr:col>
          <xdr:colOff>0</xdr:colOff>
          <xdr:row>190</xdr:row>
          <xdr:rowOff>28575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C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214</xdr:row>
          <xdr:rowOff>152400</xdr:rowOff>
        </xdr:from>
        <xdr:to>
          <xdr:col>8</xdr:col>
          <xdr:colOff>295275</xdr:colOff>
          <xdr:row>216</xdr:row>
          <xdr:rowOff>38100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  <a:ext uri="{FF2B5EF4-FFF2-40B4-BE49-F238E27FC236}">
                  <a16:creationId xmlns:a16="http://schemas.microsoft.com/office/drawing/2014/main" id="{00000000-0008-0000-0C00-00002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214</xdr:row>
          <xdr:rowOff>142875</xdr:rowOff>
        </xdr:from>
        <xdr:to>
          <xdr:col>11</xdr:col>
          <xdr:colOff>0</xdr:colOff>
          <xdr:row>216</xdr:row>
          <xdr:rowOff>28575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  <a:ext uri="{FF2B5EF4-FFF2-40B4-BE49-F238E27FC236}">
                  <a16:creationId xmlns:a16="http://schemas.microsoft.com/office/drawing/2014/main" id="{00000000-0008-0000-0C00-00003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74</xdr:row>
      <xdr:rowOff>47625</xdr:rowOff>
    </xdr:from>
    <xdr:to>
      <xdr:col>9</xdr:col>
      <xdr:colOff>238125</xdr:colOff>
      <xdr:row>74</xdr:row>
      <xdr:rowOff>561975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4727575" y="6375400"/>
          <a:ext cx="4692650" cy="0"/>
        </a:xfrm>
        <a:prstGeom prst="line">
          <a:avLst/>
        </a:prstGeom>
        <a:noFill/>
        <a:ln w="63500">
          <a:solidFill>
            <a:srgbClr val="000000"/>
          </a:solidFill>
          <a:round/>
          <a:headEnd type="oval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180975</xdr:rowOff>
        </xdr:from>
        <xdr:to>
          <xdr:col>5</xdr:col>
          <xdr:colOff>352425</xdr:colOff>
          <xdr:row>3</xdr:row>
          <xdr:rowOff>180975</xdr:rowOff>
        </xdr:to>
        <xdr:sp macro="" textlink="">
          <xdr:nvSpPr>
            <xdr:cNvPr id="44033" name="Drop Dow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D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47625</xdr:rowOff>
        </xdr:from>
        <xdr:to>
          <xdr:col>5</xdr:col>
          <xdr:colOff>352425</xdr:colOff>
          <xdr:row>8</xdr:row>
          <xdr:rowOff>66675</xdr:rowOff>
        </xdr:to>
        <xdr:sp macro="" textlink="">
          <xdr:nvSpPr>
            <xdr:cNvPr id="44034" name="Drop Dow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D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5</xdr:col>
          <xdr:colOff>371475</xdr:colOff>
          <xdr:row>10</xdr:row>
          <xdr:rowOff>38100</xdr:rowOff>
        </xdr:to>
        <xdr:sp macro="" textlink="">
          <xdr:nvSpPr>
            <xdr:cNvPr id="44035" name="Drop Down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D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D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37" name="Drop Down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D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38" name="Drop Down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D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39" name="Drop Down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D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40" name="Drop Down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D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41" name="Drop Down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D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42" name="Drop Down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D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43" name="Drop Down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D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44" name="Drop Down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D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45" name="Drop Down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D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46" name="Drop Down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D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47" name="Drop Down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D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48" name="Drop Down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D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49" name="Drop Down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D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50" name="Drop Down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D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51" name="Drop Down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D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52" name="Drop Down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D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53" name="Drop Down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D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54" name="Drop Down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D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55" name="Drop Down 23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D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56" name="Drop Down 24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D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44057" name="Drop Down 25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D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28575</xdr:rowOff>
        </xdr:from>
        <xdr:to>
          <xdr:col>5</xdr:col>
          <xdr:colOff>371475</xdr:colOff>
          <xdr:row>6</xdr:row>
          <xdr:rowOff>38100</xdr:rowOff>
        </xdr:to>
        <xdr:sp macro="" textlink="">
          <xdr:nvSpPr>
            <xdr:cNvPr id="44058" name="Drop Down 26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D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0</xdr:row>
          <xdr:rowOff>28575</xdr:rowOff>
        </xdr:from>
        <xdr:to>
          <xdr:col>8</xdr:col>
          <xdr:colOff>9525</xdr:colOff>
          <xdr:row>2</xdr:row>
          <xdr:rowOff>66675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Show/Hide State Average Schedule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NHDC/Budget_Capital%20Plan/2005/BudgCapPlan%201_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-Active/Poway/Poway%20Acq/Rehab%20Strategy/Acq/Rehab%20Cap%20Plan/ePO-HsgFun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/Poway/Poway%20Brookview/Brookview%20DDA/Fin%20Plan/Brookview%20model-I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harris/Local%20Settings/Temporary%20Internet%20Files/OLKD0/Oceanside%20Hsg%20Fun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Fin%20Models/OcLRModelRentPart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Strategy/Fin%20Models/OcLRModelOw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%20Files/DRA/DRA%20Project%20Files%20Active/NHDC/Sites%20Under%20Contract/Proposal%20to%20Emilio/DeAnza%20Owner%20Fin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lake-brown/Downloads/Utility_Model-Ver13i_813_Summit-Updated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Com Ctr Ope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gFund Sep"/>
      <sheetName val=" NC ProjScen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Progra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Co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Costs R1"/>
      <sheetName val="Gap Calc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O1"/>
      <sheetName val="DevCosts O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 Mortg Low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_Average_HDD_CDD"/>
      <sheetName val="PHA state average allowances"/>
      <sheetName val="Water Consumption Model"/>
      <sheetName val="Utility_Model-Ver13i_813_Summit"/>
    </sheetNames>
    <definedNames>
      <definedName name="Module1.ScheduleType"/>
      <definedName name="ShowStateAverag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sites/default/files/xls/Utility_Model-Ver13i_813_Summit-Updated.xls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220D-7F4F-384A-80DC-978F926B3B0C}">
  <sheetPr>
    <tabColor rgb="FF0070C0"/>
    <pageSetUpPr fitToPage="1"/>
  </sheetPr>
  <dimension ref="A1:F30"/>
  <sheetViews>
    <sheetView workbookViewId="0">
      <selection sqref="A1:F1"/>
    </sheetView>
  </sheetViews>
  <sheetFormatPr defaultColWidth="11.5546875" defaultRowHeight="15"/>
  <cols>
    <col min="1" max="1" width="8" customWidth="1"/>
    <col min="2" max="2" width="5.5546875" customWidth="1"/>
    <col min="3" max="3" width="40.44140625" customWidth="1"/>
  </cols>
  <sheetData>
    <row r="1" spans="1:6" ht="171" customHeight="1">
      <c r="A1" s="1881"/>
      <c r="B1" s="1881"/>
      <c r="C1" s="1881"/>
      <c r="D1" s="1881"/>
      <c r="E1" s="1881"/>
      <c r="F1" s="1881"/>
    </row>
    <row r="2" spans="1:6" ht="12" customHeight="1">
      <c r="A2" s="1882"/>
      <c r="B2" s="1880"/>
      <c r="C2" s="1880"/>
      <c r="D2" s="1880"/>
      <c r="E2" s="1880"/>
      <c r="F2" s="1880"/>
    </row>
    <row r="3" spans="1:6" ht="33.75">
      <c r="A3" s="1882" t="s">
        <v>1436</v>
      </c>
      <c r="B3" s="1880"/>
      <c r="C3" s="1880"/>
      <c r="D3" s="1880"/>
      <c r="E3" s="1880"/>
      <c r="F3" s="1880"/>
    </row>
    <row r="4" spans="1:6" ht="33.75">
      <c r="A4" s="1882" t="s">
        <v>605</v>
      </c>
      <c r="B4" s="1880"/>
      <c r="C4" s="1880"/>
      <c r="D4" s="1880"/>
      <c r="E4" s="1880"/>
      <c r="F4" s="1880"/>
    </row>
    <row r="5" spans="1:6" ht="33.75">
      <c r="A5" s="1882" t="s">
        <v>606</v>
      </c>
      <c r="B5" s="1880"/>
      <c r="C5" s="1880"/>
      <c r="D5" s="1880"/>
      <c r="E5" s="1880"/>
      <c r="F5" s="1880"/>
    </row>
    <row r="6" spans="1:6" ht="33.75">
      <c r="A6" s="1879"/>
      <c r="B6" s="1880"/>
      <c r="C6" s="1880"/>
      <c r="D6" s="1880"/>
      <c r="E6" s="1880"/>
      <c r="F6" s="1880"/>
    </row>
    <row r="7" spans="1:6" ht="39.950000000000003" customHeight="1"/>
    <row r="8" spans="1:6" ht="15.75">
      <c r="B8" s="284" t="s">
        <v>433</v>
      </c>
      <c r="C8" s="284"/>
      <c r="D8" s="285"/>
    </row>
    <row r="9" spans="1:6" ht="15.75">
      <c r="B9" s="284"/>
      <c r="C9" s="284"/>
      <c r="D9" s="285"/>
    </row>
    <row r="10" spans="1:6" ht="15.75">
      <c r="B10" s="286">
        <v>1</v>
      </c>
      <c r="C10" s="768" t="s">
        <v>1432</v>
      </c>
      <c r="D10" s="285"/>
    </row>
    <row r="11" spans="1:6" ht="15.75">
      <c r="B11" s="286">
        <f>B10+1</f>
        <v>2</v>
      </c>
      <c r="C11" s="769" t="s">
        <v>1433</v>
      </c>
      <c r="D11" s="285"/>
    </row>
    <row r="12" spans="1:6" ht="15.75">
      <c r="B12" s="286">
        <f t="shared" ref="B12" si="0">B11+1</f>
        <v>3</v>
      </c>
      <c r="C12" s="770" t="s">
        <v>1434</v>
      </c>
      <c r="D12" s="285"/>
    </row>
    <row r="13" spans="1:6" ht="15.75">
      <c r="B13" s="286">
        <f>B12+1</f>
        <v>4</v>
      </c>
      <c r="C13" s="775" t="s">
        <v>448</v>
      </c>
      <c r="D13" s="287"/>
    </row>
    <row r="14" spans="1:6" ht="15.75">
      <c r="B14" s="286">
        <f t="shared" ref="B14:B16" si="1">B13+1</f>
        <v>5</v>
      </c>
      <c r="C14" s="771" t="s">
        <v>315</v>
      </c>
      <c r="D14" s="287"/>
    </row>
    <row r="15" spans="1:6" ht="15.75">
      <c r="B15" s="286">
        <f t="shared" si="1"/>
        <v>6</v>
      </c>
      <c r="C15" s="771" t="s">
        <v>730</v>
      </c>
      <c r="D15" s="287"/>
    </row>
    <row r="16" spans="1:6" ht="15.75">
      <c r="B16" s="286">
        <f t="shared" si="1"/>
        <v>7</v>
      </c>
      <c r="C16" s="771" t="s">
        <v>1435</v>
      </c>
      <c r="D16" s="287"/>
    </row>
    <row r="17" spans="2:4" ht="15.75">
      <c r="B17" s="286">
        <f>B16+1</f>
        <v>8</v>
      </c>
      <c r="C17" s="771" t="s">
        <v>419</v>
      </c>
      <c r="D17" s="287"/>
    </row>
    <row r="18" spans="2:4" ht="15.75">
      <c r="B18" s="286">
        <f t="shared" ref="B18:B30" si="2">B17+1</f>
        <v>9</v>
      </c>
      <c r="C18" s="771" t="s">
        <v>343</v>
      </c>
      <c r="D18" s="287"/>
    </row>
    <row r="19" spans="2:4" ht="15.75">
      <c r="B19" s="286">
        <f t="shared" si="2"/>
        <v>10</v>
      </c>
      <c r="C19" s="771" t="s">
        <v>420</v>
      </c>
      <c r="D19" s="287"/>
    </row>
    <row r="20" spans="2:4" ht="15.75">
      <c r="B20" s="286">
        <f t="shared" si="2"/>
        <v>11</v>
      </c>
      <c r="C20" s="772" t="s">
        <v>1386</v>
      </c>
      <c r="D20" s="287"/>
    </row>
    <row r="21" spans="2:4" ht="15.75">
      <c r="B21" s="286">
        <f t="shared" si="2"/>
        <v>12</v>
      </c>
      <c r="C21" s="772" t="s">
        <v>1387</v>
      </c>
      <c r="D21" s="287"/>
    </row>
    <row r="22" spans="2:4" ht="15.75">
      <c r="B22" s="286">
        <f t="shared" si="2"/>
        <v>13</v>
      </c>
      <c r="C22" s="772" t="s">
        <v>1388</v>
      </c>
      <c r="D22" s="287"/>
    </row>
    <row r="23" spans="2:4" ht="15.75">
      <c r="B23" s="286">
        <f t="shared" si="2"/>
        <v>14</v>
      </c>
      <c r="C23" s="772" t="s">
        <v>1389</v>
      </c>
      <c r="D23" s="287"/>
    </row>
    <row r="24" spans="2:4" ht="15.75">
      <c r="B24" s="286">
        <f t="shared" si="2"/>
        <v>15</v>
      </c>
      <c r="C24" s="773" t="s">
        <v>1394</v>
      </c>
      <c r="D24" s="287"/>
    </row>
    <row r="25" spans="2:4" ht="15.75">
      <c r="B25" s="286">
        <f t="shared" si="2"/>
        <v>16</v>
      </c>
      <c r="C25" s="773" t="s">
        <v>627</v>
      </c>
      <c r="D25" s="287"/>
    </row>
    <row r="26" spans="2:4" ht="15.75">
      <c r="B26" s="286">
        <f t="shared" si="2"/>
        <v>17</v>
      </c>
      <c r="C26" s="774" t="s">
        <v>42</v>
      </c>
    </row>
    <row r="27" spans="2:4" ht="15.75">
      <c r="B27" s="286">
        <f t="shared" si="2"/>
        <v>18</v>
      </c>
      <c r="C27" s="774" t="s">
        <v>421</v>
      </c>
    </row>
    <row r="28" spans="2:4" ht="15.75">
      <c r="B28" s="286">
        <f t="shared" si="2"/>
        <v>19</v>
      </c>
      <c r="C28" s="774" t="s">
        <v>423</v>
      </c>
    </row>
    <row r="29" spans="2:4" ht="15.75">
      <c r="B29" s="286">
        <f t="shared" si="2"/>
        <v>20</v>
      </c>
      <c r="C29" s="774" t="s">
        <v>424</v>
      </c>
    </row>
    <row r="30" spans="2:4" ht="15.75">
      <c r="B30" s="286">
        <f t="shared" si="2"/>
        <v>21</v>
      </c>
      <c r="C30" s="774" t="s">
        <v>425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84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2044-135D-7848-8125-4A7887069EC9}">
  <sheetPr codeName="Sheet7">
    <tabColor rgb="FF00B0F0"/>
  </sheetPr>
  <dimension ref="A1:AI186"/>
  <sheetViews>
    <sheetView workbookViewId="0">
      <selection activeCell="I15" sqref="I15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3" width="9.33203125" style="21" customWidth="1"/>
    <col min="4" max="4" width="8.6640625" style="21" customWidth="1"/>
    <col min="5" max="5" width="8" style="21" customWidth="1"/>
    <col min="6" max="8" width="5.6640625" style="21" customWidth="1"/>
    <col min="9" max="19" width="11.44140625" style="21" customWidth="1"/>
    <col min="20" max="24" width="6.88671875" style="21" customWidth="1"/>
    <col min="25" max="25" width="2" style="21" customWidth="1"/>
    <col min="26" max="31" width="6.88671875" style="21" customWidth="1"/>
    <col min="32" max="16384" width="9.109375" style="21"/>
  </cols>
  <sheetData>
    <row r="1" spans="1:35" ht="9.9499999999999993" customHeight="1">
      <c r="A1" s="9"/>
      <c r="B1" s="9"/>
      <c r="C1" s="20"/>
      <c r="D1" s="9"/>
      <c r="E1" s="9"/>
      <c r="G1" s="39"/>
      <c r="H1" s="23"/>
    </row>
    <row r="2" spans="1:35" ht="18.75">
      <c r="A2" s="1898" t="s">
        <v>794</v>
      </c>
      <c r="B2" s="1898"/>
      <c r="C2" s="1898"/>
      <c r="D2" s="1898"/>
      <c r="E2" s="1898"/>
      <c r="F2" s="1898"/>
      <c r="G2" s="1898"/>
      <c r="H2" s="1898"/>
      <c r="I2" s="1898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1:35" ht="19.5" thickBot="1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</row>
    <row r="4" spans="1:35" ht="15.95" customHeight="1">
      <c r="A4" s="1902" t="s">
        <v>785</v>
      </c>
      <c r="B4" s="1903"/>
      <c r="C4" s="1903"/>
      <c r="D4" s="1903"/>
      <c r="E4" s="1904"/>
      <c r="F4" s="1883" t="s">
        <v>249</v>
      </c>
      <c r="G4" s="1884"/>
    </row>
    <row r="5" spans="1:35">
      <c r="A5" s="865" t="s">
        <v>508</v>
      </c>
      <c r="B5" s="866"/>
      <c r="C5" s="867"/>
      <c r="D5" s="868"/>
      <c r="E5" s="869">
        <v>68500</v>
      </c>
      <c r="F5" s="1885">
        <v>2021</v>
      </c>
      <c r="G5" s="1886"/>
    </row>
    <row r="6" spans="1:35">
      <c r="A6" s="865" t="s">
        <v>507</v>
      </c>
      <c r="B6" s="866"/>
      <c r="C6" s="867"/>
      <c r="D6" s="868"/>
      <c r="E6" s="869">
        <v>125600</v>
      </c>
      <c r="F6" s="1887">
        <v>2021</v>
      </c>
      <c r="G6" s="1888"/>
    </row>
    <row r="7" spans="1:35" ht="16.5" thickBot="1">
      <c r="A7" s="871" t="s">
        <v>353</v>
      </c>
      <c r="B7" s="872"/>
      <c r="C7" s="873"/>
      <c r="D7" s="874"/>
      <c r="E7" s="875">
        <v>0.3</v>
      </c>
      <c r="F7" s="1889"/>
      <c r="G7" s="1890"/>
      <c r="L7"/>
      <c r="M7"/>
      <c r="N7"/>
      <c r="O7"/>
      <c r="P7"/>
      <c r="Q7"/>
      <c r="R7"/>
      <c r="AI7" s="100"/>
    </row>
    <row r="8" spans="1:35" ht="18" customHeight="1" thickBot="1">
      <c r="A8" s="876"/>
      <c r="B8" s="876"/>
      <c r="C8" s="877"/>
      <c r="D8" s="876"/>
      <c r="E8" s="876"/>
      <c r="F8" s="878"/>
      <c r="G8" s="879"/>
      <c r="L8"/>
      <c r="M8"/>
      <c r="N8"/>
      <c r="O8"/>
      <c r="P8"/>
      <c r="Q8"/>
      <c r="R8"/>
    </row>
    <row r="9" spans="1:35" ht="15.95" customHeight="1">
      <c r="A9" s="1893" t="s">
        <v>510</v>
      </c>
      <c r="B9" s="1894"/>
      <c r="C9" s="1894"/>
      <c r="D9" s="1894"/>
      <c r="E9" s="1895"/>
      <c r="F9" s="878"/>
      <c r="G9" s="878"/>
      <c r="L9"/>
      <c r="M9"/>
      <c r="N9"/>
      <c r="O9"/>
      <c r="P9"/>
      <c r="Q9"/>
      <c r="R9"/>
    </row>
    <row r="10" spans="1:35" ht="15.75">
      <c r="A10" s="880" t="s">
        <v>249</v>
      </c>
      <c r="B10" s="881"/>
      <c r="C10" s="882"/>
      <c r="D10" s="883"/>
      <c r="E10" s="884"/>
      <c r="F10" s="878"/>
      <c r="G10" s="878"/>
      <c r="L10"/>
      <c r="M10"/>
      <c r="N10"/>
      <c r="O10"/>
      <c r="P10"/>
      <c r="Q10"/>
      <c r="R10"/>
      <c r="AB10" s="100"/>
    </row>
    <row r="11" spans="1:35" ht="15.75" customHeight="1">
      <c r="A11" s="885">
        <v>0</v>
      </c>
      <c r="B11" s="886">
        <v>1</v>
      </c>
      <c r="C11" s="886">
        <v>2</v>
      </c>
      <c r="D11" s="886">
        <v>3</v>
      </c>
      <c r="E11" s="887">
        <v>4</v>
      </c>
      <c r="F11" s="878"/>
      <c r="G11" s="878"/>
    </row>
    <row r="12" spans="1:35" ht="14.25" customHeight="1">
      <c r="A12" s="888"/>
      <c r="B12" s="889"/>
      <c r="C12" s="889"/>
      <c r="D12" s="889"/>
      <c r="E12" s="890"/>
      <c r="F12" s="878"/>
      <c r="G12" s="878"/>
      <c r="AB12" s="100"/>
    </row>
    <row r="13" spans="1:35" ht="15" customHeight="1" thickBot="1">
      <c r="A13" s="891" t="s">
        <v>786</v>
      </c>
      <c r="B13" s="892" t="s">
        <v>617</v>
      </c>
      <c r="C13" s="893"/>
      <c r="D13" s="893"/>
      <c r="E13" s="894"/>
      <c r="F13" s="878"/>
      <c r="G13" s="878"/>
    </row>
    <row r="14" spans="1:35" ht="15.75" customHeight="1" thickBot="1">
      <c r="A14" s="878"/>
      <c r="B14" s="878"/>
      <c r="C14" s="878"/>
      <c r="D14" s="878"/>
      <c r="E14" s="878"/>
      <c r="F14" s="878"/>
      <c r="G14" s="878"/>
    </row>
    <row r="15" spans="1:35" ht="15.75" customHeight="1">
      <c r="A15" s="1893" t="s">
        <v>787</v>
      </c>
      <c r="B15" s="1894"/>
      <c r="C15" s="1894"/>
      <c r="D15" s="1894"/>
      <c r="E15" s="1894"/>
      <c r="F15" s="1895"/>
      <c r="G15" s="878"/>
    </row>
    <row r="16" spans="1:35" ht="15.75" customHeight="1">
      <c r="A16" s="880" t="s">
        <v>249</v>
      </c>
      <c r="B16" s="881"/>
      <c r="C16" s="895" t="s">
        <v>1445</v>
      </c>
      <c r="D16" s="896"/>
      <c r="E16" s="897"/>
      <c r="F16" s="898"/>
      <c r="G16" s="878"/>
    </row>
    <row r="17" spans="1:11" ht="15.75" customHeight="1">
      <c r="A17" s="899"/>
      <c r="B17" s="900"/>
      <c r="C17" s="886" t="s">
        <v>791</v>
      </c>
      <c r="D17" s="886" t="s">
        <v>790</v>
      </c>
      <c r="E17" s="901"/>
      <c r="F17" s="902"/>
      <c r="G17" s="878"/>
    </row>
    <row r="18" spans="1:11" ht="15.75" customHeight="1">
      <c r="A18" s="899" t="s">
        <v>789</v>
      </c>
      <c r="B18" s="903"/>
      <c r="C18" s="904">
        <v>6500</v>
      </c>
      <c r="D18" s="905">
        <v>6700</v>
      </c>
      <c r="E18" s="868"/>
      <c r="F18" s="906"/>
      <c r="G18" s="878"/>
    </row>
    <row r="19" spans="1:11" ht="15.75" customHeight="1">
      <c r="A19" s="899" t="s">
        <v>770</v>
      </c>
      <c r="B19" s="903"/>
      <c r="C19" s="904">
        <v>5600</v>
      </c>
      <c r="D19" s="905">
        <v>5800</v>
      </c>
      <c r="E19" s="868"/>
      <c r="F19" s="906"/>
      <c r="G19" s="878"/>
    </row>
    <row r="20" spans="1:11" ht="15.75" customHeight="1">
      <c r="A20" s="899" t="s">
        <v>56</v>
      </c>
      <c r="B20" s="903"/>
      <c r="C20" s="904">
        <v>6700</v>
      </c>
      <c r="D20" s="905">
        <v>6900</v>
      </c>
      <c r="E20" s="868"/>
      <c r="F20" s="906"/>
      <c r="G20" s="878"/>
    </row>
    <row r="21" spans="1:11" ht="29.1" customHeight="1" thickBot="1">
      <c r="A21" s="1891" t="s">
        <v>788</v>
      </c>
      <c r="B21" s="1892"/>
      <c r="C21" s="907">
        <v>6600</v>
      </c>
      <c r="D21" s="908">
        <v>6800</v>
      </c>
      <c r="E21" s="909"/>
      <c r="F21" s="910"/>
      <c r="G21" s="878"/>
      <c r="K21" s="465"/>
    </row>
    <row r="22" spans="1:11" ht="15.75" customHeight="1">
      <c r="A22" s="878"/>
      <c r="B22" s="878"/>
      <c r="C22" s="878"/>
      <c r="D22" s="878"/>
      <c r="E22" s="878"/>
      <c r="F22" s="878"/>
      <c r="G22" s="878"/>
    </row>
    <row r="23" spans="1:11" ht="15.75" customHeight="1" thickBot="1">
      <c r="A23" s="878"/>
      <c r="B23" s="878"/>
      <c r="C23" s="878"/>
      <c r="D23" s="878"/>
      <c r="E23" s="878"/>
      <c r="F23" s="878"/>
      <c r="G23" s="878"/>
    </row>
    <row r="24" spans="1:11" ht="15.75" customHeight="1">
      <c r="A24" s="1905" t="s">
        <v>1430</v>
      </c>
      <c r="B24" s="1906"/>
      <c r="C24" s="1906"/>
      <c r="D24" s="1906"/>
      <c r="E24" s="1907"/>
      <c r="F24" s="878"/>
      <c r="G24" s="878"/>
    </row>
    <row r="25" spans="1:11" ht="15.75" customHeight="1">
      <c r="A25" s="911" t="s">
        <v>249</v>
      </c>
      <c r="B25" s="912"/>
      <c r="C25" s="895" t="s">
        <v>1445</v>
      </c>
      <c r="D25" s="913"/>
      <c r="E25" s="914"/>
      <c r="F25" s="878"/>
      <c r="G25" s="878"/>
    </row>
    <row r="26" spans="1:11" ht="15.75" customHeight="1" thickBot="1">
      <c r="A26" s="915" t="s">
        <v>1431</v>
      </c>
      <c r="B26" s="916"/>
      <c r="C26" s="917">
        <v>2200000</v>
      </c>
      <c r="D26" s="918"/>
      <c r="E26" s="919"/>
      <c r="F26" s="878"/>
      <c r="G26" s="878"/>
    </row>
    <row r="27" spans="1:11" ht="15.75" customHeight="1" thickBot="1">
      <c r="A27" s="878"/>
      <c r="B27" s="878"/>
      <c r="C27" s="878"/>
      <c r="D27" s="878"/>
      <c r="E27" s="878"/>
      <c r="F27" s="878"/>
      <c r="G27" s="878"/>
    </row>
    <row r="28" spans="1:11" ht="15.75" customHeight="1">
      <c r="A28" s="1893" t="s">
        <v>792</v>
      </c>
      <c r="B28" s="1894"/>
      <c r="C28" s="1894"/>
      <c r="D28" s="1894"/>
      <c r="E28" s="1894"/>
      <c r="F28" s="1895"/>
      <c r="G28" s="878"/>
    </row>
    <row r="29" spans="1:11" ht="15.75" customHeight="1">
      <c r="A29" s="880" t="s">
        <v>249</v>
      </c>
      <c r="B29" s="881"/>
      <c r="C29" s="895" t="s">
        <v>1445</v>
      </c>
      <c r="D29" s="896"/>
      <c r="E29" s="1896"/>
      <c r="F29" s="1897"/>
      <c r="G29" s="878"/>
    </row>
    <row r="30" spans="1:11" ht="15.75" customHeight="1">
      <c r="A30" s="899"/>
      <c r="B30" s="900"/>
      <c r="C30" s="886" t="s">
        <v>791</v>
      </c>
      <c r="D30" s="886" t="s">
        <v>790</v>
      </c>
      <c r="E30" s="901"/>
      <c r="F30" s="902"/>
      <c r="G30" s="878"/>
    </row>
    <row r="31" spans="1:11" ht="15.75" customHeight="1">
      <c r="A31" s="899" t="s">
        <v>793</v>
      </c>
      <c r="B31" s="903"/>
      <c r="C31" s="904">
        <v>6500</v>
      </c>
      <c r="D31" s="904">
        <v>6700</v>
      </c>
      <c r="E31" s="868"/>
      <c r="F31" s="906"/>
      <c r="G31" s="878"/>
    </row>
    <row r="32" spans="1:11" ht="15.75" customHeight="1">
      <c r="A32" s="920" t="s">
        <v>26</v>
      </c>
      <c r="B32" s="921"/>
      <c r="C32" s="904">
        <v>5600</v>
      </c>
      <c r="D32" s="904">
        <v>5800</v>
      </c>
      <c r="E32" s="868"/>
      <c r="F32" s="906"/>
      <c r="G32" s="878"/>
    </row>
    <row r="33" spans="1:22" ht="15.75" customHeight="1" thickBot="1">
      <c r="A33" s="891" t="s">
        <v>786</v>
      </c>
      <c r="B33" s="1899"/>
      <c r="C33" s="1900"/>
      <c r="D33" s="1900"/>
      <c r="E33" s="1900"/>
      <c r="F33" s="1901"/>
      <c r="G33" s="878"/>
    </row>
    <row r="34" spans="1:22" ht="15.75" customHeight="1">
      <c r="A34" s="878"/>
      <c r="B34" s="878"/>
      <c r="C34" s="878"/>
      <c r="D34" s="878"/>
      <c r="E34" s="878"/>
      <c r="F34" s="878"/>
      <c r="G34" s="878"/>
    </row>
    <row r="35" spans="1:22" ht="15.75" customHeight="1">
      <c r="A35" s="878"/>
      <c r="B35" s="878"/>
      <c r="C35" s="878"/>
      <c r="D35" s="878"/>
      <c r="E35" s="878"/>
      <c r="F35" s="868"/>
      <c r="G35" s="868"/>
    </row>
    <row r="36" spans="1:22" ht="15.75" customHeight="1">
      <c r="A36" s="878"/>
      <c r="B36" s="878"/>
      <c r="C36" s="878"/>
      <c r="D36" s="878"/>
      <c r="E36" s="878"/>
      <c r="F36" s="868"/>
      <c r="G36" s="868"/>
    </row>
    <row r="37" spans="1:22" ht="15.75" customHeight="1">
      <c r="A37" s="878"/>
      <c r="B37" s="878"/>
      <c r="C37" s="878"/>
      <c r="D37" s="878"/>
      <c r="E37" s="878"/>
      <c r="F37" s="868"/>
      <c r="G37" s="868"/>
    </row>
    <row r="38" spans="1:22" ht="15.75" customHeight="1">
      <c r="A38" s="878"/>
      <c r="B38" s="878"/>
      <c r="C38" s="878"/>
      <c r="D38" s="878"/>
      <c r="E38" s="878"/>
      <c r="F38" s="868"/>
      <c r="G38" s="868"/>
    </row>
    <row r="39" spans="1:22" ht="15.75" customHeight="1">
      <c r="A39" s="878"/>
      <c r="B39" s="878"/>
      <c r="C39" s="878"/>
      <c r="D39" s="878"/>
      <c r="E39" s="868"/>
      <c r="F39" s="868"/>
      <c r="G39" s="868"/>
    </row>
    <row r="40" spans="1:22" ht="14.1" customHeight="1">
      <c r="A40" s="878"/>
      <c r="B40" s="878"/>
      <c r="C40" s="878"/>
      <c r="D40" s="878"/>
      <c r="E40" s="878"/>
      <c r="F40" s="868"/>
      <c r="G40" s="868"/>
    </row>
    <row r="41" spans="1:22" ht="18" customHeight="1">
      <c r="A41" s="878"/>
      <c r="B41" s="878"/>
      <c r="C41" s="878"/>
      <c r="D41" s="878"/>
      <c r="E41" s="158"/>
      <c r="F41" s="158"/>
      <c r="G41" s="158"/>
    </row>
    <row r="42" spans="1:22">
      <c r="A42" s="878"/>
      <c r="B42" s="127"/>
      <c r="C42" s="127"/>
      <c r="D42" s="38"/>
      <c r="E42" s="38"/>
      <c r="F42" s="38"/>
      <c r="G42" s="38"/>
      <c r="H42" s="38"/>
      <c r="I42" s="38"/>
      <c r="J42" s="158"/>
      <c r="K42" s="38"/>
      <c r="L42" s="38"/>
      <c r="M42" s="38"/>
      <c r="N42" s="38"/>
      <c r="O42" s="38"/>
      <c r="P42" s="38"/>
      <c r="V42" s="377"/>
    </row>
    <row r="43" spans="1:22" ht="8.25" customHeight="1">
      <c r="A43" s="878"/>
      <c r="B43" s="9"/>
      <c r="C43" s="24"/>
      <c r="D43" s="9"/>
      <c r="E43" s="9"/>
      <c r="G43" s="39"/>
    </row>
    <row r="44" spans="1:22">
      <c r="A44" s="9"/>
      <c r="B44" s="9"/>
      <c r="C44" s="24"/>
      <c r="D44" s="9"/>
      <c r="E44" s="9"/>
      <c r="G44" s="39"/>
    </row>
    <row r="45" spans="1:22">
      <c r="A45" s="9"/>
      <c r="B45" s="9"/>
      <c r="C45" s="24"/>
      <c r="D45" s="9"/>
      <c r="E45" s="9"/>
      <c r="G45" s="39"/>
    </row>
    <row r="46" spans="1:22">
      <c r="A46" s="9"/>
      <c r="B46" s="9"/>
      <c r="C46" s="24"/>
      <c r="D46" s="9"/>
      <c r="E46" s="9"/>
      <c r="G46" s="39"/>
    </row>
    <row r="47" spans="1:22">
      <c r="A47" s="16"/>
      <c r="B47" s="10"/>
      <c r="C47" s="10"/>
      <c r="D47" s="6"/>
      <c r="E47" s="6"/>
      <c r="F47" s="39"/>
      <c r="G47" s="39"/>
    </row>
    <row r="48" spans="1:22">
      <c r="A48" s="9"/>
      <c r="B48" s="10"/>
      <c r="C48" s="10"/>
      <c r="D48" s="6"/>
      <c r="E48" s="6"/>
      <c r="F48" s="39"/>
      <c r="G48" s="39"/>
    </row>
    <row r="49" spans="1:8">
      <c r="A49" s="60"/>
      <c r="B49" s="128"/>
      <c r="C49" s="124"/>
      <c r="D49" s="136"/>
      <c r="E49" s="60"/>
      <c r="F49" s="137"/>
      <c r="G49" s="137"/>
      <c r="H49" s="133"/>
    </row>
    <row r="50" spans="1:8">
      <c r="A50" s="60"/>
      <c r="B50" s="128"/>
      <c r="C50" s="124"/>
      <c r="D50" s="136"/>
      <c r="E50" s="60"/>
      <c r="F50" s="137"/>
      <c r="G50" s="137"/>
      <c r="H50" s="133"/>
    </row>
    <row r="51" spans="1:8">
      <c r="A51" s="60"/>
      <c r="B51" s="128"/>
      <c r="C51" s="124"/>
      <c r="D51" s="136"/>
      <c r="E51" s="124"/>
      <c r="F51" s="137"/>
      <c r="G51" s="137"/>
      <c r="H51" s="133"/>
    </row>
    <row r="52" spans="1:8">
      <c r="A52" s="60"/>
      <c r="B52" s="60"/>
      <c r="C52" s="60"/>
      <c r="D52" s="60"/>
      <c r="E52" s="60"/>
      <c r="F52" s="134"/>
      <c r="G52" s="137"/>
      <c r="H52" s="133"/>
    </row>
    <row r="53" spans="1:8">
      <c r="A53" s="133"/>
      <c r="B53" s="133"/>
      <c r="C53" s="133"/>
      <c r="D53" s="133"/>
      <c r="E53" s="133"/>
      <c r="F53" s="133"/>
      <c r="G53" s="138"/>
      <c r="H53" s="133"/>
    </row>
    <row r="54" spans="1:8">
      <c r="A54" s="133"/>
      <c r="B54" s="133"/>
      <c r="C54" s="133"/>
      <c r="D54" s="133"/>
      <c r="E54" s="133"/>
      <c r="F54" s="133"/>
      <c r="G54" s="139"/>
      <c r="H54" s="133"/>
    </row>
    <row r="55" spans="1:8">
      <c r="A55" s="133"/>
      <c r="B55" s="133"/>
      <c r="C55" s="133"/>
      <c r="D55" s="133"/>
      <c r="E55" s="133"/>
      <c r="F55" s="133"/>
      <c r="G55" s="124"/>
      <c r="H55" s="137"/>
    </row>
    <row r="56" spans="1:8">
      <c r="A56" s="136"/>
      <c r="B56" s="128"/>
      <c r="C56" s="132"/>
      <c r="D56" s="132"/>
      <c r="E56" s="132"/>
      <c r="F56" s="132"/>
      <c r="G56" s="124"/>
      <c r="H56" s="137"/>
    </row>
    <row r="57" spans="1:8">
      <c r="A57" s="136"/>
      <c r="B57" s="128"/>
      <c r="C57" s="132"/>
      <c r="D57" s="132"/>
      <c r="E57" s="132"/>
      <c r="F57" s="132"/>
      <c r="G57" s="124"/>
      <c r="H57" s="137"/>
    </row>
    <row r="58" spans="1:8">
      <c r="A58" s="60"/>
      <c r="B58" s="128"/>
      <c r="C58" s="132"/>
      <c r="D58" s="132"/>
      <c r="E58" s="132"/>
      <c r="F58" s="132"/>
      <c r="G58" s="124"/>
      <c r="H58" s="137"/>
    </row>
    <row r="59" spans="1:8">
      <c r="A59" s="60"/>
      <c r="B59" s="128"/>
      <c r="C59" s="132"/>
      <c r="D59" s="132"/>
      <c r="E59" s="132"/>
      <c r="F59" s="132"/>
      <c r="G59" s="132"/>
      <c r="H59" s="137"/>
    </row>
    <row r="60" spans="1:8">
      <c r="A60" s="60"/>
      <c r="B60" s="140"/>
      <c r="C60" s="140"/>
      <c r="D60" s="140"/>
      <c r="E60" s="140"/>
      <c r="F60" s="140"/>
      <c r="G60" s="140"/>
      <c r="H60" s="137"/>
    </row>
    <row r="61" spans="1:8">
      <c r="A61" s="60"/>
      <c r="B61" s="140"/>
      <c r="C61" s="140"/>
      <c r="D61" s="140"/>
      <c r="E61" s="140"/>
      <c r="F61" s="140"/>
      <c r="G61" s="140"/>
      <c r="H61" s="132"/>
    </row>
    <row r="62" spans="1:8">
      <c r="A62" s="60"/>
      <c r="B62" s="128"/>
      <c r="C62" s="132"/>
      <c r="D62" s="132"/>
      <c r="E62" s="132"/>
      <c r="F62" s="131"/>
      <c r="G62" s="137"/>
      <c r="H62" s="132"/>
    </row>
    <row r="63" spans="1:8">
      <c r="A63" s="125"/>
      <c r="B63" s="124"/>
      <c r="C63" s="141"/>
      <c r="D63" s="141"/>
      <c r="E63" s="130"/>
      <c r="F63" s="133"/>
      <c r="G63" s="133"/>
      <c r="H63" s="132"/>
    </row>
    <row r="64" spans="1:8">
      <c r="A64" s="60"/>
      <c r="B64" s="124"/>
      <c r="C64" s="141"/>
      <c r="D64" s="141"/>
      <c r="E64" s="141"/>
      <c r="F64" s="142"/>
      <c r="G64" s="137"/>
      <c r="H64" s="132"/>
    </row>
    <row r="65" spans="1:16">
      <c r="A65" s="125"/>
      <c r="B65" s="124"/>
      <c r="C65" s="141"/>
      <c r="D65" s="141"/>
      <c r="E65" s="141"/>
      <c r="F65" s="142"/>
      <c r="G65" s="137"/>
      <c r="H65" s="132"/>
    </row>
    <row r="66" spans="1:16">
      <c r="A66" s="143"/>
      <c r="B66" s="144"/>
      <c r="C66" s="145"/>
      <c r="D66" s="145"/>
      <c r="E66" s="141"/>
      <c r="F66" s="141"/>
      <c r="G66" s="141"/>
      <c r="H66" s="141"/>
      <c r="I66" s="4"/>
      <c r="J66" s="9"/>
      <c r="K66" s="9"/>
      <c r="L66" s="9"/>
      <c r="M66" s="9"/>
      <c r="N66" s="9"/>
      <c r="O66" s="9"/>
      <c r="P66" s="9"/>
    </row>
    <row r="67" spans="1:16">
      <c r="A67" s="60"/>
      <c r="B67" s="128"/>
      <c r="C67" s="146"/>
      <c r="D67" s="146"/>
      <c r="E67" s="146"/>
      <c r="F67" s="146"/>
      <c r="G67" s="141"/>
      <c r="H67" s="141"/>
      <c r="I67" s="4"/>
      <c r="J67" s="9"/>
      <c r="K67" s="9"/>
      <c r="L67" s="9"/>
      <c r="M67" s="9"/>
      <c r="N67" s="9"/>
      <c r="O67" s="9"/>
      <c r="P67" s="9"/>
    </row>
    <row r="68" spans="1:16" s="9" customFormat="1">
      <c r="A68" s="60"/>
      <c r="B68" s="128"/>
      <c r="C68" s="146"/>
      <c r="D68" s="146"/>
      <c r="E68" s="146"/>
      <c r="F68" s="146"/>
      <c r="G68" s="141"/>
      <c r="H68" s="141"/>
      <c r="I68" s="4"/>
    </row>
    <row r="69" spans="1:16" s="9" customFormat="1">
      <c r="A69" s="60"/>
      <c r="B69" s="128"/>
      <c r="C69" s="146"/>
      <c r="D69" s="146"/>
      <c r="E69" s="146"/>
      <c r="F69" s="146"/>
      <c r="G69" s="141"/>
      <c r="H69" s="141"/>
      <c r="I69" s="4"/>
    </row>
    <row r="70" spans="1:16" s="9" customFormat="1">
      <c r="A70" s="60"/>
      <c r="B70" s="128"/>
      <c r="C70" s="147"/>
      <c r="D70" s="147"/>
      <c r="E70" s="147"/>
      <c r="F70" s="147"/>
      <c r="G70" s="141"/>
      <c r="H70" s="141"/>
      <c r="I70" s="4"/>
    </row>
    <row r="71" spans="1:16" s="9" customFormat="1">
      <c r="A71" s="60"/>
      <c r="B71" s="128"/>
      <c r="C71" s="145"/>
      <c r="D71" s="145"/>
      <c r="E71" s="141"/>
      <c r="F71" s="141"/>
      <c r="G71" s="141"/>
      <c r="H71" s="141"/>
      <c r="I71" s="4"/>
    </row>
    <row r="72" spans="1:16" s="9" customFormat="1">
      <c r="A72" s="143"/>
      <c r="B72" s="144"/>
      <c r="C72" s="145"/>
      <c r="D72" s="145"/>
      <c r="E72" s="141"/>
      <c r="F72" s="141"/>
      <c r="G72" s="141"/>
      <c r="H72" s="141"/>
      <c r="I72" s="4"/>
    </row>
    <row r="73" spans="1:16" s="9" customFormat="1">
      <c r="A73" s="60"/>
      <c r="B73" s="128"/>
      <c r="C73" s="146"/>
      <c r="D73" s="146"/>
      <c r="E73" s="146"/>
      <c r="F73" s="146"/>
      <c r="G73" s="141"/>
      <c r="H73" s="141"/>
      <c r="I73" s="4"/>
    </row>
    <row r="74" spans="1:16" s="9" customFormat="1">
      <c r="A74" s="60"/>
      <c r="B74" s="128"/>
      <c r="C74" s="146"/>
      <c r="D74" s="146"/>
      <c r="E74" s="146"/>
      <c r="F74" s="146"/>
      <c r="G74" s="141"/>
      <c r="H74" s="141"/>
      <c r="I74" s="4"/>
    </row>
    <row r="75" spans="1:16" s="9" customFormat="1">
      <c r="A75" s="60"/>
      <c r="B75" s="128"/>
      <c r="C75" s="146"/>
      <c r="D75" s="146"/>
      <c r="E75" s="146"/>
      <c r="F75" s="146"/>
      <c r="G75" s="141"/>
      <c r="H75" s="141"/>
      <c r="I75" s="4"/>
    </row>
    <row r="76" spans="1:16" s="9" customFormat="1">
      <c r="A76" s="60"/>
      <c r="B76" s="128"/>
      <c r="C76" s="147"/>
      <c r="D76" s="147"/>
      <c r="E76" s="147"/>
      <c r="F76" s="147"/>
      <c r="G76" s="141"/>
      <c r="H76" s="141"/>
      <c r="I76" s="4"/>
    </row>
    <row r="77" spans="1:16" s="9" customFormat="1">
      <c r="A77" s="60"/>
      <c r="B77" s="128"/>
      <c r="C77" s="145"/>
      <c r="D77" s="145"/>
      <c r="E77" s="141"/>
      <c r="F77" s="141"/>
      <c r="G77" s="141"/>
      <c r="H77" s="141"/>
      <c r="I77" s="4"/>
    </row>
    <row r="78" spans="1:16" s="9" customFormat="1">
      <c r="A78" s="143"/>
      <c r="B78" s="144"/>
      <c r="C78" s="145"/>
      <c r="D78" s="145"/>
      <c r="E78" s="141"/>
      <c r="F78" s="141"/>
      <c r="G78" s="141"/>
      <c r="H78" s="141"/>
      <c r="I78" s="4"/>
    </row>
    <row r="79" spans="1:16" s="9" customFormat="1">
      <c r="A79" s="60"/>
      <c r="B79" s="128"/>
      <c r="C79" s="146"/>
      <c r="D79" s="146"/>
      <c r="E79" s="146"/>
      <c r="F79" s="146"/>
      <c r="G79" s="141"/>
      <c r="H79" s="141"/>
      <c r="I79" s="4"/>
    </row>
    <row r="80" spans="1:16" s="9" customFormat="1">
      <c r="A80" s="60"/>
      <c r="B80" s="128"/>
      <c r="C80" s="146"/>
      <c r="D80" s="146"/>
      <c r="E80" s="146"/>
      <c r="F80" s="146"/>
      <c r="G80" s="141"/>
      <c r="H80" s="141"/>
      <c r="I80" s="4"/>
    </row>
    <row r="81" spans="1:9" s="9" customFormat="1">
      <c r="A81" s="60"/>
      <c r="B81" s="128"/>
      <c r="C81" s="146"/>
      <c r="D81" s="146"/>
      <c r="E81" s="146"/>
      <c r="F81" s="146"/>
      <c r="G81" s="141"/>
      <c r="H81" s="141"/>
      <c r="I81" s="4"/>
    </row>
    <row r="82" spans="1:9" s="9" customFormat="1">
      <c r="A82" s="60"/>
      <c r="B82" s="128"/>
      <c r="C82" s="147"/>
      <c r="D82" s="147"/>
      <c r="E82" s="147"/>
      <c r="F82" s="147"/>
      <c r="G82" s="141"/>
      <c r="H82" s="141"/>
      <c r="I82" s="4"/>
    </row>
    <row r="83" spans="1:9" s="9" customFormat="1">
      <c r="A83" s="60"/>
      <c r="B83" s="128"/>
      <c r="C83" s="147"/>
      <c r="D83" s="147"/>
      <c r="E83" s="147"/>
      <c r="F83" s="147"/>
      <c r="G83" s="141"/>
      <c r="H83" s="141"/>
      <c r="I83" s="4"/>
    </row>
    <row r="84" spans="1:9" s="9" customFormat="1">
      <c r="A84" s="143"/>
      <c r="B84" s="144"/>
      <c r="C84" s="147"/>
      <c r="D84" s="147"/>
      <c r="E84" s="147"/>
      <c r="F84" s="147"/>
      <c r="G84" s="141"/>
      <c r="H84" s="141"/>
      <c r="I84" s="4"/>
    </row>
    <row r="85" spans="1:9" s="9" customFormat="1">
      <c r="A85" s="60"/>
      <c r="B85" s="128"/>
      <c r="C85" s="146"/>
      <c r="D85" s="146"/>
      <c r="E85" s="146"/>
      <c r="F85" s="146"/>
      <c r="G85" s="141"/>
      <c r="H85" s="141"/>
      <c r="I85" s="4"/>
    </row>
    <row r="86" spans="1:9" s="9" customFormat="1">
      <c r="A86" s="60"/>
      <c r="B86" s="128"/>
      <c r="C86" s="146"/>
      <c r="D86" s="146"/>
      <c r="E86" s="146"/>
      <c r="F86" s="146"/>
      <c r="G86" s="141"/>
      <c r="H86" s="141"/>
      <c r="I86" s="4"/>
    </row>
    <row r="87" spans="1:9" s="9" customFormat="1">
      <c r="A87" s="60"/>
      <c r="B87" s="128"/>
      <c r="C87" s="146"/>
      <c r="D87" s="146"/>
      <c r="E87" s="146"/>
      <c r="F87" s="146"/>
      <c r="G87" s="141"/>
      <c r="H87" s="141"/>
      <c r="I87" s="4"/>
    </row>
    <row r="88" spans="1:9" s="9" customFormat="1">
      <c r="A88" s="60"/>
      <c r="B88" s="128"/>
      <c r="C88" s="147"/>
      <c r="D88" s="147"/>
      <c r="E88" s="147"/>
      <c r="F88" s="147"/>
      <c r="G88" s="141"/>
      <c r="H88" s="141"/>
      <c r="I88" s="4"/>
    </row>
    <row r="89" spans="1:9" s="9" customFormat="1">
      <c r="A89" s="60"/>
      <c r="B89" s="128"/>
      <c r="C89" s="147"/>
      <c r="D89" s="147"/>
      <c r="E89" s="147"/>
      <c r="F89" s="147"/>
      <c r="G89" s="141"/>
      <c r="H89" s="141"/>
      <c r="I89" s="4"/>
    </row>
    <row r="90" spans="1:9" s="9" customFormat="1">
      <c r="A90" s="143"/>
      <c r="B90" s="144"/>
      <c r="C90" s="147"/>
      <c r="D90" s="147"/>
      <c r="E90" s="147"/>
      <c r="F90" s="147"/>
      <c r="G90" s="141"/>
      <c r="H90" s="141"/>
      <c r="I90" s="4"/>
    </row>
    <row r="91" spans="1:9" s="9" customFormat="1">
      <c r="A91" s="60"/>
      <c r="B91" s="128"/>
      <c r="C91" s="146"/>
      <c r="D91" s="146"/>
      <c r="E91" s="146"/>
      <c r="F91" s="146"/>
      <c r="G91" s="141"/>
      <c r="H91" s="141"/>
      <c r="I91" s="4"/>
    </row>
    <row r="92" spans="1:9" s="9" customFormat="1">
      <c r="A92" s="60"/>
      <c r="B92" s="128"/>
      <c r="C92" s="146"/>
      <c r="D92" s="146"/>
      <c r="E92" s="146"/>
      <c r="F92" s="146"/>
      <c r="G92" s="141"/>
      <c r="H92" s="141"/>
      <c r="I92" s="4"/>
    </row>
    <row r="93" spans="1:9" s="9" customFormat="1">
      <c r="A93" s="60"/>
      <c r="B93" s="128"/>
      <c r="C93" s="146"/>
      <c r="D93" s="146"/>
      <c r="E93" s="146"/>
      <c r="F93" s="146"/>
      <c r="G93" s="141"/>
      <c r="H93" s="141"/>
      <c r="I93" s="4"/>
    </row>
    <row r="94" spans="1:9" s="9" customFormat="1">
      <c r="A94" s="60"/>
      <c r="B94" s="128"/>
      <c r="C94" s="147"/>
      <c r="D94" s="147"/>
      <c r="E94" s="147"/>
      <c r="F94" s="147"/>
      <c r="G94" s="141"/>
      <c r="H94" s="141"/>
      <c r="I94" s="4"/>
    </row>
    <row r="95" spans="1:9" s="9" customFormat="1">
      <c r="A95" s="60"/>
      <c r="B95" s="128"/>
      <c r="C95" s="147"/>
      <c r="D95" s="147"/>
      <c r="E95" s="147"/>
      <c r="F95" s="147"/>
      <c r="G95" s="141"/>
      <c r="H95" s="141"/>
      <c r="I95" s="4"/>
    </row>
    <row r="96" spans="1:9" s="9" customFormat="1">
      <c r="A96" s="143"/>
      <c r="B96" s="128"/>
      <c r="C96" s="147"/>
      <c r="D96" s="147"/>
      <c r="E96" s="147"/>
      <c r="F96" s="147"/>
      <c r="G96" s="141"/>
      <c r="H96" s="141"/>
      <c r="I96" s="4"/>
    </row>
    <row r="97" spans="1:16" s="9" customFormat="1">
      <c r="A97" s="60"/>
      <c r="B97" s="128"/>
      <c r="C97" s="146"/>
      <c r="D97" s="146"/>
      <c r="E97" s="146"/>
      <c r="F97" s="146"/>
      <c r="G97" s="141"/>
      <c r="H97" s="141"/>
      <c r="I97" s="4"/>
    </row>
    <row r="98" spans="1:16" s="9" customFormat="1" ht="12.95" customHeight="1">
      <c r="A98" s="60"/>
      <c r="B98" s="128"/>
      <c r="C98" s="146"/>
      <c r="D98" s="146"/>
      <c r="E98" s="146"/>
      <c r="F98" s="146"/>
      <c r="G98" s="141"/>
      <c r="H98" s="141"/>
      <c r="I98" s="4"/>
    </row>
    <row r="99" spans="1:16" s="9" customFormat="1" ht="14.1" customHeight="1">
      <c r="A99" s="60"/>
      <c r="B99" s="128"/>
      <c r="C99" s="146"/>
      <c r="D99" s="146"/>
      <c r="E99" s="146"/>
      <c r="F99" s="146"/>
      <c r="G99" s="141"/>
      <c r="H99" s="141"/>
      <c r="I99" s="4"/>
    </row>
    <row r="100" spans="1:16" s="9" customFormat="1" ht="14.1" customHeight="1">
      <c r="A100" s="60"/>
      <c r="B100" s="128"/>
      <c r="C100" s="147"/>
      <c r="D100" s="147"/>
      <c r="E100" s="147"/>
      <c r="F100" s="147"/>
      <c r="G100" s="141"/>
      <c r="H100" s="141"/>
      <c r="I100" s="4"/>
    </row>
    <row r="101" spans="1:16" s="9" customFormat="1" ht="14.1" customHeight="1">
      <c r="A101" s="129"/>
      <c r="B101" s="148"/>
      <c r="C101" s="60"/>
      <c r="D101" s="141"/>
      <c r="E101" s="141"/>
      <c r="F101" s="134"/>
      <c r="G101" s="133"/>
      <c r="H101" s="133"/>
      <c r="I101" s="21"/>
      <c r="J101" s="21"/>
      <c r="K101" s="21"/>
      <c r="L101" s="21"/>
      <c r="M101" s="21"/>
      <c r="N101" s="21"/>
      <c r="O101" s="21"/>
      <c r="P101" s="21"/>
    </row>
    <row r="102" spans="1:16" s="9" customFormat="1" ht="14.1" customHeight="1">
      <c r="A102" s="149"/>
      <c r="B102" s="149"/>
      <c r="C102" s="149"/>
      <c r="D102" s="149"/>
      <c r="E102" s="149"/>
      <c r="F102" s="134"/>
      <c r="G102" s="133"/>
      <c r="H102" s="133"/>
      <c r="I102" s="21"/>
      <c r="J102" s="21"/>
      <c r="K102" s="21"/>
      <c r="L102" s="21"/>
      <c r="M102" s="21"/>
      <c r="N102" s="21"/>
      <c r="O102" s="21"/>
      <c r="P102" s="21"/>
    </row>
    <row r="103" spans="1:16">
      <c r="A103" s="149"/>
      <c r="B103" s="149"/>
      <c r="C103" s="149"/>
      <c r="D103" s="149"/>
      <c r="E103" s="149"/>
      <c r="F103" s="134"/>
      <c r="G103" s="133"/>
      <c r="H103" s="133"/>
    </row>
    <row r="104" spans="1:16">
      <c r="A104" s="149"/>
      <c r="B104" s="149"/>
      <c r="C104" s="149"/>
      <c r="D104" s="149"/>
      <c r="E104" s="149"/>
      <c r="F104" s="134"/>
      <c r="G104" s="133"/>
      <c r="H104" s="133"/>
    </row>
    <row r="105" spans="1:16">
      <c r="A105" s="149"/>
      <c r="B105" s="149"/>
      <c r="C105" s="149"/>
      <c r="D105" s="149"/>
      <c r="E105" s="149"/>
      <c r="F105" s="134"/>
      <c r="G105" s="133"/>
      <c r="H105" s="133"/>
    </row>
    <row r="106" spans="1:16">
      <c r="A106" s="149"/>
      <c r="B106" s="149"/>
      <c r="C106" s="149"/>
      <c r="D106" s="149"/>
      <c r="E106" s="149"/>
      <c r="F106" s="134"/>
      <c r="G106" s="133"/>
      <c r="H106" s="133"/>
    </row>
    <row r="107" spans="1:16">
      <c r="A107" s="149"/>
      <c r="B107" s="149"/>
      <c r="C107" s="149"/>
      <c r="D107" s="149"/>
      <c r="E107" s="149"/>
      <c r="F107" s="134"/>
      <c r="G107" s="133"/>
      <c r="H107" s="133"/>
    </row>
    <row r="108" spans="1:16">
      <c r="A108" s="149"/>
      <c r="B108" s="149"/>
      <c r="C108" s="149"/>
      <c r="D108" s="149"/>
      <c r="E108" s="149"/>
      <c r="F108" s="134"/>
      <c r="G108" s="133"/>
      <c r="H108" s="133"/>
    </row>
    <row r="109" spans="1:16">
      <c r="A109" s="149"/>
      <c r="B109" s="149"/>
      <c r="C109" s="149"/>
      <c r="D109" s="149"/>
      <c r="E109" s="149"/>
      <c r="F109" s="134"/>
      <c r="G109" s="133"/>
      <c r="H109" s="133"/>
    </row>
    <row r="110" spans="1:16">
      <c r="A110" s="149"/>
      <c r="B110" s="149"/>
      <c r="C110" s="149"/>
      <c r="D110" s="149"/>
      <c r="E110" s="149"/>
      <c r="F110" s="134"/>
      <c r="G110" s="133"/>
      <c r="H110" s="133"/>
    </row>
    <row r="111" spans="1:16">
      <c r="A111" s="149"/>
      <c r="B111" s="149"/>
      <c r="C111" s="149"/>
      <c r="D111" s="149"/>
      <c r="E111" s="149"/>
      <c r="F111" s="134"/>
      <c r="G111" s="133"/>
      <c r="H111" s="133"/>
    </row>
    <row r="112" spans="1:16">
      <c r="A112" s="149"/>
      <c r="B112" s="149"/>
      <c r="C112" s="149"/>
      <c r="D112" s="149"/>
      <c r="E112" s="149"/>
      <c r="F112" s="134"/>
      <c r="G112" s="133"/>
      <c r="H112" s="133"/>
    </row>
    <row r="113" spans="1:23">
      <c r="A113" s="149"/>
      <c r="B113" s="149"/>
      <c r="C113" s="149"/>
      <c r="D113" s="149"/>
      <c r="E113" s="149"/>
      <c r="F113" s="134"/>
      <c r="G113" s="133"/>
      <c r="H113" s="133"/>
    </row>
    <row r="114" spans="1:23">
      <c r="A114" s="149"/>
      <c r="B114" s="149"/>
      <c r="C114" s="149"/>
      <c r="D114" s="149"/>
      <c r="E114" s="149"/>
      <c r="F114" s="134"/>
      <c r="G114" s="133"/>
      <c r="H114" s="133"/>
    </row>
    <row r="115" spans="1:23">
      <c r="A115" s="149"/>
      <c r="B115" s="149"/>
      <c r="C115" s="149"/>
      <c r="D115" s="149"/>
      <c r="E115" s="149"/>
      <c r="F115" s="134"/>
      <c r="G115" s="133"/>
      <c r="H115" s="133"/>
    </row>
    <row r="116" spans="1:23">
      <c r="A116" s="149"/>
      <c r="B116" s="149"/>
      <c r="C116" s="149"/>
      <c r="D116" s="149"/>
      <c r="E116" s="149"/>
      <c r="F116" s="134"/>
      <c r="G116" s="133"/>
      <c r="H116" s="133"/>
    </row>
    <row r="117" spans="1:23">
      <c r="A117" s="149"/>
      <c r="B117" s="149"/>
      <c r="C117" s="149"/>
      <c r="D117" s="149"/>
      <c r="E117" s="149"/>
      <c r="F117" s="134"/>
      <c r="G117" s="133"/>
      <c r="H117" s="133"/>
    </row>
    <row r="118" spans="1:23">
      <c r="A118" s="149"/>
      <c r="B118" s="149"/>
      <c r="C118" s="149"/>
      <c r="D118" s="149"/>
      <c r="E118" s="149"/>
      <c r="F118" s="134"/>
      <c r="G118" s="133"/>
      <c r="H118" s="133"/>
    </row>
    <row r="119" spans="1:23">
      <c r="A119" s="149"/>
      <c r="B119" s="149"/>
      <c r="C119" s="149"/>
      <c r="D119" s="149"/>
      <c r="E119" s="149"/>
      <c r="F119" s="134"/>
      <c r="G119" s="133"/>
      <c r="H119" s="133"/>
    </row>
    <row r="120" spans="1:23">
      <c r="A120" s="129"/>
      <c r="B120" s="148"/>
      <c r="C120" s="60"/>
      <c r="D120" s="141"/>
      <c r="E120" s="141"/>
      <c r="F120" s="134"/>
      <c r="G120" s="133"/>
      <c r="H120" s="133"/>
    </row>
    <row r="121" spans="1:23">
      <c r="A121" s="129"/>
      <c r="B121" s="148"/>
      <c r="C121" s="60"/>
      <c r="D121" s="141"/>
      <c r="E121" s="141"/>
      <c r="F121" s="134"/>
      <c r="G121" s="133"/>
      <c r="H121" s="133"/>
    </row>
    <row r="122" spans="1:23">
      <c r="A122" s="133"/>
      <c r="B122" s="133"/>
      <c r="C122" s="133"/>
      <c r="D122" s="133"/>
      <c r="E122" s="133"/>
      <c r="F122" s="133"/>
      <c r="G122" s="133"/>
      <c r="H122" s="133"/>
      <c r="R122" s="16"/>
      <c r="S122" s="28"/>
      <c r="T122" s="9"/>
      <c r="U122" s="4"/>
      <c r="V122" s="4"/>
      <c r="W122" s="25"/>
    </row>
    <row r="123" spans="1:23">
      <c r="A123" s="60"/>
      <c r="B123" s="60"/>
      <c r="C123" s="60"/>
      <c r="D123" s="60"/>
      <c r="E123" s="60"/>
      <c r="F123" s="60"/>
      <c r="G123" s="141"/>
      <c r="H123" s="141"/>
      <c r="I123" s="9"/>
      <c r="J123" s="9"/>
      <c r="K123" s="9"/>
      <c r="L123" s="9"/>
      <c r="M123" s="9"/>
      <c r="N123" s="9"/>
      <c r="O123" s="9"/>
      <c r="P123" s="9"/>
      <c r="R123" s="9"/>
      <c r="S123" s="9"/>
      <c r="T123" s="11"/>
      <c r="U123" s="4"/>
      <c r="V123" s="4"/>
      <c r="W123" s="12"/>
    </row>
    <row r="124" spans="1:23">
      <c r="A124" s="60"/>
      <c r="B124" s="60"/>
      <c r="C124" s="60"/>
      <c r="D124" s="60"/>
      <c r="E124" s="60"/>
      <c r="F124" s="60"/>
      <c r="G124" s="141"/>
      <c r="H124" s="141"/>
      <c r="I124" s="9"/>
      <c r="J124" s="9"/>
      <c r="K124" s="9"/>
      <c r="L124" s="9"/>
      <c r="M124" s="9"/>
      <c r="N124" s="9"/>
      <c r="O124" s="9"/>
      <c r="P124" s="9"/>
      <c r="R124" s="9"/>
      <c r="S124" s="11"/>
      <c r="T124" s="4"/>
      <c r="U124" s="4"/>
      <c r="V124" s="4"/>
      <c r="W124" s="12"/>
    </row>
    <row r="125" spans="1:23" s="9" customFormat="1" ht="14.1" customHeight="1">
      <c r="A125" s="60"/>
      <c r="B125" s="60"/>
      <c r="C125" s="60"/>
      <c r="D125" s="60"/>
      <c r="E125" s="60"/>
      <c r="F125" s="60"/>
      <c r="G125" s="141"/>
      <c r="H125" s="141"/>
      <c r="S125" s="11"/>
      <c r="U125" s="4"/>
      <c r="V125" s="4"/>
      <c r="W125" s="12"/>
    </row>
    <row r="126" spans="1:23" s="9" customFormat="1" ht="14.1" customHeight="1">
      <c r="A126" s="60"/>
      <c r="B126" s="60"/>
      <c r="C126" s="60"/>
      <c r="D126" s="60"/>
      <c r="E126" s="60"/>
      <c r="F126" s="60"/>
      <c r="G126" s="141"/>
      <c r="H126" s="141"/>
      <c r="R126" s="27"/>
      <c r="S126" s="29"/>
      <c r="T126" s="26"/>
      <c r="U126" s="5"/>
      <c r="V126" s="5"/>
      <c r="W126" s="12"/>
    </row>
    <row r="127" spans="1:23" s="9" customFormat="1" ht="14.1" customHeight="1">
      <c r="A127" s="60"/>
      <c r="B127" s="60"/>
      <c r="C127" s="60"/>
      <c r="D127" s="60"/>
      <c r="E127" s="60"/>
      <c r="F127" s="60"/>
      <c r="G127" s="141"/>
      <c r="H127" s="141"/>
      <c r="R127" s="30"/>
      <c r="S127" s="29"/>
      <c r="T127" s="26"/>
      <c r="U127" s="5"/>
      <c r="V127" s="5"/>
      <c r="W127" s="12"/>
    </row>
    <row r="128" spans="1:23" s="9" customFormat="1" ht="14.1" customHeight="1">
      <c r="G128" s="4"/>
      <c r="H128" s="4"/>
      <c r="R128" s="30"/>
      <c r="S128" s="29"/>
      <c r="T128" s="26"/>
      <c r="U128" s="5"/>
      <c r="V128" s="5"/>
      <c r="W128" s="12"/>
    </row>
    <row r="129" spans="1:23" s="9" customFormat="1" ht="14.1" customHeight="1">
      <c r="G129" s="4"/>
      <c r="H129" s="4"/>
      <c r="R129" s="30"/>
      <c r="S129" s="29"/>
      <c r="T129" s="26"/>
      <c r="U129" s="5"/>
      <c r="V129" s="5"/>
      <c r="W129" s="12"/>
    </row>
    <row r="130" spans="1:23" s="9" customFormat="1" ht="14.1" customHeight="1">
      <c r="G130" s="4"/>
      <c r="H130" s="4"/>
      <c r="R130" s="30"/>
      <c r="S130" s="29"/>
      <c r="T130" s="26"/>
      <c r="U130" s="5"/>
      <c r="V130" s="5"/>
      <c r="W130" s="12"/>
    </row>
    <row r="131" spans="1:23" s="9" customFormat="1" ht="14.1" customHeight="1">
      <c r="G131" s="4"/>
      <c r="H131" s="4"/>
      <c r="R131" s="30"/>
      <c r="S131" s="29"/>
      <c r="T131" s="26"/>
      <c r="U131" s="5"/>
      <c r="V131" s="5"/>
      <c r="W131" s="12"/>
    </row>
    <row r="132" spans="1:23" s="9" customFormat="1" ht="14.1" customHeight="1">
      <c r="G132" s="4"/>
      <c r="H132" s="4"/>
      <c r="R132" s="30"/>
      <c r="S132" s="29"/>
      <c r="T132" s="26"/>
      <c r="U132" s="5"/>
      <c r="V132" s="5"/>
      <c r="W132" s="12"/>
    </row>
    <row r="133" spans="1:23" s="9" customFormat="1" ht="14.1" customHeight="1">
      <c r="G133" s="4"/>
      <c r="H133" s="4"/>
      <c r="R133" s="30"/>
      <c r="S133" s="29"/>
      <c r="T133" s="26"/>
      <c r="U133" s="5"/>
      <c r="V133" s="5"/>
      <c r="W133" s="12"/>
    </row>
    <row r="134" spans="1:23" s="9" customFormat="1" ht="14.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R134" s="3"/>
      <c r="S134" s="29"/>
      <c r="T134" s="26"/>
      <c r="U134" s="5"/>
      <c r="V134" s="5"/>
      <c r="W134" s="25"/>
    </row>
    <row r="135" spans="1:23" s="9" customFormat="1" ht="14.1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R135" s="3"/>
      <c r="S135" s="29"/>
      <c r="T135" s="26"/>
      <c r="U135" s="5"/>
      <c r="V135" s="5"/>
      <c r="W135" s="25"/>
    </row>
    <row r="136" spans="1:23" ht="12.95" customHeight="1">
      <c r="R136" s="3"/>
      <c r="S136" s="29"/>
      <c r="T136" s="4"/>
      <c r="U136" s="5"/>
      <c r="V136" s="5"/>
      <c r="W136" s="25"/>
    </row>
    <row r="137" spans="1:23" ht="12.95" customHeight="1">
      <c r="R137" s="27"/>
      <c r="S137" s="29"/>
      <c r="T137" s="26"/>
      <c r="U137" s="5"/>
      <c r="V137" s="5"/>
      <c r="W137" s="25"/>
    </row>
    <row r="138" spans="1:23">
      <c r="R138" s="30"/>
      <c r="S138" s="29"/>
      <c r="T138" s="26"/>
      <c r="U138" s="5"/>
      <c r="V138" s="5"/>
      <c r="W138" s="25"/>
    </row>
    <row r="139" spans="1:23">
      <c r="R139" s="3"/>
      <c r="S139" s="29"/>
      <c r="T139" s="26"/>
      <c r="U139" s="5"/>
      <c r="V139" s="5"/>
      <c r="W139" s="25"/>
    </row>
    <row r="140" spans="1:23">
      <c r="R140" s="3"/>
      <c r="S140" s="29"/>
      <c r="T140" s="26"/>
      <c r="U140" s="5"/>
      <c r="V140" s="5"/>
      <c r="W140" s="25"/>
    </row>
    <row r="141" spans="1:23">
      <c r="R141" s="3"/>
      <c r="S141" s="31"/>
      <c r="T141" s="9"/>
      <c r="U141" s="4"/>
      <c r="V141" s="4"/>
      <c r="W141" s="25"/>
    </row>
    <row r="142" spans="1:23" ht="15.95" customHeight="1">
      <c r="R142" s="27"/>
      <c r="S142" s="29"/>
      <c r="T142" s="26"/>
      <c r="U142" s="5"/>
      <c r="V142" s="5"/>
      <c r="W142" s="25"/>
    </row>
    <row r="143" spans="1:23">
      <c r="R143" s="30"/>
      <c r="S143" s="29"/>
      <c r="T143" s="26"/>
      <c r="U143" s="5"/>
      <c r="V143" s="5"/>
      <c r="W143" s="25"/>
    </row>
    <row r="144" spans="1:23">
      <c r="R144" s="3"/>
      <c r="S144" s="29"/>
      <c r="T144" s="26"/>
      <c r="U144" s="5"/>
      <c r="V144" s="5"/>
      <c r="W144" s="25"/>
    </row>
    <row r="145" spans="9:23">
      <c r="R145" s="3"/>
      <c r="S145" s="29"/>
      <c r="T145" s="26"/>
      <c r="U145" s="5"/>
      <c r="V145" s="5"/>
      <c r="W145" s="25"/>
    </row>
    <row r="146" spans="9:23">
      <c r="R146" s="3"/>
      <c r="S146" s="29"/>
      <c r="T146" s="26"/>
      <c r="U146" s="5"/>
      <c r="V146" s="5"/>
      <c r="W146" s="25"/>
    </row>
    <row r="147" spans="9:23" ht="15" customHeight="1">
      <c r="R147" s="27"/>
      <c r="S147" s="29"/>
      <c r="T147" s="26"/>
      <c r="U147" s="5"/>
      <c r="V147" s="5"/>
      <c r="W147" s="25"/>
    </row>
    <row r="148" spans="9:23" ht="15" customHeight="1">
      <c r="R148" s="30"/>
      <c r="S148" s="29"/>
      <c r="T148" s="26"/>
      <c r="U148" s="5"/>
      <c r="V148" s="5"/>
      <c r="W148" s="25"/>
    </row>
    <row r="149" spans="9:23" ht="15" customHeight="1">
      <c r="Q149" s="133"/>
      <c r="R149" s="129"/>
      <c r="S149" s="150"/>
      <c r="T149" s="140"/>
      <c r="U149" s="132"/>
      <c r="V149" s="132"/>
      <c r="W149" s="134"/>
    </row>
    <row r="150" spans="9:23" ht="15.95" customHeight="1">
      <c r="Q150" s="133"/>
      <c r="R150" s="129"/>
      <c r="S150" s="150"/>
      <c r="T150" s="140"/>
      <c r="U150" s="132"/>
      <c r="V150" s="132"/>
      <c r="W150" s="134"/>
    </row>
    <row r="151" spans="9:23" ht="15" customHeight="1">
      <c r="Q151" s="133"/>
      <c r="R151" s="129"/>
      <c r="S151" s="60"/>
      <c r="T151" s="151"/>
      <c r="U151" s="60"/>
      <c r="V151" s="141"/>
      <c r="W151" s="134"/>
    </row>
    <row r="152" spans="9:23" ht="15.95" customHeight="1">
      <c r="Q152" s="133"/>
      <c r="R152" s="129"/>
      <c r="S152" s="133"/>
      <c r="T152" s="152"/>
      <c r="U152" s="60"/>
      <c r="V152" s="141"/>
      <c r="W152" s="134"/>
    </row>
    <row r="153" spans="9:23">
      <c r="I153" s="32"/>
      <c r="Q153" s="133"/>
      <c r="R153" s="129"/>
      <c r="S153" s="60"/>
      <c r="T153" s="140"/>
      <c r="U153" s="60"/>
      <c r="V153" s="132"/>
      <c r="W153" s="134"/>
    </row>
    <row r="154" spans="9:23">
      <c r="Q154" s="133"/>
      <c r="R154" s="129"/>
      <c r="S154" s="60"/>
      <c r="T154" s="140"/>
      <c r="U154" s="60"/>
      <c r="V154" s="132"/>
      <c r="W154" s="134"/>
    </row>
    <row r="155" spans="9:23">
      <c r="Q155" s="133"/>
      <c r="R155" s="133"/>
      <c r="S155" s="133"/>
      <c r="T155" s="133"/>
      <c r="U155" s="133"/>
      <c r="V155" s="153"/>
      <c r="W155" s="153"/>
    </row>
    <row r="156" spans="9:23" ht="14.1" customHeight="1">
      <c r="Q156" s="133"/>
      <c r="R156" s="133"/>
      <c r="S156" s="133"/>
      <c r="T156" s="133"/>
      <c r="U156" s="133"/>
      <c r="V156" s="153"/>
      <c r="W156" s="153"/>
    </row>
    <row r="157" spans="9:23" ht="14.1" customHeight="1">
      <c r="Q157" s="133"/>
      <c r="R157" s="133"/>
      <c r="S157" s="154"/>
      <c r="T157" s="133"/>
      <c r="U157" s="133"/>
      <c r="V157" s="153"/>
      <c r="W157" s="153"/>
    </row>
    <row r="158" spans="9:23" ht="14.1" customHeight="1">
      <c r="Q158" s="133"/>
      <c r="R158" s="133"/>
      <c r="S158" s="155"/>
      <c r="T158" s="133"/>
      <c r="U158" s="133"/>
      <c r="V158" s="153"/>
      <c r="W158" s="153"/>
    </row>
    <row r="159" spans="9:23" ht="14.1" customHeight="1">
      <c r="Q159" s="133"/>
      <c r="R159" s="133"/>
      <c r="S159" s="133"/>
      <c r="T159" s="156"/>
      <c r="U159" s="133"/>
      <c r="V159" s="135"/>
      <c r="W159" s="135"/>
    </row>
    <row r="160" spans="9:23" ht="14.1" customHeight="1">
      <c r="Q160" s="133"/>
      <c r="R160" s="133"/>
      <c r="S160" s="133"/>
      <c r="T160" s="156"/>
      <c r="U160" s="133"/>
      <c r="V160" s="135"/>
      <c r="W160" s="135"/>
    </row>
    <row r="161" spans="1:23" ht="14.1" customHeight="1">
      <c r="Q161" s="133"/>
      <c r="R161" s="133"/>
      <c r="S161" s="133"/>
      <c r="T161" s="157"/>
      <c r="U161" s="133"/>
      <c r="V161" s="135"/>
      <c r="W161" s="135"/>
    </row>
    <row r="162" spans="1:23" ht="14.1" customHeight="1">
      <c r="S162" s="36"/>
      <c r="T162" s="35"/>
      <c r="V162" s="33"/>
      <c r="W162" s="33"/>
    </row>
    <row r="163" spans="1:23" ht="14.1" customHeight="1">
      <c r="T163" s="37"/>
      <c r="V163" s="33"/>
      <c r="W163" s="33"/>
    </row>
    <row r="164" spans="1:23" ht="14.1" customHeight="1">
      <c r="G164" s="33"/>
      <c r="S164" s="39"/>
      <c r="T164" s="35"/>
      <c r="V164" s="33"/>
      <c r="W164" s="33"/>
    </row>
    <row r="165" spans="1:23" ht="14.1" customHeight="1">
      <c r="V165" s="34"/>
      <c r="W165" s="34"/>
    </row>
    <row r="166" spans="1:23" ht="14.1" customHeight="1">
      <c r="V166" s="34"/>
      <c r="W166" s="34"/>
    </row>
    <row r="167" spans="1:23" ht="6.95" customHeight="1">
      <c r="A167" s="133"/>
      <c r="B167" s="133"/>
      <c r="C167" s="133"/>
      <c r="D167" s="133"/>
      <c r="E167" s="135"/>
      <c r="F167" s="135"/>
      <c r="G167" s="133"/>
      <c r="H167" s="133"/>
      <c r="I167" s="133"/>
      <c r="J167" s="133"/>
    </row>
    <row r="168" spans="1:23">
      <c r="A168" s="133"/>
      <c r="B168" s="133"/>
      <c r="C168" s="133"/>
      <c r="D168" s="133"/>
      <c r="E168" s="135"/>
      <c r="F168" s="135"/>
      <c r="G168" s="133"/>
      <c r="H168" s="133"/>
      <c r="I168" s="133"/>
      <c r="J168" s="133"/>
    </row>
    <row r="169" spans="1:23">
      <c r="A169" s="133"/>
      <c r="B169" s="133"/>
      <c r="C169" s="133"/>
      <c r="D169" s="133"/>
      <c r="E169" s="135"/>
      <c r="F169" s="135"/>
      <c r="G169" s="133"/>
      <c r="H169" s="133"/>
      <c r="I169" s="133"/>
      <c r="J169" s="133"/>
    </row>
    <row r="170" spans="1:23">
      <c r="A170" s="133"/>
      <c r="B170" s="133"/>
      <c r="C170" s="133"/>
      <c r="D170" s="133"/>
      <c r="E170" s="135"/>
      <c r="F170" s="135"/>
      <c r="G170" s="133"/>
      <c r="H170" s="133"/>
      <c r="I170" s="133"/>
      <c r="J170" s="133"/>
    </row>
    <row r="171" spans="1:23">
      <c r="A171" s="149"/>
      <c r="B171" s="149"/>
      <c r="C171" s="149"/>
      <c r="D171" s="149"/>
      <c r="E171" s="133"/>
      <c r="F171" s="133"/>
      <c r="G171" s="133"/>
      <c r="H171" s="133"/>
      <c r="I171" s="133"/>
      <c r="J171" s="133"/>
    </row>
    <row r="172" spans="1:23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</row>
    <row r="173" spans="1:23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</row>
    <row r="174" spans="1:23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</row>
    <row r="175" spans="1:23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</row>
    <row r="176" spans="1:23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</row>
    <row r="177" spans="1:10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</row>
    <row r="178" spans="1:10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</row>
    <row r="179" spans="1:10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</row>
    <row r="180" spans="1:10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</row>
    <row r="181" spans="1:10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</row>
    <row r="182" spans="1:10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</row>
    <row r="183" spans="1:10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</row>
    <row r="184" spans="1:10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</row>
    <row r="185" spans="1:10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</row>
    <row r="186" spans="1:10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</row>
  </sheetData>
  <mergeCells count="13">
    <mergeCell ref="A28:F28"/>
    <mergeCell ref="E29:F29"/>
    <mergeCell ref="A2:I2"/>
    <mergeCell ref="B33:F33"/>
    <mergeCell ref="A4:E4"/>
    <mergeCell ref="A9:E9"/>
    <mergeCell ref="A15:F15"/>
    <mergeCell ref="A24:E24"/>
    <mergeCell ref="F4:G4"/>
    <mergeCell ref="F5:G5"/>
    <mergeCell ref="F6:G6"/>
    <mergeCell ref="F7:G7"/>
    <mergeCell ref="A21:B21"/>
  </mergeCells>
  <pageMargins left="0.6" right="0.62" top="0.75" bottom="0.42" header="0.3" footer="0.24"/>
  <pageSetup scale="80" orientation="landscape" verticalDpi="4294967292"/>
  <headerFooter>
    <oddFooter>&amp;C&amp;"-,Regular"&amp;10&amp;A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C765-98E4-EB42-A54A-8D36260B8DDE}">
  <sheetPr>
    <tabColor rgb="FF0070C0"/>
    <pageSetUpPr fitToPage="1"/>
  </sheetPr>
  <dimension ref="A1:H61"/>
  <sheetViews>
    <sheetView workbookViewId="0"/>
  </sheetViews>
  <sheetFormatPr defaultColWidth="11.5546875" defaultRowHeight="15"/>
  <cols>
    <col min="1" max="1" width="4.44140625" customWidth="1"/>
    <col min="2" max="2" width="10.88671875" customWidth="1"/>
    <col min="3" max="3" width="2.88671875" customWidth="1"/>
  </cols>
  <sheetData>
    <row r="1" spans="1:8" ht="18.75">
      <c r="B1" s="1908" t="s">
        <v>706</v>
      </c>
      <c r="C1" s="1908"/>
      <c r="D1" s="1908"/>
      <c r="E1" s="1908"/>
      <c r="F1" s="1908"/>
      <c r="G1" s="1908"/>
      <c r="H1" s="1908"/>
    </row>
    <row r="2" spans="1:8" ht="18.75">
      <c r="B2" s="853"/>
      <c r="C2" s="853"/>
      <c r="D2" s="853"/>
      <c r="E2" s="853"/>
      <c r="F2" s="853"/>
      <c r="G2" s="853"/>
      <c r="H2" s="853"/>
    </row>
    <row r="3" spans="1:8" ht="18.75">
      <c r="B3" s="853"/>
      <c r="C3" s="853"/>
      <c r="D3" s="853"/>
      <c r="E3" s="853"/>
      <c r="F3" s="853"/>
      <c r="G3" s="853"/>
      <c r="H3" s="853"/>
    </row>
    <row r="4" spans="1:8" ht="18.75">
      <c r="A4" s="434" t="s">
        <v>1437</v>
      </c>
      <c r="C4" s="853"/>
      <c r="D4" s="853"/>
      <c r="E4" s="853"/>
      <c r="F4" s="853"/>
      <c r="G4" s="853"/>
      <c r="H4" s="853"/>
    </row>
    <row r="5" spans="1:8" ht="18.75">
      <c r="B5" s="435" t="s">
        <v>418</v>
      </c>
      <c r="C5" s="434"/>
      <c r="D5" s="280"/>
      <c r="E5" s="434" t="s">
        <v>731</v>
      </c>
      <c r="F5" s="433"/>
      <c r="G5" s="433"/>
      <c r="H5" s="280"/>
    </row>
    <row r="6" spans="1:8" ht="18.75">
      <c r="B6" s="435" t="s">
        <v>730</v>
      </c>
      <c r="C6" s="434"/>
      <c r="D6" s="280"/>
      <c r="E6" s="434" t="s">
        <v>1397</v>
      </c>
      <c r="F6" s="433"/>
      <c r="G6" s="433"/>
      <c r="H6" s="280"/>
    </row>
    <row r="7" spans="1:8" ht="18.75">
      <c r="B7" s="435" t="s">
        <v>732</v>
      </c>
      <c r="C7" s="433"/>
      <c r="D7" s="433"/>
      <c r="E7" s="434" t="s">
        <v>731</v>
      </c>
      <c r="F7" s="853"/>
      <c r="G7" s="853"/>
      <c r="H7" s="853"/>
    </row>
    <row r="8" spans="1:8" ht="18.75">
      <c r="B8" s="435" t="s">
        <v>419</v>
      </c>
      <c r="C8" s="433"/>
      <c r="D8" s="433"/>
      <c r="E8" s="434" t="s">
        <v>731</v>
      </c>
      <c r="F8" s="853"/>
      <c r="G8" s="853"/>
      <c r="H8" s="853"/>
    </row>
    <row r="9" spans="1:8" ht="18.75">
      <c r="B9" s="435" t="s">
        <v>733</v>
      </c>
      <c r="C9" s="433"/>
      <c r="D9" s="433"/>
      <c r="E9" s="434" t="s">
        <v>731</v>
      </c>
      <c r="F9" s="853"/>
      <c r="G9" s="853"/>
      <c r="H9" s="853"/>
    </row>
    <row r="10" spans="1:8" ht="18.75">
      <c r="B10" s="435" t="s">
        <v>734</v>
      </c>
      <c r="C10" s="433"/>
      <c r="D10" s="433"/>
      <c r="E10" s="434" t="s">
        <v>731</v>
      </c>
      <c r="F10" s="853"/>
      <c r="G10" s="853"/>
      <c r="H10" s="853"/>
    </row>
    <row r="11" spans="1:8" ht="18.75">
      <c r="B11" s="435"/>
      <c r="C11" s="433"/>
      <c r="D11" s="433"/>
      <c r="E11" s="434"/>
      <c r="F11" s="853"/>
      <c r="G11" s="853"/>
      <c r="H11" s="853"/>
    </row>
    <row r="12" spans="1:8" ht="18.75">
      <c r="A12" s="436" t="s">
        <v>735</v>
      </c>
      <c r="B12" s="853"/>
      <c r="C12" s="853"/>
      <c r="D12" s="853"/>
      <c r="E12" s="434"/>
      <c r="F12" s="853"/>
      <c r="G12" s="853"/>
      <c r="H12" s="853"/>
    </row>
    <row r="13" spans="1:8" ht="18.75">
      <c r="B13" s="279"/>
      <c r="D13" s="437" t="s">
        <v>1409</v>
      </c>
      <c r="E13" s="434"/>
      <c r="F13" s="853"/>
      <c r="G13" s="853"/>
      <c r="H13" s="853"/>
    </row>
    <row r="14" spans="1:8" ht="18.75">
      <c r="B14" s="776"/>
      <c r="D14" s="437" t="s">
        <v>401</v>
      </c>
      <c r="E14" s="434"/>
      <c r="F14" s="853"/>
      <c r="G14" s="853"/>
      <c r="H14" s="853"/>
    </row>
    <row r="15" spans="1:8" ht="18.75">
      <c r="B15" s="435"/>
      <c r="C15" s="433"/>
      <c r="D15" s="433"/>
      <c r="E15" s="434"/>
      <c r="F15" s="853"/>
      <c r="G15" s="853"/>
      <c r="H15" s="853"/>
    </row>
    <row r="16" spans="1:8" ht="18.75">
      <c r="A16" s="436" t="s">
        <v>1439</v>
      </c>
      <c r="B16" s="435"/>
      <c r="C16" s="433"/>
      <c r="D16" s="433"/>
      <c r="E16" s="434"/>
      <c r="F16" s="853"/>
      <c r="G16" s="853"/>
      <c r="H16" s="853"/>
    </row>
    <row r="17" spans="1:8" ht="18.75">
      <c r="A17" s="436" t="s">
        <v>1438</v>
      </c>
      <c r="B17" s="435"/>
      <c r="C17" s="433"/>
      <c r="D17" s="433"/>
      <c r="E17" s="434"/>
      <c r="F17" s="863"/>
      <c r="G17" s="863"/>
      <c r="H17" s="863"/>
    </row>
    <row r="18" spans="1:8" ht="18.75">
      <c r="B18" s="435"/>
      <c r="C18" s="433"/>
      <c r="D18" s="433"/>
      <c r="E18" s="434"/>
      <c r="F18" s="853"/>
      <c r="G18" s="853"/>
      <c r="H18" s="853"/>
    </row>
    <row r="19" spans="1:8" ht="18.75">
      <c r="A19" s="434" t="s">
        <v>1390</v>
      </c>
      <c r="B19" s="435"/>
      <c r="C19" s="433"/>
      <c r="D19" s="433"/>
      <c r="E19" s="434"/>
      <c r="F19" s="853"/>
      <c r="G19" s="853"/>
      <c r="H19" s="853"/>
    </row>
    <row r="20" spans="1:8" ht="18.75">
      <c r="A20" s="434"/>
      <c r="B20" s="435" t="s">
        <v>1395</v>
      </c>
      <c r="C20" s="433"/>
      <c r="D20" s="433"/>
      <c r="E20" s="434"/>
      <c r="F20" s="853"/>
      <c r="G20" s="853"/>
      <c r="H20" s="853"/>
    </row>
    <row r="21" spans="1:8" ht="18.75">
      <c r="A21" s="434"/>
      <c r="B21" s="435" t="s">
        <v>1396</v>
      </c>
      <c r="C21" s="433"/>
      <c r="D21" s="433"/>
      <c r="E21" s="434"/>
      <c r="F21" s="853"/>
      <c r="G21" s="853"/>
      <c r="H21" s="853"/>
    </row>
    <row r="22" spans="1:8" ht="18.75">
      <c r="A22" s="434"/>
      <c r="B22" s="435" t="s">
        <v>1001</v>
      </c>
      <c r="C22" s="433"/>
      <c r="D22" s="433"/>
      <c r="E22" s="434"/>
      <c r="F22" s="853"/>
      <c r="G22" s="853"/>
      <c r="H22" s="853"/>
    </row>
    <row r="23" spans="1:8" ht="18.75">
      <c r="A23" s="434"/>
      <c r="B23" s="435"/>
      <c r="C23" s="433"/>
      <c r="D23" s="433"/>
      <c r="E23" s="434"/>
      <c r="F23" s="853"/>
      <c r="G23" s="853"/>
      <c r="H23" s="853"/>
    </row>
    <row r="24" spans="1:8" ht="41.1" customHeight="1">
      <c r="B24" s="1909" t="s">
        <v>1412</v>
      </c>
      <c r="C24" s="1909"/>
      <c r="D24" s="1909"/>
      <c r="E24" s="1909"/>
      <c r="F24" s="1909"/>
      <c r="G24" s="1909"/>
      <c r="H24" s="1909"/>
    </row>
    <row r="25" spans="1:8" ht="18.75">
      <c r="B25" s="100" t="s">
        <v>1410</v>
      </c>
      <c r="E25" s="853"/>
      <c r="F25" s="853"/>
      <c r="G25" s="853"/>
      <c r="H25" s="853"/>
    </row>
    <row r="26" spans="1:8" ht="29.1" customHeight="1"/>
    <row r="27" spans="1:8" ht="30" customHeight="1"/>
    <row r="61" spans="6:6">
      <c r="F61" s="280"/>
    </row>
  </sheetData>
  <sheetProtection algorithmName="SHA-512" hashValue="oM/33MVTszW+Sd3ei6+BKjaJPIjy0VxqT5fYDPZ/zcUXP7ibclpJZp/D6zydp57GRuBD/bDLEWCZ7uZ5H0ys8g==" saltValue="fdE7d1JILR1Cl1PCUrdtYw==" spinCount="100000" sheet="1" objects="1" scenarios="1"/>
  <mergeCells count="2">
    <mergeCell ref="B1:H1"/>
    <mergeCell ref="B24:H24"/>
  </mergeCells>
  <hyperlinks>
    <hyperlink ref="B25" r:id="rId1" xr:uid="{8CACA9DA-83D7-CD4F-A4AD-21B6E9C250D1}"/>
  </hyperlinks>
  <pageMargins left="0.7" right="0.7" top="0.75" bottom="0.75" header="0.3" footer="0.3"/>
  <pageSetup scale="88" orientation="portrait" horizontalDpi="0" verticalDpi="0"/>
  <headerFooter>
    <oddFooter xml:space="preserve">&amp;C&amp;"Calibri (Body),Regular"&amp;10&amp;K000000&amp;A&amp;"Times,Regular"
&amp;R&amp;"Calibri (Body),Regular"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D73-5EA5-944D-BEC3-E0825DE1871F}">
  <sheetPr>
    <tabColor rgb="FF0070C0"/>
    <pageSetUpPr fitToPage="1"/>
  </sheetPr>
  <dimension ref="A1:M94"/>
  <sheetViews>
    <sheetView workbookViewId="0">
      <selection sqref="A1:H1"/>
    </sheetView>
  </sheetViews>
  <sheetFormatPr defaultColWidth="11.5546875" defaultRowHeight="15"/>
  <cols>
    <col min="2" max="2" width="20" customWidth="1"/>
    <col min="3" max="3" width="10.6640625" customWidth="1"/>
    <col min="4" max="4" width="13.88671875" customWidth="1"/>
    <col min="5" max="5" width="15" customWidth="1"/>
    <col min="6" max="6" width="16.6640625" customWidth="1"/>
    <col min="8" max="8" width="27.6640625" customWidth="1"/>
  </cols>
  <sheetData>
    <row r="1" spans="1:12" ht="18.75">
      <c r="A1" s="1908" t="s">
        <v>717</v>
      </c>
      <c r="B1" s="1908"/>
      <c r="C1" s="1908"/>
      <c r="D1" s="1908"/>
      <c r="E1" s="1908"/>
      <c r="F1" s="1908"/>
      <c r="G1" s="1908"/>
      <c r="H1" s="1908"/>
      <c r="I1" s="14"/>
      <c r="J1" s="14"/>
    </row>
    <row r="2" spans="1:12" ht="18.75">
      <c r="A2" s="432"/>
      <c r="B2" s="432"/>
      <c r="C2" s="432"/>
      <c r="D2" s="432"/>
      <c r="E2" s="432"/>
      <c r="F2" s="432"/>
      <c r="G2" s="432"/>
      <c r="H2" s="432"/>
      <c r="I2" s="14"/>
      <c r="J2" s="14"/>
    </row>
    <row r="3" spans="1:12" ht="18.75">
      <c r="A3" s="432"/>
      <c r="B3" s="432"/>
      <c r="C3" s="432"/>
      <c r="D3" s="432"/>
      <c r="E3" s="432"/>
      <c r="F3" s="432"/>
      <c r="G3" s="432"/>
      <c r="H3" s="432"/>
      <c r="I3" s="14"/>
      <c r="J3" s="14"/>
    </row>
    <row r="4" spans="1:12" ht="18.75">
      <c r="A4" s="447" t="s">
        <v>737</v>
      </c>
      <c r="B4" s="448"/>
      <c r="C4" s="449" t="str">
        <f>construction_type</f>
        <v>New Const</v>
      </c>
      <c r="D4" s="466"/>
      <c r="E4" s="450"/>
      <c r="F4" s="450"/>
      <c r="G4" s="450"/>
      <c r="H4" s="451"/>
      <c r="I4" s="14"/>
      <c r="J4" s="14"/>
    </row>
    <row r="5" spans="1:12" ht="18.75">
      <c r="A5" s="503" t="s">
        <v>119</v>
      </c>
      <c r="B5" s="853"/>
      <c r="C5" s="429">
        <f>'Project Info'!C28</f>
        <v>0</v>
      </c>
      <c r="D5" s="452"/>
      <c r="E5" s="853"/>
      <c r="F5" s="853"/>
      <c r="G5" s="853"/>
      <c r="H5" s="452"/>
      <c r="I5" s="14"/>
      <c r="J5" s="14"/>
    </row>
    <row r="6" spans="1:12" ht="18.75">
      <c r="A6" s="527" t="s">
        <v>813</v>
      </c>
      <c r="B6" s="460"/>
      <c r="C6" s="431">
        <f>'Project Info'!B28</f>
        <v>0</v>
      </c>
      <c r="D6" s="452"/>
      <c r="E6" s="853"/>
      <c r="F6" s="853"/>
      <c r="G6" s="853"/>
      <c r="H6" s="452"/>
      <c r="I6" s="14"/>
      <c r="J6" s="14"/>
    </row>
    <row r="7" spans="1:12" ht="19.5" thickBot="1">
      <c r="A7" s="463" t="s">
        <v>828</v>
      </c>
      <c r="B7" s="528"/>
      <c r="C7" s="529">
        <f>'Project Info'!K22</f>
        <v>0</v>
      </c>
      <c r="D7" s="530"/>
      <c r="E7" s="853"/>
      <c r="F7" s="853"/>
      <c r="G7" s="853"/>
      <c r="H7" s="458"/>
      <c r="I7" s="14"/>
      <c r="J7" s="14"/>
    </row>
    <row r="8" spans="1:12" ht="31.5">
      <c r="A8" s="453"/>
      <c r="B8" s="853"/>
      <c r="C8" s="853"/>
      <c r="D8" s="445" t="s">
        <v>736</v>
      </c>
      <c r="E8" s="445" t="s">
        <v>749</v>
      </c>
      <c r="F8" s="1913" t="s">
        <v>741</v>
      </c>
      <c r="G8" s="1914"/>
      <c r="H8" s="457" t="s">
        <v>756</v>
      </c>
      <c r="I8" s="14"/>
      <c r="J8" s="14"/>
    </row>
    <row r="9" spans="1:12" s="280" customFormat="1" ht="16.5" thickBot="1">
      <c r="A9" s="454"/>
      <c r="B9" s="429"/>
      <c r="C9" s="429"/>
      <c r="D9" s="429"/>
      <c r="E9" s="429"/>
      <c r="F9" s="440"/>
      <c r="G9" s="441"/>
      <c r="H9" s="441"/>
      <c r="I9" s="14"/>
      <c r="J9" s="14"/>
    </row>
    <row r="10" spans="1:12" s="280" customFormat="1" ht="15.75">
      <c r="A10" s="516" t="s">
        <v>714</v>
      </c>
      <c r="B10" s="504"/>
      <c r="C10" s="504"/>
      <c r="D10" s="505">
        <f>'Stabilized Ops &amp; Debt'!M56+'Stabilized Ops &amp; Debt'!M61+'Stabilized Ops &amp; Debt'!M66+'Stabilized Ops &amp; Debt'!M71+'Stabilized Ops &amp; Debt'!M76+'Stabilized Ops &amp; Debt'!M81+'Stabilized Ops &amp; Debt'!M85</f>
        <v>0.4</v>
      </c>
      <c r="E10" s="506">
        <v>1</v>
      </c>
      <c r="F10" s="507" t="s">
        <v>738</v>
      </c>
      <c r="G10" s="508" t="str">
        <f>IF(D10=E10,"Yes","No")</f>
        <v>No</v>
      </c>
      <c r="H10" s="1915"/>
      <c r="I10" s="14"/>
      <c r="J10" s="14"/>
      <c r="L10" s="430"/>
    </row>
    <row r="11" spans="1:12" s="280" customFormat="1" ht="16.5" thickBot="1">
      <c r="A11" s="495"/>
      <c r="B11" s="509"/>
      <c r="C11" s="509"/>
      <c r="D11" s="509"/>
      <c r="E11" s="509"/>
      <c r="F11" s="495"/>
      <c r="G11" s="496"/>
      <c r="H11" s="1916"/>
      <c r="I11" s="14"/>
      <c r="J11" s="14"/>
    </row>
    <row r="12" spans="1:12" s="280" customFormat="1" ht="15.75">
      <c r="A12" s="516" t="s">
        <v>713</v>
      </c>
      <c r="B12" s="504"/>
      <c r="C12" s="504"/>
      <c r="D12" s="510">
        <f>Summary!J29</f>
        <v>0</v>
      </c>
      <c r="E12" s="486">
        <v>0.55000000000000004</v>
      </c>
      <c r="F12" s="507" t="s">
        <v>739</v>
      </c>
      <c r="G12" s="508" t="str">
        <f>IF(D12&gt;=E12,"Yes","No")</f>
        <v>No</v>
      </c>
      <c r="H12" s="1915"/>
      <c r="I12" s="14"/>
      <c r="J12" s="14"/>
    </row>
    <row r="13" spans="1:12" s="280" customFormat="1" ht="16.5" thickBot="1">
      <c r="A13" s="495"/>
      <c r="B13" s="509"/>
      <c r="C13" s="509"/>
      <c r="D13" s="509"/>
      <c r="E13" s="509"/>
      <c r="F13" s="495"/>
      <c r="G13" s="496"/>
      <c r="H13" s="1916"/>
      <c r="I13" s="14"/>
      <c r="J13" s="14"/>
    </row>
    <row r="14" spans="1:12" s="280" customFormat="1" ht="15.75">
      <c r="A14" s="516" t="s">
        <v>715</v>
      </c>
      <c r="B14" s="504"/>
      <c r="C14" s="504"/>
      <c r="D14" s="511">
        <f>' Cash Flow'!F128</f>
        <v>0</v>
      </c>
      <c r="E14" s="512">
        <v>0</v>
      </c>
      <c r="F14" s="507" t="s">
        <v>716</v>
      </c>
      <c r="G14" s="508" t="str">
        <f>IF(D14&lt;0,"Yes","No")</f>
        <v>No</v>
      </c>
      <c r="H14" s="1915"/>
      <c r="I14" s="14"/>
      <c r="J14" s="14"/>
    </row>
    <row r="15" spans="1:12" s="280" customFormat="1" ht="16.5" thickBot="1">
      <c r="A15" s="495"/>
      <c r="B15" s="509"/>
      <c r="C15" s="509"/>
      <c r="D15" s="509"/>
      <c r="E15" s="509"/>
      <c r="F15" s="495"/>
      <c r="G15" s="496"/>
      <c r="H15" s="1916"/>
      <c r="I15" s="14"/>
      <c r="J15" s="14"/>
    </row>
    <row r="16" spans="1:12" s="280" customFormat="1" ht="15.75">
      <c r="A16" s="516" t="s">
        <v>830</v>
      </c>
      <c r="B16" s="504"/>
      <c r="C16" s="504"/>
      <c r="D16" s="513">
        <f>SUM('Dev Costs'!D34:D38)</f>
        <v>0</v>
      </c>
      <c r="E16" s="514">
        <v>0.14000000000000001</v>
      </c>
      <c r="F16" s="507" t="s">
        <v>740</v>
      </c>
      <c r="G16" s="508" t="str">
        <f>IF(D16&gt;E16,"No","Yes")</f>
        <v>Yes</v>
      </c>
      <c r="H16" s="531"/>
      <c r="I16" s="14"/>
      <c r="J16" s="14"/>
    </row>
    <row r="17" spans="1:11" s="280" customFormat="1" ht="16.5" thickBot="1">
      <c r="A17" s="495"/>
      <c r="B17" s="509"/>
      <c r="C17" s="509"/>
      <c r="D17" s="509"/>
      <c r="E17" s="509"/>
      <c r="F17" s="495"/>
      <c r="G17" s="496"/>
      <c r="H17" s="532"/>
      <c r="I17" s="14"/>
      <c r="J17" s="14"/>
    </row>
    <row r="18" spans="1:11" s="280" customFormat="1" ht="15.75">
      <c r="A18" s="516" t="s">
        <v>831</v>
      </c>
      <c r="B18" s="504"/>
      <c r="C18" s="504"/>
      <c r="D18" s="513"/>
      <c r="E18" s="514"/>
      <c r="F18" s="507" t="s">
        <v>740</v>
      </c>
      <c r="G18" s="508" t="str">
        <f>IF(D18&gt;E18,"No","Yes")</f>
        <v>Yes</v>
      </c>
      <c r="H18" s="531"/>
      <c r="I18" s="14"/>
      <c r="J18" s="14"/>
    </row>
    <row r="19" spans="1:11" s="280" customFormat="1" ht="16.5" thickBot="1">
      <c r="A19" s="495"/>
      <c r="B19" s="509"/>
      <c r="C19" s="509"/>
      <c r="D19" s="509"/>
      <c r="E19" s="509"/>
      <c r="F19" s="495"/>
      <c r="G19" s="496"/>
      <c r="H19" s="532"/>
      <c r="I19" s="14"/>
      <c r="J19" s="14"/>
    </row>
    <row r="20" spans="1:11" s="280" customFormat="1" ht="15.75">
      <c r="A20" s="516" t="s">
        <v>808</v>
      </c>
      <c r="B20" s="504"/>
      <c r="C20" s="504"/>
      <c r="D20" s="504"/>
      <c r="E20" s="504"/>
      <c r="F20" s="507"/>
      <c r="G20" s="517"/>
      <c r="H20" s="855"/>
      <c r="I20" s="14"/>
      <c r="J20" s="14"/>
    </row>
    <row r="21" spans="1:11" s="280" customFormat="1" ht="15.75">
      <c r="A21" s="515" t="s">
        <v>809</v>
      </c>
      <c r="B21" s="429"/>
      <c r="C21" s="838"/>
      <c r="D21" s="839" t="str">
        <f>IF(C4="Acq/Rehab",E21,"N/A")</f>
        <v>N/A</v>
      </c>
      <c r="E21" s="840">
        <v>0.15</v>
      </c>
      <c r="F21" s="429" t="s">
        <v>740</v>
      </c>
      <c r="G21" s="442" t="str">
        <f>IF(D21="N/A","N/A",IF(D21&gt;E21,"No","Yes"))</f>
        <v>N/A</v>
      </c>
      <c r="H21" s="1910"/>
      <c r="I21" s="14"/>
      <c r="J21" s="14"/>
    </row>
    <row r="22" spans="1:11" s="280" customFormat="1" ht="15.75">
      <c r="A22" s="515"/>
      <c r="B22" s="429"/>
      <c r="C22" s="838"/>
      <c r="D22" s="841"/>
      <c r="E22" s="840"/>
      <c r="F22" s="429"/>
      <c r="G22" s="462"/>
      <c r="H22" s="1910"/>
      <c r="I22" s="14"/>
      <c r="J22" s="14"/>
    </row>
    <row r="23" spans="1:11" s="280" customFormat="1" ht="15.75">
      <c r="A23" s="515" t="s">
        <v>810</v>
      </c>
      <c r="B23" s="429"/>
      <c r="C23" s="842"/>
      <c r="D23" s="843">
        <f>IF(C4="Acq/Rehab","N/A",E23)</f>
        <v>0.1</v>
      </c>
      <c r="E23" s="840">
        <v>0.1</v>
      </c>
      <c r="F23" s="429" t="s">
        <v>1440</v>
      </c>
      <c r="G23" s="442" t="str">
        <f>IF(D23="N/A","N/A",IF(D23&gt;E23,"No","Yes"))</f>
        <v>Yes</v>
      </c>
      <c r="H23" s="1910"/>
      <c r="I23" s="14"/>
      <c r="J23" s="14"/>
    </row>
    <row r="24" spans="1:11" s="280" customFormat="1" ht="15.75">
      <c r="A24" s="440"/>
      <c r="B24" s="429"/>
      <c r="C24" s="838"/>
      <c r="D24" s="844"/>
      <c r="E24" s="845"/>
      <c r="F24" s="429"/>
      <c r="G24" s="462"/>
      <c r="H24" s="1910"/>
      <c r="I24" s="14"/>
      <c r="J24" s="14"/>
    </row>
    <row r="25" spans="1:11" s="280" customFormat="1" ht="15.75">
      <c r="A25" s="464" t="s">
        <v>811</v>
      </c>
      <c r="B25" s="455"/>
      <c r="C25" s="846"/>
      <c r="D25" s="847">
        <f>IF(C7="Acq/Rehab","N/A",E25)</f>
        <v>0.1</v>
      </c>
      <c r="E25" s="840">
        <v>0.1</v>
      </c>
      <c r="F25" s="429" t="s">
        <v>1440</v>
      </c>
      <c r="G25" s="442" t="str">
        <f>IF(D25="N/A","N/A",IF(D25&gt;E25,"No","Yes"))</f>
        <v>Yes</v>
      </c>
      <c r="H25" s="1911"/>
      <c r="I25" s="14"/>
      <c r="J25" s="14"/>
    </row>
    <row r="26" spans="1:11" s="280" customFormat="1" ht="16.5" thickBot="1">
      <c r="A26" s="443"/>
      <c r="B26" s="491"/>
      <c r="C26" s="491"/>
      <c r="D26" s="491"/>
      <c r="E26" s="491"/>
      <c r="F26" s="443"/>
      <c r="G26" s="444"/>
      <c r="H26" s="1912"/>
      <c r="I26" s="14"/>
      <c r="J26" s="14"/>
    </row>
    <row r="27" spans="1:11" s="280" customFormat="1" ht="15.75">
      <c r="A27" s="484" t="s">
        <v>802</v>
      </c>
      <c r="B27" s="485"/>
      <c r="C27" s="485"/>
      <c r="D27" s="497">
        <f>'Stabilized Ops &amp; Debt'!F58</f>
        <v>0</v>
      </c>
      <c r="E27" s="485"/>
      <c r="F27" s="498"/>
      <c r="G27" s="499"/>
      <c r="H27" s="500"/>
      <c r="I27" s="14"/>
      <c r="J27" s="14"/>
    </row>
    <row r="28" spans="1:11" s="280" customFormat="1" ht="15.75">
      <c r="A28" s="464" t="s">
        <v>803</v>
      </c>
      <c r="B28" s="455"/>
      <c r="C28" s="455"/>
      <c r="D28" s="471"/>
      <c r="E28" s="468">
        <f>IF(B29="Elevator",K28,K29)</f>
        <v>6700</v>
      </c>
      <c r="F28" s="518" t="s">
        <v>1440</v>
      </c>
      <c r="G28" s="442" t="str">
        <f>IF(D27="N/A","N/A",IF(D27&lt;E28,"No","Yes"))</f>
        <v>No</v>
      </c>
      <c r="H28" s="1911"/>
      <c r="I28" s="14"/>
      <c r="J28" s="14" t="s">
        <v>790</v>
      </c>
      <c r="K28" s="280">
        <f>IF(' Thresholds'!B$30="Large Family",'Annual HCD Updates'!C$18,0)+IF(' Thresholds'!B$30="Senior",'Annual HCD Updates'!C$19,0)+IF(' Thresholds'!B$30="Special Needs",'Annual HCD Updates'!C$20,0)+IF(' Thresholds'!B$30="At-Risk",'Annual HCD Updates'!C$21,0)</f>
        <v>6500</v>
      </c>
    </row>
    <row r="29" spans="1:11" s="280" customFormat="1" ht="15.75">
      <c r="A29" s="464"/>
      <c r="B29" s="479" t="str">
        <f>'Project Info'!K15</f>
        <v>Non-Elevator</v>
      </c>
      <c r="C29" s="473"/>
      <c r="D29" s="473"/>
      <c r="E29" s="460"/>
      <c r="F29" s="476"/>
      <c r="G29" s="460"/>
      <c r="H29" s="1911"/>
      <c r="I29" s="14"/>
      <c r="J29" s="14" t="s">
        <v>791</v>
      </c>
      <c r="K29" s="280">
        <f>IF(' Thresholds'!B$30="Large Family",'Annual HCD Updates'!D$18,0)+IF(' Thresholds'!B$30="Senior",'Annual HCD Updates'!D$19,0)+IF(' Thresholds'!B$30="Special Needs",'Annual HCD Updates'!D$20,0)+IF(' Thresholds'!B$30="At-Risk",'Annual HCD Updates'!D$21,0)</f>
        <v>6700</v>
      </c>
    </row>
    <row r="30" spans="1:11" s="280" customFormat="1" ht="15.75">
      <c r="A30" s="464" t="s">
        <v>784</v>
      </c>
      <c r="B30" s="467" t="str">
        <f>'Project Info'!G44</f>
        <v>Large Family</v>
      </c>
      <c r="C30" s="473"/>
      <c r="D30" s="438"/>
      <c r="E30" s="460"/>
      <c r="F30" s="476"/>
      <c r="G30" s="460"/>
      <c r="H30" s="1911"/>
      <c r="I30" s="14"/>
      <c r="J30" s="14"/>
    </row>
    <row r="31" spans="1:11" s="280" customFormat="1" ht="15.75">
      <c r="A31" s="464"/>
      <c r="B31" s="455"/>
      <c r="C31" s="455"/>
      <c r="D31" s="455"/>
      <c r="E31" s="460"/>
      <c r="F31" s="476"/>
      <c r="G31" s="460"/>
      <c r="H31" s="474"/>
      <c r="I31" s="14"/>
      <c r="J31" s="14"/>
    </row>
    <row r="32" spans="1:11" s="280" customFormat="1" ht="15.75">
      <c r="A32" s="464" t="s">
        <v>804</v>
      </c>
      <c r="B32" s="455"/>
      <c r="C32" s="455"/>
      <c r="D32" s="460"/>
      <c r="E32" s="468">
        <f>IF(B29="Elevator",K32,K33)</f>
        <v>8000</v>
      </c>
      <c r="F32" s="518" t="s">
        <v>740</v>
      </c>
      <c r="G32" s="477" t="str">
        <f>IF(D27="N/A","N/A",IF(D27&gt;E32,"No","Yes"))</f>
        <v>Yes</v>
      </c>
      <c r="H32" s="474"/>
      <c r="I32" s="14"/>
      <c r="J32" s="14" t="s">
        <v>790</v>
      </c>
      <c r="K32" s="280">
        <v>10000</v>
      </c>
    </row>
    <row r="33" spans="1:13" s="280" customFormat="1" ht="15.75">
      <c r="A33" s="470"/>
      <c r="B33" s="479" t="str">
        <f>IF('Project Info'!K6="Homeless","Supportive Housing","Baseline Multifamily")</f>
        <v>Supportive Housing</v>
      </c>
      <c r="C33" s="455"/>
      <c r="D33" s="438"/>
      <c r="E33" s="438"/>
      <c r="F33" s="440"/>
      <c r="G33" s="478"/>
      <c r="H33" s="474"/>
      <c r="I33" s="14"/>
      <c r="J33" s="14" t="s">
        <v>791</v>
      </c>
      <c r="K33" s="280">
        <v>8000</v>
      </c>
    </row>
    <row r="34" spans="1:13" s="280" customFormat="1" ht="16.5" thickBot="1">
      <c r="A34" s="490"/>
      <c r="B34" s="491"/>
      <c r="C34" s="491"/>
      <c r="D34" s="501"/>
      <c r="E34" s="502"/>
      <c r="F34" s="495"/>
      <c r="G34" s="496"/>
      <c r="H34" s="474"/>
      <c r="I34" s="14"/>
      <c r="J34" s="14"/>
    </row>
    <row r="35" spans="1:13" s="280" customFormat="1" ht="15.75">
      <c r="A35" s="484" t="s">
        <v>805</v>
      </c>
      <c r="B35" s="485"/>
      <c r="C35" s="485"/>
      <c r="D35" s="486"/>
      <c r="E35" s="487"/>
      <c r="F35" s="507"/>
      <c r="G35" s="488"/>
      <c r="H35" s="489"/>
      <c r="I35" s="14"/>
      <c r="J35" s="14"/>
    </row>
    <row r="36" spans="1:13" s="280" customFormat="1" ht="15.75">
      <c r="A36" s="464" t="s">
        <v>812</v>
      </c>
      <c r="B36" s="455"/>
      <c r="C36" s="482" t="s">
        <v>827</v>
      </c>
      <c r="D36" s="481">
        <f>'Dev Costs'!D40</f>
        <v>0</v>
      </c>
      <c r="E36" s="468">
        <f>'Annual HCD Updates'!E38</f>
        <v>0</v>
      </c>
      <c r="F36" s="518" t="s">
        <v>740</v>
      </c>
      <c r="G36" s="483" t="str">
        <f>IF(D36="N/A","N/A",IF(D36&gt;E36,"No","Yes"))</f>
        <v>Yes</v>
      </c>
      <c r="H36" s="474"/>
      <c r="I36" s="14"/>
      <c r="J36" s="14"/>
    </row>
    <row r="37" spans="1:13" s="280" customFormat="1" ht="15.75">
      <c r="A37" s="464"/>
      <c r="B37" s="455"/>
      <c r="C37" s="455" t="s">
        <v>361</v>
      </c>
      <c r="D37" s="472">
        <f>'Dev Costs'!H40</f>
        <v>0</v>
      </c>
      <c r="E37" s="468">
        <f>'Annual HCD Updates'!D38</f>
        <v>0</v>
      </c>
      <c r="F37" s="518" t="s">
        <v>740</v>
      </c>
      <c r="G37" s="483" t="str">
        <f>IF(D37="N/A","N/A",IF(D37&gt;E37,"No","Yes"))</f>
        <v>Yes</v>
      </c>
      <c r="H37" s="474"/>
      <c r="I37" s="14"/>
      <c r="J37" s="14"/>
    </row>
    <row r="38" spans="1:13" s="280" customFormat="1" ht="15.75">
      <c r="A38" s="464" t="s">
        <v>784</v>
      </c>
      <c r="B38" s="455"/>
      <c r="C38" s="473" t="s">
        <v>795</v>
      </c>
      <c r="D38" s="469">
        <f>IFERROR('Dev Costs'!$G$40/C6,0)</f>
        <v>0</v>
      </c>
      <c r="E38" s="468">
        <f>'Annual HCD Updates'!C38</f>
        <v>0</v>
      </c>
      <c r="F38" s="518" t="s">
        <v>740</v>
      </c>
      <c r="G38" s="483" t="str">
        <f>IFERROR(IF(D38="N/A","N/A",IF(D38&gt;E38,"No","Yes")),0)</f>
        <v>Yes</v>
      </c>
      <c r="H38" s="474"/>
      <c r="I38" s="14"/>
      <c r="J38" s="14"/>
    </row>
    <row r="39" spans="1:13" s="280" customFormat="1" ht="15.75">
      <c r="A39" s="464" t="s">
        <v>826</v>
      </c>
      <c r="B39" s="455"/>
      <c r="C39" s="473"/>
      <c r="D39" s="438"/>
      <c r="E39" s="438"/>
      <c r="F39" s="518"/>
      <c r="G39" s="462"/>
      <c r="H39" s="474"/>
      <c r="I39" s="14"/>
      <c r="J39" s="14"/>
    </row>
    <row r="40" spans="1:13" s="280" customFormat="1" ht="15.75">
      <c r="A40" s="470"/>
      <c r="B40" s="455"/>
      <c r="C40" s="482" t="s">
        <v>827</v>
      </c>
      <c r="D40" s="469">
        <f>IFERROR('Dev Costs'!G120/'Dev Costs'!C4,0)</f>
        <v>0</v>
      </c>
      <c r="E40" s="468">
        <f>'Annual HCD Updates'!E39</f>
        <v>0</v>
      </c>
      <c r="F40" s="518" t="s">
        <v>740</v>
      </c>
      <c r="G40" s="483" t="str">
        <f>IFERROR(IF(D40="N/A","N/A",IF(D40&gt;E40,"No","Yes")),0)</f>
        <v>Yes</v>
      </c>
      <c r="H40" s="474"/>
      <c r="I40" s="14"/>
      <c r="J40" s="14"/>
    </row>
    <row r="41" spans="1:13" s="280" customFormat="1" ht="15.75">
      <c r="A41" s="470"/>
      <c r="B41" s="455"/>
      <c r="C41" s="455" t="s">
        <v>361</v>
      </c>
      <c r="D41" s="469">
        <f>IFERROR('Dev Costs'!G120/'Dev Costs'!C3,0)</f>
        <v>0</v>
      </c>
      <c r="E41" s="468">
        <f>'Annual HCD Updates'!D39</f>
        <v>0</v>
      </c>
      <c r="F41" s="518" t="s">
        <v>740</v>
      </c>
      <c r="G41" s="483" t="str">
        <f>IFERROR(IF(D41="N/A","N/A",IF(D41&gt;E41,"No","Yes")),0)</f>
        <v>Yes</v>
      </c>
      <c r="H41" s="474"/>
      <c r="I41" s="14"/>
      <c r="J41" s="14"/>
    </row>
    <row r="42" spans="1:13" s="280" customFormat="1" ht="15.75">
      <c r="A42" s="470"/>
      <c r="B42" s="455"/>
      <c r="C42" s="473" t="s">
        <v>795</v>
      </c>
      <c r="D42" s="469">
        <f>IFERROR('Dev Costs'!G120/' Thresholds'!C6,0)</f>
        <v>0</v>
      </c>
      <c r="E42" s="468">
        <f>'Annual HCD Updates'!C39</f>
        <v>0</v>
      </c>
      <c r="F42" s="518" t="s">
        <v>740</v>
      </c>
      <c r="G42" s="483" t="str">
        <f>IFERROR(IF(D42="N/A","N/A",IF(D42&gt;E42,"No","Yes")),0)</f>
        <v>Yes</v>
      </c>
      <c r="H42" s="474"/>
      <c r="I42" s="14"/>
      <c r="J42" s="14"/>
    </row>
    <row r="43" spans="1:13" s="280" customFormat="1" ht="15.75">
      <c r="A43" s="470" t="s">
        <v>807</v>
      </c>
      <c r="B43" s="455"/>
      <c r="C43" s="473"/>
      <c r="D43" s="480"/>
      <c r="E43" s="438"/>
      <c r="F43" s="440"/>
      <c r="G43" s="441"/>
      <c r="H43" s="474"/>
      <c r="I43" s="14"/>
      <c r="J43" s="14"/>
    </row>
    <row r="44" spans="1:13" s="280" customFormat="1" ht="15.75">
      <c r="A44" s="470"/>
      <c r="B44" s="455"/>
      <c r="C44" s="482" t="s">
        <v>827</v>
      </c>
      <c r="D44" s="469">
        <f>IFERROR(M44/C7,0)</f>
        <v>0</v>
      </c>
      <c r="E44" s="468">
        <f>E40</f>
        <v>0</v>
      </c>
      <c r="F44" s="518" t="s">
        <v>740</v>
      </c>
      <c r="G44" s="483" t="str">
        <f>IFERROR(IF(D44="N/A","N/A",IF(D44&gt;E44,"No","Yes")),0)</f>
        <v>Yes</v>
      </c>
      <c r="H44" s="474"/>
      <c r="I44" s="14"/>
      <c r="J44" s="14"/>
      <c r="M44" s="524"/>
    </row>
    <row r="45" spans="1:13" s="280" customFormat="1" ht="15.75">
      <c r="A45" s="470"/>
      <c r="B45" s="455"/>
      <c r="C45" s="455" t="s">
        <v>361</v>
      </c>
      <c r="D45" s="469">
        <f>IFERROR(M44/C5,0)</f>
        <v>0</v>
      </c>
      <c r="E45" s="468">
        <f>E41</f>
        <v>0</v>
      </c>
      <c r="F45" s="518" t="s">
        <v>740</v>
      </c>
      <c r="G45" s="483" t="str">
        <f>IFERROR(IF(D45="N/A","N/A",IF(D45&gt;E45,"No","Yes")),0)</f>
        <v>Yes</v>
      </c>
      <c r="H45" s="474"/>
      <c r="I45" s="14"/>
      <c r="J45" s="14"/>
      <c r="M45" s="525"/>
    </row>
    <row r="46" spans="1:13" ht="16.5" thickBot="1">
      <c r="A46" s="490"/>
      <c r="B46" s="491"/>
      <c r="C46" s="492" t="s">
        <v>795</v>
      </c>
      <c r="D46" s="493">
        <f>IFERROR(M44/C6,0)</f>
        <v>0</v>
      </c>
      <c r="E46" s="494">
        <f>E42</f>
        <v>0</v>
      </c>
      <c r="F46" s="522" t="s">
        <v>740</v>
      </c>
      <c r="G46" s="523" t="str">
        <f>IFERROR(IF(D46="N/A","N/A",IF(D46&gt;E46,"No","Yes")),0)</f>
        <v>Yes</v>
      </c>
      <c r="H46" s="475"/>
      <c r="I46" s="14"/>
      <c r="J46" s="14"/>
      <c r="M46" s="526"/>
    </row>
    <row r="47" spans="1:13" ht="15.75">
      <c r="A47" s="484" t="s">
        <v>836</v>
      </c>
      <c r="B47" s="485"/>
      <c r="C47" s="485"/>
      <c r="D47" s="471"/>
      <c r="E47" s="485"/>
      <c r="F47" s="498"/>
      <c r="G47" s="499"/>
      <c r="H47" s="500"/>
      <c r="I47" s="14"/>
      <c r="J47" s="14"/>
    </row>
    <row r="48" spans="1:13" ht="15.75">
      <c r="A48" s="464" t="s">
        <v>832</v>
      </c>
      <c r="B48" s="455"/>
      <c r="C48" s="455"/>
      <c r="D48" s="471"/>
      <c r="E48" s="468"/>
      <c r="F48" s="518" t="s">
        <v>740</v>
      </c>
      <c r="G48" s="442" t="str">
        <f>IF(D47="N/A","N/A",IF(D47&lt;E48,"No","Yes"))</f>
        <v>Yes</v>
      </c>
      <c r="H48" s="854"/>
      <c r="I48" s="14"/>
      <c r="J48" s="14"/>
    </row>
    <row r="49" spans="1:10" ht="15.75">
      <c r="A49" s="464" t="s">
        <v>835</v>
      </c>
      <c r="B49" s="455"/>
      <c r="C49" s="455"/>
      <c r="D49" s="455"/>
      <c r="E49" s="460"/>
      <c r="F49" s="476"/>
      <c r="G49" s="460"/>
      <c r="H49" s="474"/>
      <c r="I49" s="14"/>
      <c r="J49" s="14"/>
    </row>
    <row r="50" spans="1:10" ht="15.75">
      <c r="A50" s="533" t="s">
        <v>833</v>
      </c>
      <c r="B50" s="369"/>
      <c r="C50" s="832"/>
      <c r="D50" s="395"/>
      <c r="E50" s="468"/>
      <c r="F50" s="518" t="s">
        <v>740</v>
      </c>
      <c r="G50" s="477" t="str">
        <f>IF(D49="N/A","N/A",IF(D49&gt;E50,"No","Yes"))</f>
        <v>Yes</v>
      </c>
      <c r="H50" s="474"/>
      <c r="I50" s="14"/>
      <c r="J50" s="14"/>
    </row>
    <row r="51" spans="1:10" ht="15.75">
      <c r="A51" s="533" t="s">
        <v>834</v>
      </c>
      <c r="B51" s="369"/>
      <c r="C51" s="832"/>
      <c r="D51" s="395"/>
      <c r="E51" s="438"/>
      <c r="F51" s="440"/>
      <c r="G51" s="478"/>
      <c r="H51" s="474"/>
      <c r="I51" s="14"/>
      <c r="J51" s="14"/>
    </row>
    <row r="52" spans="1:10" ht="16.5" thickBot="1">
      <c r="A52" s="490"/>
      <c r="B52" s="491"/>
      <c r="C52" s="491"/>
      <c r="D52" s="501"/>
      <c r="E52" s="502"/>
      <c r="F52" s="495"/>
      <c r="G52" s="496"/>
      <c r="H52" s="475"/>
      <c r="I52" s="14"/>
      <c r="J52" s="14"/>
    </row>
    <row r="53" spans="1:10" ht="15.7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>
      <c r="A94" s="14"/>
      <c r="B94" s="14"/>
      <c r="C94" s="14"/>
      <c r="D94" s="14"/>
      <c r="F94" s="14"/>
      <c r="G94" s="14"/>
      <c r="H94" s="14"/>
    </row>
  </sheetData>
  <sheetProtection algorithmName="SHA-512" hashValue="7+GfswqRHVgPl5hhNg6xAqNRviQ9se/Trmf1Msm2HBoUPAqWiK03JruRikCFEJRDLAFhOPRzu3xSW6KR0u0xCA==" saltValue="z6nr5jMRsXjC82+pBsP2sA==" spinCount="100000" sheet="1" objects="1" scenarios="1"/>
  <mergeCells count="9">
    <mergeCell ref="H21:H22"/>
    <mergeCell ref="H23:H24"/>
    <mergeCell ref="H25:H26"/>
    <mergeCell ref="H28:H30"/>
    <mergeCell ref="A1:H1"/>
    <mergeCell ref="F8:G8"/>
    <mergeCell ref="H10:H11"/>
    <mergeCell ref="H12:H13"/>
    <mergeCell ref="H14:H15"/>
  </mergeCells>
  <conditionalFormatting sqref="G26:G27 G1:G7 G9:G16 F8 G53:G1048576 G35 G19:G24">
    <cfRule type="containsText" dxfId="39" priority="41" operator="containsText" text="No">
      <formula>NOT(ISERROR(SEARCH("No",F1)))</formula>
    </cfRule>
    <cfRule type="containsText" dxfId="38" priority="42" operator="containsText" text="Yes">
      <formula>NOT(ISERROR(SEARCH("Yes",F1)))</formula>
    </cfRule>
  </conditionalFormatting>
  <conditionalFormatting sqref="G25">
    <cfRule type="containsText" dxfId="37" priority="39" operator="containsText" text="No">
      <formula>NOT(ISERROR(SEARCH("No",G25)))</formula>
    </cfRule>
    <cfRule type="containsText" dxfId="36" priority="40" operator="containsText" text="Yes">
      <formula>NOT(ISERROR(SEARCH("Yes",G25)))</formula>
    </cfRule>
  </conditionalFormatting>
  <conditionalFormatting sqref="G37:G39">
    <cfRule type="containsText" dxfId="35" priority="27" operator="containsText" text="No">
      <formula>NOT(ISERROR(SEARCH("No",G37)))</formula>
    </cfRule>
    <cfRule type="containsText" dxfId="34" priority="28" operator="containsText" text="Yes">
      <formula>NOT(ISERROR(SEARCH("Yes",G37)))</formula>
    </cfRule>
  </conditionalFormatting>
  <conditionalFormatting sqref="G28">
    <cfRule type="containsText" dxfId="33" priority="35" operator="containsText" text="No">
      <formula>NOT(ISERROR(SEARCH("No",G28)))</formula>
    </cfRule>
    <cfRule type="containsText" dxfId="32" priority="36" operator="containsText" text="Yes">
      <formula>NOT(ISERROR(SEARCH("Yes",G28)))</formula>
    </cfRule>
  </conditionalFormatting>
  <conditionalFormatting sqref="G34">
    <cfRule type="containsText" dxfId="31" priority="31" operator="containsText" text="No">
      <formula>NOT(ISERROR(SEARCH("No",G34)))</formula>
    </cfRule>
    <cfRule type="containsText" dxfId="30" priority="32" operator="containsText" text="Yes">
      <formula>NOT(ISERROR(SEARCH("Yes",G34)))</formula>
    </cfRule>
  </conditionalFormatting>
  <conditionalFormatting sqref="G36">
    <cfRule type="containsText" dxfId="29" priority="23" operator="containsText" text="No">
      <formula>NOT(ISERROR(SEARCH("No",G36)))</formula>
    </cfRule>
    <cfRule type="containsText" dxfId="28" priority="24" operator="containsText" text="Yes">
      <formula>NOT(ISERROR(SEARCH("Yes",G36)))</formula>
    </cfRule>
  </conditionalFormatting>
  <conditionalFormatting sqref="G40 G43">
    <cfRule type="containsText" dxfId="27" priority="21" operator="containsText" text="No">
      <formula>NOT(ISERROR(SEARCH("No",G40)))</formula>
    </cfRule>
    <cfRule type="containsText" dxfId="26" priority="22" operator="containsText" text="Yes">
      <formula>NOT(ISERROR(SEARCH("Yes",G40)))</formula>
    </cfRule>
  </conditionalFormatting>
  <conditionalFormatting sqref="G33">
    <cfRule type="containsText" dxfId="25" priority="19" operator="containsText" text="No">
      <formula>NOT(ISERROR(SEARCH("No",G33)))</formula>
    </cfRule>
    <cfRule type="containsText" dxfId="24" priority="20" operator="containsText" text="Yes">
      <formula>NOT(ISERROR(SEARCH("Yes",G33)))</formula>
    </cfRule>
  </conditionalFormatting>
  <conditionalFormatting sqref="G32">
    <cfRule type="containsText" dxfId="23" priority="17" operator="containsText" text="No">
      <formula>NOT(ISERROR(SEARCH("No",G32)))</formula>
    </cfRule>
    <cfRule type="containsText" dxfId="22" priority="18" operator="containsText" text="Yes">
      <formula>NOT(ISERROR(SEARCH("Yes",G32)))</formula>
    </cfRule>
  </conditionalFormatting>
  <conditionalFormatting sqref="G44:G46 G41:G42">
    <cfRule type="containsText" dxfId="21" priority="15" operator="containsText" text="No">
      <formula>NOT(ISERROR(SEARCH("No",G41)))</formula>
    </cfRule>
    <cfRule type="containsText" dxfId="20" priority="16" operator="containsText" text="Yes">
      <formula>NOT(ISERROR(SEARCH("Yes",G41)))</formula>
    </cfRule>
  </conditionalFormatting>
  <conditionalFormatting sqref="G18">
    <cfRule type="containsText" dxfId="19" priority="13" operator="containsText" text="No">
      <formula>NOT(ISERROR(SEARCH("No",G18)))</formula>
    </cfRule>
    <cfRule type="containsText" dxfId="18" priority="14" operator="containsText" text="Yes">
      <formula>NOT(ISERROR(SEARCH("Yes",G18)))</formula>
    </cfRule>
  </conditionalFormatting>
  <conditionalFormatting sqref="G17">
    <cfRule type="containsText" dxfId="17" priority="11" operator="containsText" text="No">
      <formula>NOT(ISERROR(SEARCH("No",G17)))</formula>
    </cfRule>
    <cfRule type="containsText" dxfId="16" priority="12" operator="containsText" text="Yes">
      <formula>NOT(ISERROR(SEARCH("Yes",G17)))</formula>
    </cfRule>
  </conditionalFormatting>
  <conditionalFormatting sqref="G47">
    <cfRule type="containsText" dxfId="15" priority="9" operator="containsText" text="No">
      <formula>NOT(ISERROR(SEARCH("No",G47)))</formula>
    </cfRule>
    <cfRule type="containsText" dxfId="14" priority="10" operator="containsText" text="Yes">
      <formula>NOT(ISERROR(SEARCH("Yes",G47)))</formula>
    </cfRule>
  </conditionalFormatting>
  <conditionalFormatting sqref="G48">
    <cfRule type="containsText" dxfId="13" priority="7" operator="containsText" text="No">
      <formula>NOT(ISERROR(SEARCH("No",G48)))</formula>
    </cfRule>
    <cfRule type="containsText" dxfId="12" priority="8" operator="containsText" text="Yes">
      <formula>NOT(ISERROR(SEARCH("Yes",G48)))</formula>
    </cfRule>
  </conditionalFormatting>
  <conditionalFormatting sqref="G52">
    <cfRule type="containsText" dxfId="11" priority="5" operator="containsText" text="No">
      <formula>NOT(ISERROR(SEARCH("No",G52)))</formula>
    </cfRule>
    <cfRule type="containsText" dxfId="10" priority="6" operator="containsText" text="Yes">
      <formula>NOT(ISERROR(SEARCH("Yes",G52)))</formula>
    </cfRule>
  </conditionalFormatting>
  <conditionalFormatting sqref="G51">
    <cfRule type="containsText" dxfId="9" priority="3" operator="containsText" text="No">
      <formula>NOT(ISERROR(SEARCH("No",G51)))</formula>
    </cfRule>
    <cfRule type="containsText" dxfId="8" priority="4" operator="containsText" text="Yes">
      <formula>NOT(ISERROR(SEARCH("Yes",G51)))</formula>
    </cfRule>
  </conditionalFormatting>
  <conditionalFormatting sqref="G50">
    <cfRule type="containsText" dxfId="7" priority="1" operator="containsText" text="No">
      <formula>NOT(ISERROR(SEARCH("No",G50)))</formula>
    </cfRule>
    <cfRule type="containsText" dxfId="6" priority="2" operator="containsText" text="Yes">
      <formula>NOT(ISERROR(SEARCH("Yes",G50)))</formula>
    </cfRule>
  </conditionalFormatting>
  <pageMargins left="0.7" right="0.7" top="0.75" bottom="0.75" header="0.3" footer="0.3"/>
  <pageSetup scale="86" orientation="landscape" horizontalDpi="0" verticalDpi="0"/>
  <headerFooter>
    <oddFooter xml:space="preserve">&amp;C&amp;"Calibri (Body),Regular"&amp;10&amp;K000000&amp;A&amp;"Times,Regular"
&amp;R&amp;"Calibri (Body),Regular"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F827-761A-E947-B9D3-01F7800C8547}">
  <sheetPr>
    <tabColor theme="9" tint="0.39997558519241921"/>
    <pageSetUpPr fitToPage="1"/>
  </sheetPr>
  <dimension ref="A1:L112"/>
  <sheetViews>
    <sheetView workbookViewId="0">
      <selection sqref="A1:J1"/>
    </sheetView>
  </sheetViews>
  <sheetFormatPr defaultColWidth="13.6640625" defaultRowHeight="15"/>
  <cols>
    <col min="1" max="1" width="20.109375" style="351" customWidth="1"/>
    <col min="2" max="2" width="15.6640625" style="351" customWidth="1"/>
    <col min="3" max="3" width="1.33203125" style="351" customWidth="1"/>
    <col min="4" max="4" width="14.33203125" style="351" customWidth="1"/>
    <col min="5" max="5" width="10.44140625" style="351" customWidth="1"/>
    <col min="6" max="6" width="1.109375" style="351" customWidth="1"/>
    <col min="7" max="7" width="10.33203125" style="351" customWidth="1"/>
    <col min="8" max="8" width="1.5546875" style="351" customWidth="1"/>
    <col min="9" max="9" width="16.33203125" style="351" customWidth="1"/>
    <col min="10" max="10" width="12.5546875" style="351" customWidth="1"/>
    <col min="11" max="16384" width="13.6640625" style="351"/>
  </cols>
  <sheetData>
    <row r="1" spans="1:10" ht="18.75">
      <c r="A1" s="1919" t="s">
        <v>448</v>
      </c>
      <c r="B1" s="1919"/>
      <c r="C1" s="1919"/>
      <c r="D1" s="1919"/>
      <c r="E1" s="1919"/>
      <c r="F1" s="1919"/>
      <c r="G1" s="1919"/>
      <c r="H1" s="1919"/>
      <c r="I1" s="1919"/>
      <c r="J1" s="1919"/>
    </row>
    <row r="2" spans="1:10" ht="15.75" thickBot="1"/>
    <row r="3" spans="1:10" ht="15.75" thickBot="1">
      <c r="A3" s="923" t="s">
        <v>475</v>
      </c>
      <c r="B3" s="924">
        <f>'Project Info'!B4</f>
        <v>0</v>
      </c>
      <c r="C3" s="924"/>
      <c r="D3" s="924"/>
      <c r="E3" s="925"/>
      <c r="F3" s="926"/>
      <c r="G3" s="926"/>
      <c r="H3" s="926"/>
      <c r="I3" s="926"/>
      <c r="J3" s="926"/>
    </row>
    <row r="4" spans="1:10" ht="16.5" thickBot="1">
      <c r="A4" s="926"/>
      <c r="B4" s="926"/>
      <c r="C4" s="926"/>
      <c r="D4" s="926"/>
      <c r="E4" s="926"/>
      <c r="F4" s="926"/>
      <c r="G4" s="926"/>
      <c r="H4" s="926"/>
      <c r="I4" s="927"/>
      <c r="J4" s="927"/>
    </row>
    <row r="5" spans="1:10" ht="15.95" customHeight="1">
      <c r="A5" s="1925" t="s">
        <v>474</v>
      </c>
      <c r="B5" s="1926"/>
      <c r="C5" s="1926"/>
      <c r="D5" s="1926"/>
      <c r="E5" s="1926"/>
      <c r="F5" s="1926"/>
      <c r="G5" s="1927"/>
      <c r="H5" s="928"/>
      <c r="I5" s="1920" t="s">
        <v>769</v>
      </c>
      <c r="J5" s="1921"/>
    </row>
    <row r="6" spans="1:10" ht="17.25" customHeight="1">
      <c r="A6" s="929" t="s">
        <v>473</v>
      </c>
      <c r="B6" s="930"/>
      <c r="C6" s="930"/>
      <c r="D6" s="931" t="s">
        <v>470</v>
      </c>
      <c r="E6" s="932" t="s">
        <v>469</v>
      </c>
      <c r="F6" s="932"/>
      <c r="G6" s="933" t="s">
        <v>472</v>
      </c>
      <c r="H6" s="934"/>
      <c r="I6" s="935" t="s">
        <v>55</v>
      </c>
      <c r="J6" s="936" t="s">
        <v>351</v>
      </c>
    </row>
    <row r="7" spans="1:10" ht="18" customHeight="1">
      <c r="A7" s="937" t="str">
        <f>'Source and Uses'!A5</f>
        <v>-</v>
      </c>
      <c r="B7" s="938" t="s">
        <v>451</v>
      </c>
      <c r="C7" s="938"/>
      <c r="D7" s="939">
        <f>'Source and Uses'!E5</f>
        <v>0</v>
      </c>
      <c r="E7" s="940">
        <f>'Source and Uses'!L9</f>
        <v>0</v>
      </c>
      <c r="F7" s="941"/>
      <c r="G7" s="942">
        <f>'Source and Uses'!M6</f>
        <v>0</v>
      </c>
      <c r="H7" s="934"/>
      <c r="I7" s="935" t="s">
        <v>770</v>
      </c>
      <c r="J7" s="943" t="s">
        <v>350</v>
      </c>
    </row>
    <row r="8" spans="1:10">
      <c r="A8" s="937" t="str">
        <f>'Source and Uses'!A6</f>
        <v>-</v>
      </c>
      <c r="B8" s="944"/>
      <c r="C8" s="944"/>
      <c r="D8" s="939">
        <f>'Source and Uses'!K13</f>
        <v>0</v>
      </c>
      <c r="E8" s="940">
        <f>'Source and Uses'!L16</f>
        <v>0</v>
      </c>
      <c r="F8" s="941"/>
      <c r="G8" s="942">
        <f>'Source and Uses'!M13</f>
        <v>0</v>
      </c>
      <c r="H8" s="945"/>
      <c r="I8" s="935" t="s">
        <v>56</v>
      </c>
      <c r="J8" s="943" t="s">
        <v>350</v>
      </c>
    </row>
    <row r="9" spans="1:10" ht="15.75" customHeight="1" thickBot="1">
      <c r="A9" s="946" t="str">
        <f>'Source and Uses'!A7</f>
        <v>-</v>
      </c>
      <c r="B9" s="938"/>
      <c r="C9" s="938"/>
      <c r="D9" s="939">
        <f>'Source and Uses'!E7</f>
        <v>0</v>
      </c>
      <c r="E9" s="940">
        <f>E24</f>
        <v>0</v>
      </c>
      <c r="F9" s="941"/>
      <c r="G9" s="942"/>
      <c r="H9" s="945"/>
      <c r="I9" s="947" t="s">
        <v>690</v>
      </c>
      <c r="J9" s="948" t="s">
        <v>351</v>
      </c>
    </row>
    <row r="10" spans="1:10" ht="16.5" thickBot="1">
      <c r="A10" s="946" t="str">
        <f>'Source and Uses'!A8</f>
        <v>-</v>
      </c>
      <c r="B10" s="938"/>
      <c r="C10" s="938"/>
      <c r="D10" s="939">
        <f>'Source and Uses'!E8</f>
        <v>0</v>
      </c>
      <c r="E10" s="940">
        <f>E25</f>
        <v>0</v>
      </c>
      <c r="F10" s="941"/>
      <c r="G10" s="942"/>
      <c r="H10" s="945"/>
      <c r="I10" s="922"/>
      <c r="J10" s="922"/>
    </row>
    <row r="11" spans="1:10" ht="15.75">
      <c r="A11" s="946" t="str">
        <f>'Source and Uses'!A9</f>
        <v>Oakland City Loan(s)</v>
      </c>
      <c r="B11" s="949"/>
      <c r="C11" s="949"/>
      <c r="D11" s="939">
        <f>'Source and Uses'!E9</f>
        <v>0</v>
      </c>
      <c r="E11" s="940">
        <f>E26</f>
        <v>0</v>
      </c>
      <c r="F11" s="941"/>
      <c r="G11" s="942"/>
      <c r="H11" s="945"/>
      <c r="I11" s="1920" t="s">
        <v>236</v>
      </c>
      <c r="J11" s="1921"/>
    </row>
    <row r="12" spans="1:10">
      <c r="A12" s="946" t="str">
        <f>'Source and Uses'!A10</f>
        <v>-</v>
      </c>
      <c r="B12" s="930"/>
      <c r="C12" s="930"/>
      <c r="D12" s="939">
        <f>'Source and Uses'!E10</f>
        <v>0</v>
      </c>
      <c r="E12" s="940"/>
      <c r="F12" s="941"/>
      <c r="G12" s="942"/>
      <c r="H12" s="945"/>
      <c r="I12" s="950" t="s">
        <v>262</v>
      </c>
      <c r="J12" s="951" t="s">
        <v>359</v>
      </c>
    </row>
    <row r="13" spans="1:10">
      <c r="A13" s="946" t="str">
        <f>'Source and Uses'!A11</f>
        <v>-</v>
      </c>
      <c r="B13" s="930"/>
      <c r="C13" s="930"/>
      <c r="D13" s="939">
        <f>'Source and Uses'!E11</f>
        <v>0</v>
      </c>
      <c r="E13" s="940"/>
      <c r="F13" s="941"/>
      <c r="G13" s="942"/>
      <c r="H13" s="945"/>
      <c r="I13" s="935" t="s">
        <v>237</v>
      </c>
      <c r="J13" s="943">
        <f>'Project Info'!C23</f>
        <v>0</v>
      </c>
    </row>
    <row r="14" spans="1:10">
      <c r="A14" s="946" t="str">
        <f>'Source and Uses'!A15</f>
        <v>Rental/Interest Income</v>
      </c>
      <c r="B14" s="930"/>
      <c r="C14" s="930"/>
      <c r="D14" s="939">
        <f>'Source and Uses'!E15</f>
        <v>0</v>
      </c>
      <c r="E14" s="940"/>
      <c r="F14" s="941"/>
      <c r="G14" s="942"/>
      <c r="H14" s="945"/>
      <c r="I14" s="935" t="s">
        <v>238</v>
      </c>
      <c r="J14" s="943">
        <f>'Project Info'!C24</f>
        <v>0</v>
      </c>
    </row>
    <row r="15" spans="1:10">
      <c r="A15" s="946" t="str">
        <f>'Source and Uses'!A16</f>
        <v>Equity Bridge Financing (Constr.)</v>
      </c>
      <c r="B15" s="930"/>
      <c r="C15" s="930"/>
      <c r="D15" s="939">
        <f>'Source and Uses'!E16</f>
        <v>0</v>
      </c>
      <c r="E15" s="940">
        <f>'Source and Uses'!L23</f>
        <v>0</v>
      </c>
      <c r="F15" s="941"/>
      <c r="G15" s="942">
        <f>'Source and Uses'!M20</f>
        <v>0</v>
      </c>
      <c r="H15" s="945"/>
      <c r="I15" s="935" t="s">
        <v>239</v>
      </c>
      <c r="J15" s="943">
        <f>'Project Info'!C25</f>
        <v>0</v>
      </c>
    </row>
    <row r="16" spans="1:10">
      <c r="A16" s="946" t="str">
        <f>'Source and Uses'!A17</f>
        <v>LP Equity</v>
      </c>
      <c r="B16" s="930"/>
      <c r="C16" s="930"/>
      <c r="D16" s="939">
        <f>'Source and Uses'!E17</f>
        <v>0</v>
      </c>
      <c r="E16" s="940"/>
      <c r="F16" s="941"/>
      <c r="G16" s="942"/>
      <c r="H16" s="945"/>
      <c r="I16" s="935" t="s">
        <v>240</v>
      </c>
      <c r="J16" s="943">
        <f>'Project Info'!C26</f>
        <v>0</v>
      </c>
    </row>
    <row r="17" spans="1:11">
      <c r="A17" s="946" t="str">
        <f>'Source and Uses'!A18</f>
        <v xml:space="preserve">GP Equity </v>
      </c>
      <c r="B17" s="930"/>
      <c r="C17" s="930"/>
      <c r="D17" s="939">
        <f>'Source and Uses'!E18</f>
        <v>0</v>
      </c>
      <c r="E17" s="940"/>
      <c r="F17" s="941"/>
      <c r="G17" s="942"/>
      <c r="H17" s="952"/>
      <c r="I17" s="935" t="s">
        <v>241</v>
      </c>
      <c r="J17" s="943">
        <f>'Project Info'!C27</f>
        <v>0</v>
      </c>
    </row>
    <row r="18" spans="1:11" ht="15.75" thickBot="1">
      <c r="A18" s="946" t="str">
        <f>'Source and Uses'!A19</f>
        <v>Deferred Developer Fee</v>
      </c>
      <c r="B18" s="930"/>
      <c r="C18" s="930"/>
      <c r="D18" s="939">
        <f>'Source and Uses'!E19</f>
        <v>0</v>
      </c>
      <c r="E18" s="940"/>
      <c r="F18" s="941"/>
      <c r="G18" s="942"/>
      <c r="H18" s="945"/>
      <c r="I18" s="947" t="s">
        <v>344</v>
      </c>
      <c r="J18" s="948">
        <f>SUM(J13:J17)</f>
        <v>0</v>
      </c>
    </row>
    <row r="19" spans="1:11" ht="15.75" thickBot="1">
      <c r="A19" s="946" t="str">
        <f>'Source and Uses'!A20</f>
        <v>Other Deferred Costs</v>
      </c>
      <c r="B19" s="930"/>
      <c r="C19" s="930"/>
      <c r="D19" s="939">
        <f>'Source and Uses'!E20</f>
        <v>0</v>
      </c>
      <c r="E19" s="940"/>
      <c r="F19" s="941"/>
      <c r="G19" s="942"/>
      <c r="H19" s="945"/>
      <c r="I19" s="926"/>
      <c r="J19" s="926"/>
    </row>
    <row r="20" spans="1:11" ht="15.75" thickBot="1">
      <c r="A20" s="953" t="s">
        <v>159</v>
      </c>
      <c r="B20" s="930"/>
      <c r="C20" s="930"/>
      <c r="D20" s="954">
        <f>SUM(D7:D19)</f>
        <v>0</v>
      </c>
      <c r="E20" s="940"/>
      <c r="F20" s="941"/>
      <c r="G20" s="942"/>
      <c r="H20" s="945"/>
      <c r="I20" s="1917" t="s">
        <v>117</v>
      </c>
      <c r="J20" s="1918"/>
    </row>
    <row r="21" spans="1:11" ht="14.25" customHeight="1" thickTop="1">
      <c r="A21" s="937"/>
      <c r="B21" s="930"/>
      <c r="C21" s="930"/>
      <c r="D21" s="939"/>
      <c r="E21" s="940"/>
      <c r="F21" s="941"/>
      <c r="G21" s="942"/>
      <c r="H21" s="939"/>
      <c r="I21" s="955" t="s">
        <v>57</v>
      </c>
      <c r="J21" s="956">
        <f>'Project Info'!O5</f>
        <v>0</v>
      </c>
    </row>
    <row r="22" spans="1:11">
      <c r="A22" s="957" t="s">
        <v>471</v>
      </c>
      <c r="B22" s="958"/>
      <c r="C22" s="958"/>
      <c r="D22" s="931" t="s">
        <v>470</v>
      </c>
      <c r="E22" s="959" t="s">
        <v>469</v>
      </c>
      <c r="F22" s="960"/>
      <c r="G22" s="933" t="s">
        <v>468</v>
      </c>
      <c r="H22" s="939"/>
      <c r="I22" s="955" t="s">
        <v>58</v>
      </c>
      <c r="J22" s="956">
        <f>'Project Info'!O6</f>
        <v>0</v>
      </c>
    </row>
    <row r="23" spans="1:11" ht="15.95" customHeight="1">
      <c r="A23" s="961" t="str">
        <f>'Source and Uses'!A40</f>
        <v>-</v>
      </c>
      <c r="B23" s="958"/>
      <c r="C23" s="958"/>
      <c r="D23" s="962">
        <f>'Source and Uses'!E39</f>
        <v>0</v>
      </c>
      <c r="E23" s="963">
        <f>'Stabilized Ops &amp; Debt'!K21</f>
        <v>0</v>
      </c>
      <c r="F23" s="941"/>
      <c r="G23" s="942">
        <f>'Stabilized Ops &amp; Debt'!K23</f>
        <v>0</v>
      </c>
      <c r="H23" s="964"/>
      <c r="I23" s="955" t="s">
        <v>467</v>
      </c>
      <c r="J23" s="956">
        <f>'Project Info'!O10</f>
        <v>0</v>
      </c>
    </row>
    <row r="24" spans="1:11">
      <c r="A24" s="961" t="str">
        <f>'Source and Uses'!A40</f>
        <v>-</v>
      </c>
      <c r="B24" s="958"/>
      <c r="C24" s="958"/>
      <c r="D24" s="962">
        <f>'Source and Uses'!E40</f>
        <v>0</v>
      </c>
      <c r="E24" s="940">
        <f>'Stabilized Ops &amp; Debt'!K31</f>
        <v>0</v>
      </c>
      <c r="F24" s="941"/>
      <c r="G24" s="942">
        <f>'Stabilized Ops &amp; Debt'!K32</f>
        <v>0</v>
      </c>
      <c r="H24" s="964"/>
      <c r="I24" s="955" t="s">
        <v>488</v>
      </c>
      <c r="J24" s="956">
        <f>'Project Info'!O11</f>
        <v>0</v>
      </c>
      <c r="K24" s="361"/>
    </row>
    <row r="25" spans="1:11">
      <c r="A25" s="961" t="str">
        <f>'Source and Uses'!A41</f>
        <v>-</v>
      </c>
      <c r="B25" s="965"/>
      <c r="C25" s="965"/>
      <c r="D25" s="962">
        <f>'Source and Uses'!E41</f>
        <v>0</v>
      </c>
      <c r="E25" s="940">
        <f>'Stabilized Ops &amp; Debt'!K38</f>
        <v>0</v>
      </c>
      <c r="F25" s="941"/>
      <c r="G25" s="942">
        <f>'Stabilized Ops &amp; Debt'!K39</f>
        <v>0</v>
      </c>
      <c r="H25" s="964"/>
      <c r="I25" s="955" t="s">
        <v>489</v>
      </c>
      <c r="J25" s="956">
        <f>'Project Info'!O12</f>
        <v>0</v>
      </c>
    </row>
    <row r="26" spans="1:11" ht="15.75" thickBot="1">
      <c r="A26" s="961" t="str">
        <f>'Source and Uses'!A43</f>
        <v>Oakland City Loan(s)</v>
      </c>
      <c r="B26" s="962"/>
      <c r="C26" s="962"/>
      <c r="D26" s="962">
        <f>'Source and Uses'!E43</f>
        <v>0</v>
      </c>
      <c r="E26" s="940">
        <f>'Stabilized Ops &amp; Debt'!K57</f>
        <v>0</v>
      </c>
      <c r="F26" s="941"/>
      <c r="G26" s="942"/>
      <c r="H26" s="964"/>
      <c r="I26" s="966" t="s">
        <v>490</v>
      </c>
      <c r="J26" s="967">
        <f>'Project Info'!O13</f>
        <v>0</v>
      </c>
    </row>
    <row r="27" spans="1:11" ht="15.75" thickBot="1">
      <c r="A27" s="961" t="str">
        <f>'Source and Uses'!A44</f>
        <v>-</v>
      </c>
      <c r="B27" s="962"/>
      <c r="C27" s="962"/>
      <c r="D27" s="962">
        <f>'Source and Uses'!E44</f>
        <v>0</v>
      </c>
      <c r="E27" s="940">
        <f>'Stabilized Ops &amp; Debt'!K62</f>
        <v>0</v>
      </c>
      <c r="F27" s="941"/>
      <c r="G27" s="942"/>
      <c r="H27" s="964"/>
      <c r="I27" s="926"/>
      <c r="J27" s="926"/>
    </row>
    <row r="28" spans="1:11">
      <c r="A28" s="961" t="str">
        <f>'Source and Uses'!A47</f>
        <v>-</v>
      </c>
      <c r="B28" s="962"/>
      <c r="C28" s="962"/>
      <c r="D28" s="962">
        <f>'Source and Uses'!E47</f>
        <v>0</v>
      </c>
      <c r="E28" s="940"/>
      <c r="F28" s="941"/>
      <c r="G28" s="942"/>
      <c r="H28" s="964"/>
      <c r="I28" s="1917" t="s">
        <v>713</v>
      </c>
      <c r="J28" s="1918"/>
    </row>
    <row r="29" spans="1:11" ht="15.75" thickBot="1">
      <c r="A29" s="961" t="str">
        <f>'Source and Uses'!A48</f>
        <v>-</v>
      </c>
      <c r="B29" s="962"/>
      <c r="C29" s="962"/>
      <c r="D29" s="962">
        <f>'Source and Uses'!E48</f>
        <v>0</v>
      </c>
      <c r="E29" s="940"/>
      <c r="F29" s="941"/>
      <c r="G29" s="942"/>
      <c r="H29" s="964"/>
      <c r="I29" s="966" t="s">
        <v>748</v>
      </c>
      <c r="J29" s="968">
        <f>'Source and Uses'!M58</f>
        <v>0</v>
      </c>
    </row>
    <row r="30" spans="1:11">
      <c r="A30" s="961" t="str">
        <f>'Source and Uses'!A49</f>
        <v>Interest Income</v>
      </c>
      <c r="B30" s="958"/>
      <c r="C30" s="958"/>
      <c r="D30" s="962">
        <f>'Source and Uses'!E49</f>
        <v>0</v>
      </c>
      <c r="E30" s="940"/>
      <c r="F30" s="941"/>
      <c r="G30" s="942"/>
      <c r="H30" s="964"/>
      <c r="I30" s="926"/>
      <c r="J30" s="926"/>
    </row>
    <row r="31" spans="1:11">
      <c r="A31" s="961" t="str">
        <f>'Source and Uses'!A50</f>
        <v>GP Equity</v>
      </c>
      <c r="B31" s="958"/>
      <c r="C31" s="958"/>
      <c r="D31" s="962">
        <f>'Source and Uses'!E50</f>
        <v>0</v>
      </c>
      <c r="E31" s="940"/>
      <c r="F31" s="941"/>
      <c r="G31" s="942"/>
      <c r="H31" s="964"/>
      <c r="I31" s="926"/>
      <c r="J31" s="926"/>
    </row>
    <row r="32" spans="1:11">
      <c r="A32" s="961" t="str">
        <f>'Source and Uses'!A51</f>
        <v>LP Equity</v>
      </c>
      <c r="B32" s="958"/>
      <c r="C32" s="958"/>
      <c r="D32" s="962">
        <f>'Source and Uses'!E51</f>
        <v>0</v>
      </c>
      <c r="E32" s="940"/>
      <c r="F32" s="941"/>
      <c r="G32" s="942"/>
      <c r="H32" s="969"/>
      <c r="I32" s="926"/>
      <c r="J32" s="926"/>
    </row>
    <row r="33" spans="1:10">
      <c r="A33" s="961" t="str">
        <f>'Source and Uses'!A52</f>
        <v>Construction Period Income</v>
      </c>
      <c r="B33" s="958"/>
      <c r="C33" s="958"/>
      <c r="D33" s="962">
        <f>'Source and Uses'!E52</f>
        <v>0</v>
      </c>
      <c r="E33" s="940"/>
      <c r="F33" s="941"/>
      <c r="G33" s="942"/>
      <c r="H33" s="969"/>
      <c r="I33" s="926"/>
      <c r="J33" s="926"/>
    </row>
    <row r="34" spans="1:10">
      <c r="A34" s="961" t="str">
        <f>'Source and Uses'!A53</f>
        <v>Deferred Developer Fee</v>
      </c>
      <c r="B34" s="958"/>
      <c r="C34" s="958"/>
      <c r="D34" s="962">
        <f>'Source and Uses'!E53</f>
        <v>0</v>
      </c>
      <c r="E34" s="940"/>
      <c r="F34" s="941"/>
      <c r="G34" s="942"/>
      <c r="H34" s="969"/>
      <c r="I34" s="926"/>
      <c r="J34" s="926"/>
    </row>
    <row r="35" spans="1:10" ht="15.75" thickBot="1">
      <c r="A35" s="970" t="s">
        <v>159</v>
      </c>
      <c r="B35" s="958"/>
      <c r="C35" s="958"/>
      <c r="D35" s="954">
        <f>SUM(D23:D34)</f>
        <v>0</v>
      </c>
      <c r="E35" s="940"/>
      <c r="F35" s="941"/>
      <c r="G35" s="942"/>
      <c r="H35" s="969"/>
      <c r="I35" s="926"/>
      <c r="J35" s="926"/>
    </row>
    <row r="36" spans="1:10" ht="17.100000000000001" customHeight="1" thickTop="1" thickBot="1">
      <c r="A36" s="971"/>
      <c r="B36" s="972"/>
      <c r="C36" s="972"/>
      <c r="D36" s="972"/>
      <c r="E36" s="973"/>
      <c r="F36" s="973"/>
      <c r="G36" s="974"/>
      <c r="H36" s="969"/>
      <c r="I36" s="926"/>
      <c r="J36" s="926"/>
    </row>
    <row r="37" spans="1:10" ht="16.5" thickBot="1">
      <c r="A37" s="975"/>
      <c r="B37" s="975"/>
      <c r="C37" s="975"/>
      <c r="D37" s="975"/>
      <c r="E37" s="976"/>
      <c r="F37" s="976"/>
      <c r="G37" s="977"/>
      <c r="H37" s="969"/>
      <c r="I37" s="1920" t="s">
        <v>242</v>
      </c>
      <c r="J37" s="1921"/>
    </row>
    <row r="38" spans="1:10">
      <c r="A38" s="1922" t="s">
        <v>466</v>
      </c>
      <c r="B38" s="1923"/>
      <c r="C38" s="1923"/>
      <c r="D38" s="1923"/>
      <c r="E38" s="1924"/>
      <c r="F38" s="928"/>
      <c r="G38" s="926"/>
      <c r="H38" s="926"/>
      <c r="I38" s="950" t="s">
        <v>243</v>
      </c>
      <c r="J38" s="978" t="s">
        <v>19</v>
      </c>
    </row>
    <row r="39" spans="1:10">
      <c r="A39" s="979" t="str">
        <f>'Source and Uses'!A56</f>
        <v>Acquisition Costs</v>
      </c>
      <c r="B39" s="980"/>
      <c r="C39" s="980"/>
      <c r="D39" s="980"/>
      <c r="E39" s="981">
        <f>'Source and Uses'!E56</f>
        <v>0</v>
      </c>
      <c r="F39" s="982"/>
      <c r="G39" s="926"/>
      <c r="H39" s="926"/>
      <c r="I39" s="983" t="s">
        <v>764</v>
      </c>
      <c r="J39" s="984">
        <f>'Project Info'!S6</f>
        <v>0</v>
      </c>
    </row>
    <row r="40" spans="1:10">
      <c r="A40" s="979" t="str">
        <f>'Source and Uses'!A57</f>
        <v>Off-Site Improvements and Relocation</v>
      </c>
      <c r="B40" s="980"/>
      <c r="C40" s="980"/>
      <c r="D40" s="980"/>
      <c r="E40" s="981">
        <f>'Source and Uses'!E57</f>
        <v>0</v>
      </c>
      <c r="F40" s="982"/>
      <c r="G40" s="926"/>
      <c r="H40" s="926"/>
      <c r="I40" s="985" t="s">
        <v>757</v>
      </c>
      <c r="J40" s="986">
        <f>'Project Info'!S7</f>
        <v>0</v>
      </c>
    </row>
    <row r="41" spans="1:10">
      <c r="A41" s="979" t="str">
        <f>'Source and Uses'!A58</f>
        <v>Hard Construction Costs</v>
      </c>
      <c r="B41" s="980"/>
      <c r="C41" s="980"/>
      <c r="D41" s="980"/>
      <c r="E41" s="981">
        <f>'Source and Uses'!E58</f>
        <v>0</v>
      </c>
      <c r="F41" s="982"/>
      <c r="G41" s="926"/>
      <c r="H41" s="926"/>
      <c r="I41" s="985" t="s">
        <v>759</v>
      </c>
      <c r="J41" s="986">
        <f>'Project Info'!S8</f>
        <v>0</v>
      </c>
    </row>
    <row r="42" spans="1:10">
      <c r="A42" s="979" t="str">
        <f>'Source and Uses'!A59</f>
        <v>Soft Costs</v>
      </c>
      <c r="B42" s="980"/>
      <c r="C42" s="980"/>
      <c r="D42" s="980"/>
      <c r="E42" s="981">
        <f>'Source and Uses'!E59</f>
        <v>0</v>
      </c>
      <c r="F42" s="982"/>
      <c r="G42" s="926"/>
      <c r="H42" s="926"/>
      <c r="I42" s="985" t="s">
        <v>758</v>
      </c>
      <c r="J42" s="986">
        <f>'Project Info'!S9</f>
        <v>0</v>
      </c>
    </row>
    <row r="43" spans="1:10">
      <c r="A43" s="979" t="str">
        <f>'Source and Uses'!A60</f>
        <v>Financing  and Carry Costs</v>
      </c>
      <c r="B43" s="980"/>
      <c r="C43" s="980"/>
      <c r="D43" s="980"/>
      <c r="E43" s="981">
        <f>'Source and Uses'!E60</f>
        <v>0</v>
      </c>
      <c r="F43" s="982"/>
      <c r="G43" s="926"/>
      <c r="H43" s="926"/>
      <c r="I43" s="987" t="s">
        <v>760</v>
      </c>
      <c r="J43" s="986">
        <f>'Project Info'!S10</f>
        <v>0</v>
      </c>
    </row>
    <row r="44" spans="1:10">
      <c r="A44" s="979" t="str">
        <f>'Source and Uses'!A61</f>
        <v>Syndication Costs</v>
      </c>
      <c r="B44" s="980"/>
      <c r="C44" s="980"/>
      <c r="D44" s="980"/>
      <c r="E44" s="981">
        <f>'Source and Uses'!E61</f>
        <v>0</v>
      </c>
      <c r="F44" s="982"/>
      <c r="G44" s="926"/>
      <c r="H44" s="926"/>
      <c r="I44" s="987" t="s">
        <v>761</v>
      </c>
      <c r="J44" s="986">
        <f>'Project Info'!S11</f>
        <v>0</v>
      </c>
    </row>
    <row r="45" spans="1:10">
      <c r="A45" s="979" t="str">
        <f>'Source and Uses'!A62</f>
        <v>Reserves</v>
      </c>
      <c r="B45" s="980"/>
      <c r="C45" s="980"/>
      <c r="D45" s="980"/>
      <c r="E45" s="981">
        <f>'Source and Uses'!E62</f>
        <v>0</v>
      </c>
      <c r="F45" s="982"/>
      <c r="G45" s="926"/>
      <c r="H45" s="926"/>
      <c r="I45" s="988" t="s">
        <v>762</v>
      </c>
      <c r="J45" s="986">
        <f>'Project Info'!S12</f>
        <v>0</v>
      </c>
    </row>
    <row r="46" spans="1:10">
      <c r="A46" s="979" t="str">
        <f>'Source and Uses'!A63</f>
        <v>Developer Fees / Costs</v>
      </c>
      <c r="B46" s="989" t="s">
        <v>169</v>
      </c>
      <c r="C46" s="989"/>
      <c r="D46" s="990">
        <f>'Source and Uses'!C63</f>
        <v>0</v>
      </c>
      <c r="E46" s="981">
        <f>'Source and Uses'!E63</f>
        <v>0</v>
      </c>
      <c r="F46" s="982"/>
      <c r="G46" s="926"/>
      <c r="H46" s="926"/>
      <c r="I46" s="935" t="s">
        <v>248</v>
      </c>
      <c r="J46" s="986">
        <f>'Project Info'!S13</f>
        <v>0</v>
      </c>
    </row>
    <row r="47" spans="1:10" ht="15.75" thickBot="1">
      <c r="A47" s="991" t="s">
        <v>347</v>
      </c>
      <c r="B47" s="980"/>
      <c r="C47" s="980"/>
      <c r="D47" s="980"/>
      <c r="E47" s="992">
        <f>SUM(E39:E46)</f>
        <v>0</v>
      </c>
      <c r="F47" s="982"/>
      <c r="G47" s="926"/>
      <c r="H47" s="926"/>
      <c r="I47" s="935" t="s">
        <v>53</v>
      </c>
      <c r="J47" s="986">
        <f>'Project Info'!S14</f>
        <v>0</v>
      </c>
    </row>
    <row r="48" spans="1:10" ht="17.25" thickTop="1" thickBot="1">
      <c r="A48" s="966"/>
      <c r="B48" s="973"/>
      <c r="C48" s="973"/>
      <c r="D48" s="993"/>
      <c r="E48" s="994"/>
      <c r="F48" s="927"/>
      <c r="G48" s="926"/>
      <c r="H48" s="926"/>
      <c r="I48" s="947" t="s">
        <v>344</v>
      </c>
      <c r="J48" s="995">
        <f>SUM(J39:J47)</f>
        <v>0</v>
      </c>
    </row>
    <row r="49" spans="1:12" ht="9" customHeight="1">
      <c r="A49" s="926"/>
      <c r="B49" s="926"/>
      <c r="C49" s="926"/>
      <c r="D49" s="926"/>
      <c r="E49" s="952"/>
      <c r="F49" s="952"/>
      <c r="G49" s="976"/>
      <c r="H49" s="975"/>
      <c r="I49" s="996"/>
      <c r="J49" s="996"/>
    </row>
    <row r="50" spans="1:12" ht="6.95" customHeight="1" thickBot="1">
      <c r="A50" s="926"/>
      <c r="B50" s="926"/>
      <c r="C50" s="926"/>
      <c r="D50" s="926"/>
      <c r="E50" s="952"/>
      <c r="F50" s="952"/>
      <c r="G50" s="922"/>
      <c r="H50" s="926"/>
      <c r="I50" s="926"/>
      <c r="J50" s="926"/>
    </row>
    <row r="51" spans="1:12" ht="15.95" customHeight="1">
      <c r="A51" s="1928" t="s">
        <v>463</v>
      </c>
      <c r="B51" s="1929"/>
      <c r="C51" s="922"/>
      <c r="D51" s="1930" t="s">
        <v>496</v>
      </c>
      <c r="E51" s="1931"/>
      <c r="F51" s="922"/>
      <c r="G51" s="997" t="s">
        <v>232</v>
      </c>
      <c r="H51" s="998"/>
      <c r="I51" s="998"/>
      <c r="J51" s="999"/>
    </row>
    <row r="52" spans="1:12" ht="15.95" customHeight="1">
      <c r="A52" s="979" t="s">
        <v>478</v>
      </c>
      <c r="B52" s="981">
        <f>'TC Analysis'!E37</f>
        <v>0</v>
      </c>
      <c r="C52" s="922"/>
      <c r="D52" s="955" t="s">
        <v>483</v>
      </c>
      <c r="E52" s="1000">
        <f>'Stabilized Ops &amp; Debt'!E75+'Stabilized Ops &amp; Debt'!E76+'Stabilized Ops &amp; Debt'!E78+'Stabilized Ops &amp; Debt'!E84+'Stabilized Ops &amp; Debt'!E87</f>
        <v>0</v>
      </c>
      <c r="F52" s="922"/>
      <c r="G52" s="1001" t="s">
        <v>243</v>
      </c>
      <c r="H52" s="969"/>
      <c r="I52" s="1002" t="s">
        <v>344</v>
      </c>
      <c r="J52" s="1003" t="s">
        <v>361</v>
      </c>
      <c r="L52" s="362"/>
    </row>
    <row r="53" spans="1:12" ht="14.1" customHeight="1">
      <c r="A53" s="979" t="s">
        <v>459</v>
      </c>
      <c r="B53" s="1004">
        <f>'TC Analysis'!E38</f>
        <v>0.04</v>
      </c>
      <c r="C53" s="922"/>
      <c r="D53" s="955" t="s">
        <v>484</v>
      </c>
      <c r="E53" s="1000">
        <f>'Stabilized Ops &amp; Debt'!E77</f>
        <v>0</v>
      </c>
      <c r="F53" s="922"/>
      <c r="G53" s="955" t="s">
        <v>465</v>
      </c>
      <c r="H53" s="969"/>
      <c r="I53" s="1005">
        <f>'Stabilized Ops &amp; Debt'!E22</f>
        <v>0</v>
      </c>
      <c r="J53" s="1000">
        <f>'Stabilized Ops &amp; Debt'!F22</f>
        <v>0</v>
      </c>
    </row>
    <row r="54" spans="1:12" ht="15.95" customHeight="1">
      <c r="A54" s="979" t="s">
        <v>479</v>
      </c>
      <c r="B54" s="981">
        <f>'TC Analysis'!E39</f>
        <v>0</v>
      </c>
      <c r="C54" s="922"/>
      <c r="D54" s="955" t="s">
        <v>485</v>
      </c>
      <c r="E54" s="1000">
        <f>'Stabilized Ops &amp; Debt'!E85+'Stabilized Ops &amp; Debt'!E88</f>
        <v>0</v>
      </c>
      <c r="F54" s="1006"/>
      <c r="G54" s="955" t="s">
        <v>477</v>
      </c>
      <c r="H54" s="969"/>
      <c r="I54" s="1005">
        <f>'Stabilized Ops &amp; Debt'!E24</f>
        <v>0</v>
      </c>
      <c r="J54" s="1000">
        <f>'Stabilized Ops &amp; Debt'!F24</f>
        <v>0</v>
      </c>
    </row>
    <row r="55" spans="1:12" ht="15.95" customHeight="1">
      <c r="A55" s="979" t="s">
        <v>604</v>
      </c>
      <c r="B55" s="981">
        <f>'TC Analysis'!E23</f>
        <v>0</v>
      </c>
      <c r="C55" s="922"/>
      <c r="D55" s="955" t="s">
        <v>486</v>
      </c>
      <c r="E55" s="1000">
        <f>'Stabilized Ops &amp; Debt'!E89</f>
        <v>0</v>
      </c>
      <c r="F55" s="1006"/>
      <c r="G55" s="955" t="s">
        <v>216</v>
      </c>
      <c r="H55" s="969"/>
      <c r="I55" s="1005">
        <f>'Stabilized Ops &amp; Debt'!E30</f>
        <v>0</v>
      </c>
      <c r="J55" s="1000">
        <f>'Stabilized Ops &amp; Debt'!F30</f>
        <v>0</v>
      </c>
    </row>
    <row r="56" spans="1:12" ht="15.95" customHeight="1">
      <c r="A56" s="979" t="s">
        <v>459</v>
      </c>
      <c r="B56" s="1004">
        <f>'TC Analysis'!E24</f>
        <v>0.04</v>
      </c>
      <c r="C56" s="922"/>
      <c r="D56" s="955" t="s">
        <v>487</v>
      </c>
      <c r="E56" s="1000">
        <f>I61</f>
        <v>0</v>
      </c>
      <c r="F56" s="1006"/>
      <c r="G56" s="955" t="s">
        <v>174</v>
      </c>
      <c r="H56" s="969"/>
      <c r="I56" s="1005">
        <f>'Stabilized Ops &amp; Debt'!E36</f>
        <v>0</v>
      </c>
      <c r="J56" s="1000">
        <f>'Stabilized Ops &amp; Debt'!F36</f>
        <v>0</v>
      </c>
    </row>
    <row r="57" spans="1:12" ht="15.75">
      <c r="A57" s="979" t="s">
        <v>480</v>
      </c>
      <c r="B57" s="981">
        <f>'TC Analysis'!E26</f>
        <v>0</v>
      </c>
      <c r="C57" s="922"/>
      <c r="D57" s="955" t="s">
        <v>461</v>
      </c>
      <c r="E57" s="1000">
        <f>'Stabilized Ops &amp; Debt'!E90</f>
        <v>0</v>
      </c>
      <c r="F57" s="1006"/>
      <c r="G57" s="955" t="s">
        <v>464</v>
      </c>
      <c r="H57" s="969"/>
      <c r="I57" s="1005">
        <f>'Stabilized Ops &amp; Debt'!E46</f>
        <v>0</v>
      </c>
      <c r="J57" s="1000">
        <f>'Stabilized Ops &amp; Debt'!F46</f>
        <v>0</v>
      </c>
    </row>
    <row r="58" spans="1:12" ht="15.75">
      <c r="A58" s="979" t="s">
        <v>456</v>
      </c>
      <c r="B58" s="1007">
        <f>'TC Analysis'!K34</f>
        <v>0</v>
      </c>
      <c r="C58" s="1008"/>
      <c r="D58" s="1009" t="s">
        <v>751</v>
      </c>
      <c r="E58" s="1000">
        <f>Rents!T38</f>
        <v>0</v>
      </c>
      <c r="F58" s="922"/>
      <c r="G58" s="955" t="s">
        <v>476</v>
      </c>
      <c r="H58" s="969"/>
      <c r="I58" s="1005">
        <f>'Stabilized Ops &amp; Debt'!E51</f>
        <v>0</v>
      </c>
      <c r="J58" s="1000">
        <f>'Stabilized Ops &amp; Debt'!F51</f>
        <v>0</v>
      </c>
    </row>
    <row r="59" spans="1:12" ht="15.75" thickBot="1">
      <c r="A59" s="1010" t="s">
        <v>454</v>
      </c>
      <c r="B59" s="1011">
        <f>'TC Analysis'!K35</f>
        <v>0</v>
      </c>
      <c r="C59" s="982"/>
      <c r="D59" s="1012" t="s">
        <v>752</v>
      </c>
      <c r="E59" s="1013">
        <f>-PV(('Stabilized Ops &amp; Debt'!K21+'Stabilized Ops &amp; Debt'!K22)/12,'Stabilized Ops &amp; Debt'!K23*12,Summary!E58/12)</f>
        <v>0</v>
      </c>
      <c r="F59" s="976"/>
      <c r="G59" s="955" t="s">
        <v>176</v>
      </c>
      <c r="H59" s="952"/>
      <c r="I59" s="1005">
        <f>'Stabilized Ops &amp; Debt'!E56</f>
        <v>0</v>
      </c>
      <c r="J59" s="1000">
        <f>'Stabilized Ops &amp; Debt'!F56</f>
        <v>0</v>
      </c>
    </row>
    <row r="60" spans="1:12" ht="15.75" thickBot="1">
      <c r="A60" s="982"/>
      <c r="B60" s="1014"/>
      <c r="C60" s="1014"/>
      <c r="D60" s="1015"/>
      <c r="E60" s="1016"/>
      <c r="F60" s="1017"/>
      <c r="G60" s="955" t="s">
        <v>162</v>
      </c>
      <c r="H60" s="952"/>
      <c r="I60" s="1005">
        <f>'Stabilized Ops &amp; Debt'!E64</f>
        <v>0</v>
      </c>
      <c r="J60" s="1000">
        <f>'Stabilized Ops &amp; Debt'!F64</f>
        <v>0</v>
      </c>
    </row>
    <row r="61" spans="1:12" ht="16.5" thickBot="1">
      <c r="A61" s="1917" t="s">
        <v>482</v>
      </c>
      <c r="B61" s="1918"/>
      <c r="C61" s="926"/>
      <c r="D61" s="927"/>
      <c r="E61" s="1014"/>
      <c r="F61" s="1015"/>
      <c r="G61" s="966" t="s">
        <v>344</v>
      </c>
      <c r="H61" s="972"/>
      <c r="I61" s="1018">
        <f>'Stabilized Ops &amp; Debt'!E67</f>
        <v>0</v>
      </c>
      <c r="J61" s="1019">
        <f>SUM(J53:J60)</f>
        <v>0</v>
      </c>
    </row>
    <row r="62" spans="1:12">
      <c r="A62" s="955" t="s">
        <v>462</v>
      </c>
      <c r="B62" s="1020">
        <f>' Cash Flow'!F120</f>
        <v>1919</v>
      </c>
      <c r="C62" s="926"/>
      <c r="D62" s="926"/>
      <c r="E62" s="926"/>
      <c r="F62" s="926"/>
      <c r="G62" s="926"/>
      <c r="H62" s="926"/>
      <c r="I62" s="926"/>
      <c r="J62" s="926"/>
    </row>
    <row r="63" spans="1:12">
      <c r="A63" s="955" t="s">
        <v>492</v>
      </c>
      <c r="B63" s="1000">
        <f>' Cash Flow'!F121</f>
        <v>0</v>
      </c>
      <c r="C63" s="926"/>
      <c r="D63" s="926"/>
      <c r="E63" s="926"/>
      <c r="F63" s="926"/>
      <c r="G63" s="926"/>
      <c r="H63" s="926"/>
      <c r="I63" s="926"/>
      <c r="J63" s="926"/>
    </row>
    <row r="64" spans="1:12">
      <c r="A64" s="955" t="s">
        <v>497</v>
      </c>
      <c r="B64" s="1021">
        <f>' Cash Flow'!F122</f>
        <v>0</v>
      </c>
      <c r="C64" s="926"/>
      <c r="D64" s="926"/>
      <c r="E64" s="926"/>
      <c r="F64" s="926"/>
      <c r="G64" s="926"/>
      <c r="H64" s="926"/>
      <c r="I64" s="926"/>
      <c r="J64" s="926"/>
    </row>
    <row r="65" spans="1:10">
      <c r="A65" s="955" t="s">
        <v>498</v>
      </c>
      <c r="B65" s="1000">
        <f>' Cash Flow'!F123</f>
        <v>0</v>
      </c>
      <c r="C65" s="926"/>
      <c r="D65" s="926"/>
      <c r="E65" s="926"/>
      <c r="F65" s="926"/>
      <c r="G65" s="926"/>
      <c r="H65" s="926"/>
      <c r="I65" s="926"/>
      <c r="J65" s="1022"/>
    </row>
    <row r="66" spans="1:10">
      <c r="A66" s="955" t="s">
        <v>499</v>
      </c>
      <c r="B66" s="1023">
        <f>' Cash Flow'!F124</f>
        <v>0</v>
      </c>
      <c r="C66" s="926"/>
      <c r="D66" s="1024"/>
      <c r="E66" s="926"/>
      <c r="F66" s="926"/>
      <c r="G66" s="926"/>
      <c r="H66" s="926"/>
      <c r="I66" s="926"/>
      <c r="J66" s="1025"/>
    </row>
    <row r="67" spans="1:10">
      <c r="A67" s="955" t="s">
        <v>493</v>
      </c>
      <c r="B67" s="1000">
        <f>' Cash Flow'!F125</f>
        <v>0</v>
      </c>
      <c r="C67" s="926"/>
      <c r="D67" s="1024"/>
      <c r="E67" s="926"/>
      <c r="F67" s="926"/>
      <c r="G67" s="926"/>
      <c r="H67" s="926"/>
      <c r="I67" s="926"/>
      <c r="J67" s="1025"/>
    </row>
    <row r="68" spans="1:10">
      <c r="A68" s="955" t="s">
        <v>625</v>
      </c>
      <c r="B68" s="1000">
        <f>IFERROR(' Cash Flow'!F126,0)</f>
        <v>0</v>
      </c>
      <c r="C68" s="926"/>
      <c r="D68" s="1024"/>
      <c r="E68" s="926"/>
      <c r="F68" s="926"/>
      <c r="G68" s="926"/>
      <c r="H68" s="926"/>
      <c r="I68" s="926"/>
      <c r="J68" s="926"/>
    </row>
    <row r="69" spans="1:10">
      <c r="A69" s="955" t="s">
        <v>494</v>
      </c>
      <c r="B69" s="1000">
        <f>IFERROR(' Cash Flow'!F127,0)</f>
        <v>0</v>
      </c>
      <c r="C69" s="926"/>
      <c r="D69" s="1024"/>
      <c r="E69" s="926"/>
      <c r="F69" s="926"/>
      <c r="G69" s="926"/>
      <c r="H69" s="926"/>
      <c r="I69" s="926"/>
      <c r="J69" s="926"/>
    </row>
    <row r="70" spans="1:10" ht="15.75" thickBot="1">
      <c r="A70" s="966" t="s">
        <v>495</v>
      </c>
      <c r="B70" s="1026">
        <f>IFERROR(' Cash Flow'!F128,0)</f>
        <v>0</v>
      </c>
      <c r="C70" s="926"/>
      <c r="D70" s="1024"/>
      <c r="E70" s="926"/>
      <c r="F70" s="926"/>
      <c r="G70" s="926"/>
      <c r="H70" s="926"/>
      <c r="I70" s="926"/>
      <c r="J70" s="926"/>
    </row>
    <row r="71" spans="1:10">
      <c r="A71" s="357"/>
      <c r="J71" s="352"/>
    </row>
    <row r="72" spans="1:10">
      <c r="A72" s="357"/>
      <c r="J72" s="352"/>
    </row>
    <row r="73" spans="1:10">
      <c r="A73" s="357"/>
      <c r="J73" s="352"/>
    </row>
    <row r="74" spans="1:10">
      <c r="A74" s="357"/>
      <c r="J74" s="352"/>
    </row>
    <row r="75" spans="1:10">
      <c r="A75" s="357"/>
      <c r="J75" s="352"/>
    </row>
    <row r="76" spans="1:10" ht="9" customHeight="1">
      <c r="A76" s="359"/>
      <c r="B76" s="360"/>
      <c r="C76" s="360"/>
      <c r="G76" s="360"/>
      <c r="J76" s="352"/>
    </row>
    <row r="77" spans="1:10">
      <c r="A77" s="359"/>
      <c r="B77" s="360"/>
      <c r="C77" s="360"/>
      <c r="G77" s="360"/>
      <c r="H77" s="360"/>
      <c r="J77" s="352"/>
    </row>
    <row r="78" spans="1:10" ht="14.1" customHeight="1">
      <c r="A78" s="359"/>
      <c r="B78" s="360"/>
      <c r="C78" s="360"/>
      <c r="E78" s="360"/>
      <c r="F78" s="360"/>
      <c r="G78" s="360"/>
      <c r="H78" s="360"/>
      <c r="J78" s="354"/>
    </row>
    <row r="79" spans="1:10">
      <c r="A79" s="359"/>
      <c r="B79" s="360"/>
      <c r="C79" s="360"/>
      <c r="D79" s="355"/>
      <c r="E79" s="360"/>
      <c r="F79" s="360"/>
      <c r="G79" s="360"/>
      <c r="H79" s="360"/>
      <c r="J79" s="353"/>
    </row>
    <row r="80" spans="1:10">
      <c r="A80" s="359"/>
      <c r="B80" s="360"/>
      <c r="C80" s="360"/>
      <c r="D80" s="355"/>
      <c r="E80" s="360"/>
      <c r="F80" s="360"/>
      <c r="G80" s="360"/>
      <c r="H80" s="360"/>
    </row>
    <row r="81" spans="1:10">
      <c r="D81" s="355"/>
      <c r="E81" s="360"/>
      <c r="F81" s="360"/>
      <c r="H81" s="360"/>
      <c r="I81" s="360"/>
    </row>
    <row r="82" spans="1:10">
      <c r="A82" s="359"/>
      <c r="E82" s="360"/>
      <c r="F82" s="360"/>
      <c r="I82" s="360"/>
      <c r="J82" s="352"/>
    </row>
    <row r="83" spans="1:10">
      <c r="A83" s="359"/>
      <c r="I83" s="360"/>
      <c r="J83" s="352"/>
    </row>
    <row r="84" spans="1:10">
      <c r="A84" s="359"/>
      <c r="I84" s="360"/>
      <c r="J84" s="352"/>
    </row>
    <row r="85" spans="1:10">
      <c r="I85" s="360"/>
      <c r="J85" s="352"/>
    </row>
    <row r="86" spans="1:10">
      <c r="J86" s="352"/>
    </row>
    <row r="87" spans="1:10">
      <c r="J87" s="352"/>
    </row>
    <row r="88" spans="1:10">
      <c r="A88" s="358"/>
      <c r="J88" s="352"/>
    </row>
    <row r="89" spans="1:10">
      <c r="A89" s="357"/>
      <c r="B89" s="355"/>
      <c r="C89" s="355"/>
      <c r="G89" s="355"/>
      <c r="J89" s="354"/>
    </row>
    <row r="90" spans="1:10">
      <c r="A90" s="356"/>
      <c r="B90" s="355"/>
      <c r="C90" s="355"/>
      <c r="G90" s="355"/>
      <c r="H90" s="355"/>
      <c r="J90" s="353"/>
    </row>
    <row r="91" spans="1:10">
      <c r="A91" s="356"/>
      <c r="B91" s="355"/>
      <c r="C91" s="355"/>
      <c r="E91" s="355"/>
      <c r="F91" s="355"/>
      <c r="G91" s="355"/>
      <c r="H91" s="355"/>
      <c r="J91" s="353"/>
    </row>
    <row r="92" spans="1:10">
      <c r="E92" s="355"/>
      <c r="F92" s="355"/>
      <c r="H92" s="355"/>
      <c r="J92" s="353"/>
    </row>
    <row r="93" spans="1:10">
      <c r="E93" s="355"/>
      <c r="F93" s="355"/>
    </row>
    <row r="94" spans="1:10">
      <c r="I94" s="355"/>
    </row>
    <row r="95" spans="1:10">
      <c r="I95" s="355"/>
      <c r="J95" s="352"/>
    </row>
    <row r="96" spans="1:10">
      <c r="I96" s="355"/>
      <c r="J96" s="352"/>
    </row>
    <row r="97" spans="10:10">
      <c r="J97" s="352"/>
    </row>
    <row r="98" spans="10:10">
      <c r="J98" s="352"/>
    </row>
    <row r="99" spans="10:10">
      <c r="J99" s="352"/>
    </row>
    <row r="100" spans="10:10">
      <c r="J100" s="352"/>
    </row>
    <row r="101" spans="10:10">
      <c r="J101" s="354"/>
    </row>
    <row r="102" spans="10:10">
      <c r="J102" s="353"/>
    </row>
    <row r="103" spans="10:10">
      <c r="J103" s="353"/>
    </row>
    <row r="104" spans="10:10">
      <c r="J104" s="353"/>
    </row>
    <row r="105" spans="10:10">
      <c r="J105" s="353"/>
    </row>
    <row r="106" spans="10:10">
      <c r="J106" s="353"/>
    </row>
    <row r="111" spans="10:10">
      <c r="J111" s="352"/>
    </row>
    <row r="112" spans="10:10">
      <c r="J112" s="352"/>
    </row>
  </sheetData>
  <sheetProtection algorithmName="SHA-512" hashValue="cUaF7dZE9QArkb2pWfwDAwRN552ZVgyigIATQGtRETKVyI5Cjt9MiGQ319EuoXnP3KCVCbo71UPRL7N+XF9imw==" saltValue="Qo/W+hTo5Qc+cSF5rDFf4A==" spinCount="100000" sheet="1" objects="1" scenarios="1"/>
  <mergeCells count="11">
    <mergeCell ref="A61:B61"/>
    <mergeCell ref="A1:J1"/>
    <mergeCell ref="I11:J11"/>
    <mergeCell ref="I37:J37"/>
    <mergeCell ref="I20:J20"/>
    <mergeCell ref="A38:E38"/>
    <mergeCell ref="A5:G5"/>
    <mergeCell ref="A51:B51"/>
    <mergeCell ref="I28:J28"/>
    <mergeCell ref="D51:E51"/>
    <mergeCell ref="I5:J5"/>
  </mergeCells>
  <dataValidations count="1">
    <dataValidation type="list" allowBlank="1" showInputMessage="1" showErrorMessage="1" sqref="J6:J9" xr:uid="{977F012E-D00C-8845-BA8E-7386CF9E631F}">
      <formula1>"Yes,No,-"</formula1>
    </dataValidation>
  </dataValidations>
  <pageMargins left="0.6" right="0.62" top="0.75" bottom="0.42" header="0.3" footer="0.24"/>
  <pageSetup scale="71" orientation="portrait" verticalDpi="4294967292"/>
  <headerFooter>
    <oddFooter xml:space="preserve">&amp;C&amp;"-,Regular"&amp;10&amp;A&amp;R=date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Z183"/>
  <sheetViews>
    <sheetView workbookViewId="0"/>
  </sheetViews>
  <sheetFormatPr defaultColWidth="8.6640625" defaultRowHeight="15"/>
  <cols>
    <col min="1" max="1" width="8.88671875" style="9" customWidth="1"/>
    <col min="2" max="2" width="8.6640625" style="9"/>
    <col min="3" max="5" width="11.44140625" style="9" customWidth="1"/>
    <col min="6" max="6" width="12.109375" style="9" customWidth="1"/>
    <col min="7" max="7" width="11.44140625" style="9" customWidth="1"/>
    <col min="8" max="8" width="3.44140625" style="9" customWidth="1"/>
    <col min="9" max="9" width="10.6640625" style="9" customWidth="1"/>
    <col min="10" max="10" width="10.109375" style="9" customWidth="1"/>
    <col min="11" max="11" width="12.5546875" style="9" customWidth="1"/>
    <col min="12" max="12" width="12.6640625" style="9" customWidth="1"/>
    <col min="13" max="13" width="12" style="9" customWidth="1"/>
    <col min="14" max="14" width="14.109375" style="9" customWidth="1"/>
    <col min="15" max="15" width="11.5546875" style="9" customWidth="1"/>
    <col min="16" max="16" width="8" style="9" customWidth="1"/>
    <col min="17" max="17" width="9.88671875" style="9" customWidth="1"/>
    <col min="18" max="18" width="9.44140625" style="9" customWidth="1"/>
    <col min="19" max="19" width="7.88671875" style="9" customWidth="1"/>
    <col min="20" max="20" width="9.109375" style="9" customWidth="1"/>
    <col min="21" max="16384" width="8.6640625" style="9"/>
  </cols>
  <sheetData>
    <row r="1" spans="1:20" ht="15.75">
      <c r="A1" s="17"/>
    </row>
    <row r="2" spans="1:20" ht="21" customHeight="1">
      <c r="A2" s="1908" t="s">
        <v>315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  <c r="Q2" s="1908"/>
      <c r="R2" s="1908"/>
      <c r="S2" s="1908"/>
    </row>
    <row r="3" spans="1:20" ht="21" customHeight="1" thickBot="1">
      <c r="A3" s="863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</row>
    <row r="4" spans="1:20" ht="16.5" customHeight="1">
      <c r="A4" s="1971" t="s">
        <v>316</v>
      </c>
      <c r="B4" s="1940"/>
      <c r="C4" s="1940"/>
      <c r="D4" s="1940"/>
      <c r="E4" s="1940"/>
      <c r="F4" s="1940"/>
      <c r="G4" s="1940"/>
      <c r="H4" s="1027"/>
      <c r="I4" s="1937" t="s">
        <v>691</v>
      </c>
      <c r="J4" s="1938"/>
      <c r="K4" s="1938"/>
      <c r="L4" s="1939"/>
      <c r="M4" s="1028"/>
      <c r="N4" s="1943" t="s">
        <v>117</v>
      </c>
      <c r="O4" s="1944"/>
      <c r="P4" s="1027"/>
      <c r="Q4" s="1943" t="s">
        <v>242</v>
      </c>
      <c r="R4" s="1955"/>
      <c r="S4" s="1944"/>
      <c r="T4" s="123"/>
    </row>
    <row r="5" spans="1:20" ht="16.5" customHeight="1">
      <c r="A5" s="1972"/>
      <c r="B5" s="1941"/>
      <c r="C5" s="1941"/>
      <c r="D5" s="1941"/>
      <c r="E5" s="1941"/>
      <c r="F5" s="1941"/>
      <c r="G5" s="1941"/>
      <c r="H5" s="1029"/>
      <c r="I5" s="1030" t="s">
        <v>55</v>
      </c>
      <c r="J5" s="1170" t="s">
        <v>351</v>
      </c>
      <c r="K5" s="1031" t="s">
        <v>56</v>
      </c>
      <c r="L5" s="1172" t="s">
        <v>350</v>
      </c>
      <c r="M5" s="1032"/>
      <c r="N5" s="1033" t="s">
        <v>57</v>
      </c>
      <c r="O5" s="852"/>
      <c r="P5" s="1034"/>
      <c r="Q5" s="1035" t="s">
        <v>243</v>
      </c>
      <c r="R5" s="1036" t="s">
        <v>771</v>
      </c>
      <c r="S5" s="1037" t="s">
        <v>718</v>
      </c>
      <c r="T5" s="123"/>
    </row>
    <row r="6" spans="1:20" ht="16.5" customHeight="1" thickBot="1">
      <c r="A6" s="1972" t="s">
        <v>317</v>
      </c>
      <c r="B6" s="1942"/>
      <c r="C6" s="1942"/>
      <c r="D6" s="1942"/>
      <c r="E6" s="1942"/>
      <c r="F6" s="1942"/>
      <c r="G6" s="1942"/>
      <c r="H6" s="1029"/>
      <c r="I6" s="1038" t="s">
        <v>341</v>
      </c>
      <c r="J6" s="1171" t="s">
        <v>350</v>
      </c>
      <c r="K6" s="1039" t="s">
        <v>690</v>
      </c>
      <c r="L6" s="1173" t="s">
        <v>350</v>
      </c>
      <c r="M6" s="1040"/>
      <c r="N6" s="1041" t="s">
        <v>58</v>
      </c>
      <c r="O6" s="852"/>
      <c r="P6" s="1029"/>
      <c r="Q6" s="1042" t="s">
        <v>764</v>
      </c>
      <c r="R6" s="1182" t="s">
        <v>763</v>
      </c>
      <c r="S6" s="1043">
        <f>Rents!O51</f>
        <v>0</v>
      </c>
      <c r="T6"/>
    </row>
    <row r="7" spans="1:20" ht="16.5" customHeight="1" thickBot="1">
      <c r="A7" s="1972"/>
      <c r="B7" s="1942"/>
      <c r="C7" s="1942"/>
      <c r="D7" s="1942"/>
      <c r="E7" s="1942"/>
      <c r="F7" s="1942"/>
      <c r="G7" s="1942"/>
      <c r="H7" s="1029"/>
      <c r="I7" s="1044"/>
      <c r="J7" s="1044"/>
      <c r="K7" s="1044"/>
      <c r="L7" s="1044"/>
      <c r="M7" s="1032"/>
      <c r="N7" s="1045" t="s">
        <v>1442</v>
      </c>
      <c r="O7" s="1178"/>
      <c r="P7" s="1029"/>
      <c r="Q7" s="1046" t="s">
        <v>757</v>
      </c>
      <c r="R7" s="367"/>
      <c r="S7" s="1047">
        <f>Rents!O52</f>
        <v>0</v>
      </c>
    </row>
    <row r="8" spans="1:20" ht="15.75">
      <c r="A8" s="865"/>
      <c r="B8" s="1044"/>
      <c r="C8" s="1044"/>
      <c r="D8" s="1044"/>
      <c r="E8" s="1044"/>
      <c r="F8" s="1044"/>
      <c r="G8" s="1029"/>
      <c r="H8" s="1029"/>
      <c r="I8" s="1964" t="s">
        <v>335</v>
      </c>
      <c r="J8" s="1965"/>
      <c r="K8" s="1966"/>
      <c r="L8" s="1029"/>
      <c r="M8" s="1044"/>
      <c r="N8" s="1033" t="s">
        <v>678</v>
      </c>
      <c r="O8" s="1048">
        <f>IFERROR(ROUND(C28/O16,0),0)</f>
        <v>0</v>
      </c>
      <c r="P8" s="1029"/>
      <c r="Q8" s="1046" t="s">
        <v>759</v>
      </c>
      <c r="R8" s="338"/>
      <c r="S8" s="1047">
        <f>Rents!O53</f>
        <v>0</v>
      </c>
    </row>
    <row r="9" spans="1:20" ht="15.75" customHeight="1">
      <c r="A9" s="1969" t="s">
        <v>54</v>
      </c>
      <c r="B9" s="1970"/>
      <c r="C9" s="1970"/>
      <c r="D9" s="1970"/>
      <c r="E9" s="1970"/>
      <c r="F9" s="1970"/>
      <c r="G9" s="1970"/>
      <c r="H9" s="1044"/>
      <c r="I9" s="1049" t="s">
        <v>336</v>
      </c>
      <c r="J9" s="340"/>
      <c r="K9" s="368"/>
      <c r="L9" s="1029"/>
      <c r="M9" s="1029"/>
      <c r="N9" s="1033" t="s">
        <v>1443</v>
      </c>
      <c r="O9" s="1179"/>
      <c r="P9" s="1029"/>
      <c r="Q9" s="1046" t="s">
        <v>758</v>
      </c>
      <c r="R9" s="338"/>
      <c r="S9" s="1047">
        <f>Rents!O54</f>
        <v>0</v>
      </c>
    </row>
    <row r="10" spans="1:20" ht="15.75" customHeight="1">
      <c r="A10" s="1967" t="s">
        <v>328</v>
      </c>
      <c r="B10" s="1968"/>
      <c r="C10" s="1942"/>
      <c r="D10" s="1942"/>
      <c r="E10" s="1942"/>
      <c r="F10" s="1942"/>
      <c r="G10" s="1942"/>
      <c r="H10" s="1044"/>
      <c r="I10" s="1049" t="s">
        <v>21</v>
      </c>
      <c r="J10" s="340"/>
      <c r="K10" s="851" t="s">
        <v>1429</v>
      </c>
      <c r="L10" s="1029"/>
      <c r="M10" s="1029"/>
      <c r="N10" s="1033" t="s">
        <v>467</v>
      </c>
      <c r="O10" s="1050">
        <f>EDATE(O5,O7)</f>
        <v>0</v>
      </c>
      <c r="P10" s="1029"/>
      <c r="Q10" s="1051" t="s">
        <v>760</v>
      </c>
      <c r="R10" s="338"/>
      <c r="S10" s="1047">
        <f>Rents!O55</f>
        <v>0</v>
      </c>
    </row>
    <row r="11" spans="1:20" ht="15.75" customHeight="1">
      <c r="A11" s="1967" t="s">
        <v>329</v>
      </c>
      <c r="B11" s="1968"/>
      <c r="C11" s="1942"/>
      <c r="D11" s="1942"/>
      <c r="E11" s="1942"/>
      <c r="F11" s="1942"/>
      <c r="G11" s="1942"/>
      <c r="H11" s="1044"/>
      <c r="I11" s="1052" t="s">
        <v>31</v>
      </c>
      <c r="J11" s="1053"/>
      <c r="K11" s="790"/>
      <c r="L11" s="1029"/>
      <c r="M11" s="1029"/>
      <c r="N11" s="1033" t="s">
        <v>450</v>
      </c>
      <c r="O11" s="1050">
        <f>O10</f>
        <v>0</v>
      </c>
      <c r="P11" s="1029"/>
      <c r="Q11" s="1051" t="s">
        <v>761</v>
      </c>
      <c r="R11" s="338"/>
      <c r="S11" s="1047">
        <f>Rents!O56</f>
        <v>0</v>
      </c>
    </row>
    <row r="12" spans="1:20" ht="15.75" customHeight="1">
      <c r="A12" s="1967" t="s">
        <v>126</v>
      </c>
      <c r="B12" s="1968"/>
      <c r="C12" s="1942"/>
      <c r="D12" s="1942"/>
      <c r="E12" s="1942"/>
      <c r="F12" s="1942"/>
      <c r="G12" s="1942"/>
      <c r="H12" s="1044"/>
      <c r="I12" s="1052" t="s">
        <v>32</v>
      </c>
      <c r="J12" s="1053"/>
      <c r="K12" s="790"/>
      <c r="L12" s="1029"/>
      <c r="M12" s="1029"/>
      <c r="N12" s="1033" t="s">
        <v>118</v>
      </c>
      <c r="O12" s="1050">
        <f>EDATE(O11,O8)</f>
        <v>0</v>
      </c>
      <c r="P12" s="1029"/>
      <c r="Q12" s="1054" t="s">
        <v>762</v>
      </c>
      <c r="R12" s="338"/>
      <c r="S12" s="1047">
        <f>Rents!O57</f>
        <v>0</v>
      </c>
    </row>
    <row r="13" spans="1:20" ht="17.25" customHeight="1" thickBot="1">
      <c r="A13" s="865" t="s">
        <v>331</v>
      </c>
      <c r="B13" s="1044"/>
      <c r="C13" s="339"/>
      <c r="D13" s="340"/>
      <c r="E13" s="779"/>
      <c r="F13" s="1055"/>
      <c r="G13" s="1056"/>
      <c r="H13" s="1044"/>
      <c r="I13" s="1049" t="s">
        <v>766</v>
      </c>
      <c r="J13" s="340"/>
      <c r="K13" s="791"/>
      <c r="L13" s="1029"/>
      <c r="M13" s="1029"/>
      <c r="N13" s="1057" t="s">
        <v>20</v>
      </c>
      <c r="O13" s="1058">
        <f>EDATE(O12,O9)</f>
        <v>0</v>
      </c>
      <c r="P13" s="1029"/>
      <c r="Q13" s="1059" t="s">
        <v>248</v>
      </c>
      <c r="R13" s="338"/>
      <c r="S13" s="1047">
        <f>Rents!O58</f>
        <v>0</v>
      </c>
    </row>
    <row r="14" spans="1:20" ht="15.75" customHeight="1" thickBot="1">
      <c r="A14" s="1967" t="s">
        <v>340</v>
      </c>
      <c r="B14" s="1968"/>
      <c r="C14" s="1949"/>
      <c r="D14" s="1950"/>
      <c r="E14" s="1950"/>
      <c r="F14" s="1950"/>
      <c r="G14" s="1951"/>
      <c r="H14" s="1044"/>
      <c r="I14" s="1052" t="s">
        <v>767</v>
      </c>
      <c r="J14" s="1053"/>
      <c r="K14" s="792"/>
      <c r="L14" s="1044"/>
      <c r="M14" s="1029"/>
      <c r="N14" s="1029"/>
      <c r="O14" s="1044"/>
      <c r="P14" s="1044"/>
      <c r="Q14" s="1059" t="s">
        <v>53</v>
      </c>
      <c r="R14" s="338"/>
      <c r="S14" s="1047">
        <f>Rents!K46</f>
        <v>0</v>
      </c>
    </row>
    <row r="15" spans="1:20" ht="15.75" customHeight="1" thickBot="1">
      <c r="A15" s="1967" t="s">
        <v>339</v>
      </c>
      <c r="B15" s="1968"/>
      <c r="C15" s="1949"/>
      <c r="D15" s="1950"/>
      <c r="E15" s="1950"/>
      <c r="F15" s="1950"/>
      <c r="G15" s="1951"/>
      <c r="H15" s="1044"/>
      <c r="I15" s="1052" t="s">
        <v>801</v>
      </c>
      <c r="J15" s="1053"/>
      <c r="K15" s="850" t="s">
        <v>791</v>
      </c>
      <c r="L15" s="1044"/>
      <c r="M15" s="876"/>
      <c r="N15" s="1943" t="s">
        <v>421</v>
      </c>
      <c r="O15" s="1944"/>
      <c r="P15" s="876"/>
      <c r="Q15" s="1060" t="s">
        <v>344</v>
      </c>
      <c r="R15" s="1061">
        <f>SUM(R9:R14)</f>
        <v>0</v>
      </c>
      <c r="S15" s="1062">
        <f>SUM(S6:S14)</f>
        <v>0</v>
      </c>
    </row>
    <row r="16" spans="1:20" ht="15.75" customHeight="1">
      <c r="A16" s="865"/>
      <c r="B16" s="1044"/>
      <c r="C16" s="1063" t="s">
        <v>332</v>
      </c>
      <c r="D16" s="1063" t="s">
        <v>333</v>
      </c>
      <c r="E16" s="1063" t="s">
        <v>334</v>
      </c>
      <c r="F16" s="1063" t="s">
        <v>127</v>
      </c>
      <c r="G16" s="1053"/>
      <c r="H16" s="1044"/>
      <c r="I16" s="1052" t="s">
        <v>338</v>
      </c>
      <c r="J16" s="1053"/>
      <c r="K16" s="792"/>
      <c r="L16" s="1044"/>
      <c r="M16" s="876"/>
      <c r="N16" s="1064" t="s">
        <v>584</v>
      </c>
      <c r="O16" s="1180"/>
      <c r="P16" s="876"/>
      <c r="Q16" s="1044"/>
      <c r="R16" s="1044"/>
      <c r="S16" s="1065"/>
    </row>
    <row r="17" spans="1:26" ht="15.75" customHeight="1">
      <c r="A17" s="865" t="s">
        <v>337</v>
      </c>
      <c r="B17" s="1044"/>
      <c r="C17" s="1873"/>
      <c r="D17" s="1873"/>
      <c r="E17" s="1873"/>
      <c r="F17" s="1873"/>
      <c r="G17" s="1053"/>
      <c r="H17" s="1044"/>
      <c r="I17" s="1052" t="s">
        <v>677</v>
      </c>
      <c r="J17" s="1066"/>
      <c r="K17" s="793"/>
      <c r="L17" s="1044"/>
      <c r="M17" s="876"/>
      <c r="N17" s="1064" t="s">
        <v>719</v>
      </c>
      <c r="O17" s="1181">
        <v>0</v>
      </c>
      <c r="P17" s="876"/>
      <c r="Q17" s="1945" t="s">
        <v>1444</v>
      </c>
      <c r="R17" s="1945"/>
      <c r="S17" s="1946"/>
    </row>
    <row r="18" spans="1:26" ht="15.75" customHeight="1">
      <c r="A18" s="865"/>
      <c r="B18" s="1044"/>
      <c r="C18" s="1044"/>
      <c r="D18" s="1044"/>
      <c r="E18" s="1044"/>
      <c r="F18" s="1044"/>
      <c r="G18" s="1044"/>
      <c r="H18" s="1044"/>
      <c r="I18" s="1052" t="s">
        <v>325</v>
      </c>
      <c r="J18" s="1066"/>
      <c r="K18" s="794"/>
      <c r="L18" s="1044"/>
      <c r="M18" s="876"/>
      <c r="N18" s="1947" t="s">
        <v>720</v>
      </c>
      <c r="O18" s="1932">
        <v>0</v>
      </c>
      <c r="P18" s="876"/>
      <c r="Q18" s="1945"/>
      <c r="R18" s="1945"/>
      <c r="S18" s="1946"/>
    </row>
    <row r="19" spans="1:26" ht="15.75" customHeight="1" thickBot="1">
      <c r="A19" s="922"/>
      <c r="B19" s="922"/>
      <c r="C19" s="922"/>
      <c r="D19" s="922"/>
      <c r="E19" s="922"/>
      <c r="F19" s="922"/>
      <c r="G19" s="922"/>
      <c r="H19" s="1044"/>
      <c r="I19" s="1067" t="s">
        <v>768</v>
      </c>
      <c r="J19" s="1068"/>
      <c r="K19" s="795"/>
      <c r="L19" s="1029"/>
      <c r="M19" s="876"/>
      <c r="N19" s="1948"/>
      <c r="O19" s="1933"/>
      <c r="P19" s="876"/>
      <c r="Q19" s="1029"/>
      <c r="R19" s="1044"/>
      <c r="S19" s="1065"/>
    </row>
    <row r="20" spans="1:26" ht="15.75" customHeight="1" thickBot="1">
      <c r="A20" s="922"/>
      <c r="B20" s="922"/>
      <c r="C20" s="922"/>
      <c r="D20" s="922"/>
      <c r="E20" s="922"/>
      <c r="F20" s="922"/>
      <c r="G20" s="922"/>
      <c r="H20" s="1044"/>
      <c r="I20" s="1044"/>
      <c r="J20" s="1069"/>
      <c r="K20" s="1032"/>
      <c r="L20" s="1029"/>
      <c r="M20" s="876"/>
      <c r="N20" s="876"/>
      <c r="O20" s="876"/>
      <c r="P20" s="876"/>
      <c r="Q20" s="1029"/>
      <c r="R20" s="1044"/>
      <c r="S20" s="1065"/>
    </row>
    <row r="21" spans="1:26" ht="15.75" customHeight="1">
      <c r="A21" s="1943" t="s">
        <v>236</v>
      </c>
      <c r="B21" s="1955"/>
      <c r="C21" s="1955"/>
      <c r="D21" s="1955"/>
      <c r="E21" s="1955"/>
      <c r="F21" s="1944"/>
      <c r="G21" s="922"/>
      <c r="H21" s="1044"/>
      <c r="I21" s="1956" t="s">
        <v>823</v>
      </c>
      <c r="J21" s="1957"/>
      <c r="K21" s="1957"/>
      <c r="L21" s="1958"/>
      <c r="M21" s="1044"/>
      <c r="N21" s="1943" t="s">
        <v>837</v>
      </c>
      <c r="O21" s="1955"/>
      <c r="P21" s="1955"/>
      <c r="Q21" s="1955"/>
      <c r="R21" s="1955"/>
      <c r="S21" s="1944"/>
    </row>
    <row r="22" spans="1:26" ht="15.75" customHeight="1">
      <c r="A22" s="1070" t="s">
        <v>262</v>
      </c>
      <c r="B22" s="1071" t="s">
        <v>814</v>
      </c>
      <c r="C22" s="1072" t="s">
        <v>119</v>
      </c>
      <c r="D22" s="1072" t="s">
        <v>619</v>
      </c>
      <c r="E22" s="1874" t="s">
        <v>1441</v>
      </c>
      <c r="F22" s="1073" t="s">
        <v>775</v>
      </c>
      <c r="G22" s="922"/>
      <c r="H22" s="1044"/>
      <c r="I22" s="1074" t="s">
        <v>815</v>
      </c>
      <c r="J22" s="1075"/>
      <c r="K22" s="1076">
        <f>SUM(K23:K25)</f>
        <v>0</v>
      </c>
      <c r="L22" s="1077">
        <f>IFERROR(SUM(K23:K25)/K28,0)</f>
        <v>0</v>
      </c>
      <c r="M22" s="876"/>
      <c r="N22" s="1078" t="s">
        <v>838</v>
      </c>
      <c r="O22" s="1079" t="s">
        <v>839</v>
      </c>
      <c r="P22" s="1959" t="s">
        <v>841</v>
      </c>
      <c r="Q22" s="1960"/>
      <c r="R22" s="1959" t="s">
        <v>840</v>
      </c>
      <c r="S22" s="1961"/>
      <c r="T22" s="95"/>
    </row>
    <row r="23" spans="1:26" ht="15.75" customHeight="1">
      <c r="A23" s="1052" t="s">
        <v>237</v>
      </c>
      <c r="B23" s="1080">
        <f>C23*0</f>
        <v>0</v>
      </c>
      <c r="C23" s="1081">
        <f>+Rents!K51</f>
        <v>0</v>
      </c>
      <c r="D23" s="1164">
        <v>0</v>
      </c>
      <c r="E23" s="1164">
        <f>+Rents!M51</f>
        <v>0</v>
      </c>
      <c r="F23" s="1165">
        <v>0</v>
      </c>
      <c r="G23" s="922"/>
      <c r="H23" s="1044"/>
      <c r="I23" s="865" t="s">
        <v>819</v>
      </c>
      <c r="J23" s="1044"/>
      <c r="K23" s="1082">
        <f>Rents!AB38</f>
        <v>0</v>
      </c>
      <c r="L23" s="1083"/>
      <c r="M23" s="876"/>
      <c r="N23" s="1183"/>
      <c r="O23" s="856" t="str">
        <f>Rents!H28</f>
        <v>-</v>
      </c>
      <c r="P23" s="1936"/>
      <c r="Q23" s="1935"/>
      <c r="R23" s="798"/>
      <c r="S23" s="796"/>
      <c r="T23" s="95"/>
    </row>
    <row r="24" spans="1:26" ht="15.75" customHeight="1">
      <c r="A24" s="1052" t="s">
        <v>238</v>
      </c>
      <c r="B24" s="1080">
        <f>C24*1</f>
        <v>0</v>
      </c>
      <c r="C24" s="1081">
        <f>+Rents!K52</f>
        <v>0</v>
      </c>
      <c r="D24" s="1164">
        <v>0</v>
      </c>
      <c r="E24" s="1164">
        <f>+Rents!M52</f>
        <v>0</v>
      </c>
      <c r="F24" s="1165">
        <v>0</v>
      </c>
      <c r="G24" s="922"/>
      <c r="H24" s="1044"/>
      <c r="I24" s="865" t="s">
        <v>820</v>
      </c>
      <c r="J24" s="1044"/>
      <c r="K24" s="1082">
        <f>Rents!M46</f>
        <v>0</v>
      </c>
      <c r="L24" s="1083"/>
      <c r="M24" s="876"/>
      <c r="N24" s="1183"/>
      <c r="O24" s="856"/>
      <c r="P24" s="1936"/>
      <c r="Q24" s="1935"/>
      <c r="R24" s="798"/>
      <c r="S24" s="796"/>
      <c r="T24" s="95"/>
    </row>
    <row r="25" spans="1:26" ht="15.75" customHeight="1">
      <c r="A25" s="1052" t="s">
        <v>239</v>
      </c>
      <c r="B25" s="1080">
        <f>C25*2</f>
        <v>0</v>
      </c>
      <c r="C25" s="1081">
        <f>+Rents!K53</f>
        <v>0</v>
      </c>
      <c r="D25" s="1164">
        <v>0</v>
      </c>
      <c r="E25" s="1164">
        <f>+Rents!M53</f>
        <v>0</v>
      </c>
      <c r="F25" s="1165">
        <v>0</v>
      </c>
      <c r="G25" s="922"/>
      <c r="H25" s="1044"/>
      <c r="I25" s="865" t="s">
        <v>822</v>
      </c>
      <c r="J25" s="1044"/>
      <c r="K25" s="1174"/>
      <c r="L25" s="1083"/>
      <c r="M25" s="876"/>
      <c r="N25" s="1183"/>
      <c r="O25" s="856"/>
      <c r="P25" s="1876"/>
      <c r="Q25" s="1877"/>
      <c r="R25" s="798"/>
      <c r="S25" s="796"/>
      <c r="T25" s="95"/>
    </row>
    <row r="26" spans="1:26" ht="15.75" customHeight="1">
      <c r="A26" s="1052" t="s">
        <v>240</v>
      </c>
      <c r="B26" s="1080">
        <f>C26*3</f>
        <v>0</v>
      </c>
      <c r="C26" s="1081">
        <f>+Rents!K54</f>
        <v>0</v>
      </c>
      <c r="D26" s="1164">
        <v>0</v>
      </c>
      <c r="E26" s="1164">
        <f>+Rents!M54</f>
        <v>0</v>
      </c>
      <c r="F26" s="1165">
        <v>0</v>
      </c>
      <c r="G26" s="922"/>
      <c r="H26" s="1044"/>
      <c r="I26" s="865" t="s">
        <v>821</v>
      </c>
      <c r="J26" s="1044"/>
      <c r="K26" s="1084">
        <f>Rents!D52</f>
        <v>0</v>
      </c>
      <c r="L26" s="1083">
        <f>IFERROR(K26/L28,0)</f>
        <v>0</v>
      </c>
      <c r="M26" s="876"/>
      <c r="N26" s="1183"/>
      <c r="O26" s="293"/>
      <c r="P26" s="1934"/>
      <c r="Q26" s="1935"/>
      <c r="R26" s="798"/>
      <c r="S26" s="796"/>
      <c r="T26" s="95"/>
    </row>
    <row r="27" spans="1:26" ht="18.75" customHeight="1">
      <c r="A27" s="1052" t="s">
        <v>241</v>
      </c>
      <c r="B27" s="1080">
        <f>C27*4</f>
        <v>0</v>
      </c>
      <c r="C27" s="1081">
        <f>+Rents!K55</f>
        <v>0</v>
      </c>
      <c r="D27" s="1164">
        <f>+Rents!L55</f>
        <v>0</v>
      </c>
      <c r="E27" s="1164">
        <f>+Rents!M55</f>
        <v>0</v>
      </c>
      <c r="F27" s="1165">
        <v>0</v>
      </c>
      <c r="G27" s="922"/>
      <c r="H27" s="1044"/>
      <c r="I27" s="865" t="s">
        <v>816</v>
      </c>
      <c r="J27" s="1044"/>
      <c r="K27" s="1174"/>
      <c r="L27" s="1083">
        <f>IFERROR(K27/K28,)</f>
        <v>0</v>
      </c>
      <c r="M27" s="876"/>
      <c r="N27" s="1183"/>
      <c r="O27" s="856"/>
      <c r="P27" s="1936"/>
      <c r="Q27" s="1935"/>
      <c r="R27" s="798"/>
      <c r="S27" s="796"/>
      <c r="T27" s="95"/>
    </row>
    <row r="28" spans="1:26" ht="15.75" customHeight="1" thickBot="1">
      <c r="A28" s="1067" t="s">
        <v>344</v>
      </c>
      <c r="B28" s="1085">
        <f>SUM(B23:B27)</f>
        <v>0</v>
      </c>
      <c r="C28" s="1085">
        <f>+Rents!K56</f>
        <v>0</v>
      </c>
      <c r="D28" s="1085">
        <f>SUM(D23:D27)</f>
        <v>0</v>
      </c>
      <c r="E28" s="1085">
        <f>SUM(E23:E27)</f>
        <v>0</v>
      </c>
      <c r="F28" s="1086">
        <f>SUM(F23:F27)</f>
        <v>0</v>
      </c>
      <c r="G28" s="1044"/>
      <c r="H28" s="1044"/>
      <c r="I28" s="871" t="s">
        <v>344</v>
      </c>
      <c r="J28" s="1087"/>
      <c r="K28" s="1088">
        <f>SUM(K23:K27)</f>
        <v>0</v>
      </c>
      <c r="L28" s="1089">
        <f>IFERROR(K28/K28,0)</f>
        <v>0</v>
      </c>
      <c r="M28" s="876"/>
      <c r="N28" s="1090" t="s">
        <v>774</v>
      </c>
      <c r="O28" s="1091">
        <f>SUM(V15:V18)</f>
        <v>0</v>
      </c>
      <c r="P28" s="1962">
        <f>SUM(P23:P27)</f>
        <v>0</v>
      </c>
      <c r="Q28" s="1963"/>
      <c r="R28" s="799"/>
      <c r="S28" s="797"/>
      <c r="U28"/>
      <c r="V28"/>
      <c r="W28"/>
      <c r="X28"/>
      <c r="Y28"/>
      <c r="Z28"/>
    </row>
    <row r="29" spans="1:26" ht="15.75" customHeight="1">
      <c r="A29" s="865"/>
      <c r="B29" s="1044"/>
      <c r="C29" s="1044"/>
      <c r="D29" s="1044"/>
      <c r="E29" s="1044"/>
      <c r="F29" s="1044"/>
      <c r="G29" s="1044"/>
      <c r="H29" s="1044"/>
      <c r="I29" s="876"/>
      <c r="J29" s="876"/>
      <c r="K29" s="876"/>
      <c r="L29" s="876"/>
      <c r="M29" s="876"/>
      <c r="N29" s="876"/>
      <c r="O29" s="876"/>
      <c r="P29" s="876"/>
      <c r="Q29" s="876"/>
      <c r="R29" s="876"/>
      <c r="S29" s="1065"/>
      <c r="U29"/>
      <c r="V29"/>
      <c r="W29"/>
      <c r="X29"/>
      <c r="Y29"/>
      <c r="Z29"/>
    </row>
    <row r="30" spans="1:26" ht="15.75" customHeight="1" thickBot="1">
      <c r="A30" s="1092"/>
      <c r="B30" s="1093"/>
      <c r="C30" s="1093"/>
      <c r="D30" s="1094"/>
      <c r="E30" s="1032"/>
      <c r="F30" s="1093"/>
      <c r="G30" s="1044"/>
      <c r="H30" s="1044"/>
      <c r="I30" s="1029"/>
      <c r="J30" s="1029"/>
      <c r="K30" s="1029"/>
      <c r="L30" s="1029"/>
      <c r="M30" s="1095"/>
      <c r="N30" s="1029"/>
      <c r="O30" s="1044"/>
      <c r="P30" s="1093"/>
      <c r="Q30" s="1044"/>
      <c r="R30" s="1044"/>
      <c r="S30" s="1065"/>
      <c r="U30"/>
      <c r="V30"/>
      <c r="W30"/>
      <c r="X30"/>
      <c r="Y30"/>
      <c r="Z30"/>
    </row>
    <row r="31" spans="1:26" ht="15.75" customHeight="1">
      <c r="A31" s="1943" t="s">
        <v>676</v>
      </c>
      <c r="B31" s="1955"/>
      <c r="C31" s="1955"/>
      <c r="D31" s="1955"/>
      <c r="E31" s="1955"/>
      <c r="F31" s="1955"/>
      <c r="G31" s="1955"/>
      <c r="H31" s="1955"/>
      <c r="I31" s="1955"/>
      <c r="J31" s="1955"/>
      <c r="K31" s="1955"/>
      <c r="L31" s="1944"/>
      <c r="M31" s="1093"/>
      <c r="N31" s="1943" t="s">
        <v>52</v>
      </c>
      <c r="O31" s="1955"/>
      <c r="P31" s="1955"/>
      <c r="Q31" s="1955"/>
      <c r="R31" s="1944"/>
      <c r="S31" s="1096"/>
      <c r="T31" s="60"/>
      <c r="U31"/>
      <c r="V31"/>
      <c r="W31"/>
      <c r="X31"/>
      <c r="Y31"/>
      <c r="Z31"/>
    </row>
    <row r="32" spans="1:26" ht="17.25" customHeight="1">
      <c r="A32" s="1097" t="s">
        <v>800</v>
      </c>
      <c r="B32" s="1098"/>
      <c r="C32" s="1098"/>
      <c r="D32" s="1099"/>
      <c r="E32" s="1098"/>
      <c r="F32" s="1098"/>
      <c r="G32" s="1098"/>
      <c r="H32" s="1029"/>
      <c r="I32" s="1952" t="s">
        <v>701</v>
      </c>
      <c r="J32" s="1953"/>
      <c r="K32" s="1953"/>
      <c r="L32" s="1954"/>
      <c r="M32" s="1044"/>
      <c r="N32" s="1100" t="s">
        <v>244</v>
      </c>
      <c r="O32" s="1079" t="s">
        <v>359</v>
      </c>
      <c r="P32" s="1101" t="s">
        <v>245</v>
      </c>
      <c r="Q32" s="1102" t="s">
        <v>765</v>
      </c>
      <c r="R32" s="1103"/>
      <c r="S32" s="1065"/>
      <c r="U32"/>
      <c r="V32"/>
      <c r="W32"/>
      <c r="X32"/>
      <c r="Y32"/>
      <c r="Z32"/>
    </row>
    <row r="33" spans="1:19" ht="17.25" customHeight="1">
      <c r="A33" s="1104" t="s">
        <v>704</v>
      </c>
      <c r="B33" s="1093"/>
      <c r="C33" s="1044"/>
      <c r="D33" s="418" t="s">
        <v>351</v>
      </c>
      <c r="E33" s="1105"/>
      <c r="F33" s="1105"/>
      <c r="G33" s="1029"/>
      <c r="H33" s="1106"/>
      <c r="I33" s="1107"/>
      <c r="J33" s="1108"/>
      <c r="K33" s="1072" t="s">
        <v>702</v>
      </c>
      <c r="L33" s="1109" t="s">
        <v>703</v>
      </c>
      <c r="M33" s="1044"/>
      <c r="N33" s="1042" t="s">
        <v>246</v>
      </c>
      <c r="O33" s="1110">
        <f>Rents!H38</f>
        <v>0</v>
      </c>
      <c r="P33" s="857"/>
      <c r="Q33" s="798"/>
      <c r="R33" s="796"/>
      <c r="S33" s="1065"/>
    </row>
    <row r="34" spans="1:19" ht="17.25" customHeight="1">
      <c r="A34" s="1111" t="s">
        <v>705</v>
      </c>
      <c r="B34" s="1105"/>
      <c r="C34" s="1044"/>
      <c r="D34" s="396" t="s">
        <v>351</v>
      </c>
      <c r="E34" s="1105"/>
      <c r="F34" s="1106" t="s">
        <v>712</v>
      </c>
      <c r="G34" s="1106"/>
      <c r="H34" s="1106"/>
      <c r="I34" s="1112" t="s">
        <v>692</v>
      </c>
      <c r="J34" s="1113"/>
      <c r="K34" s="1114">
        <v>0.2</v>
      </c>
      <c r="L34" s="1175">
        <v>0</v>
      </c>
      <c r="M34" s="1044"/>
      <c r="N34" s="800" t="s">
        <v>348</v>
      </c>
      <c r="O34" s="337"/>
      <c r="P34" s="857"/>
      <c r="Q34" s="798"/>
      <c r="R34" s="796"/>
      <c r="S34" s="1065"/>
    </row>
    <row r="35" spans="1:19" ht="15.75" customHeight="1">
      <c r="A35" s="1115"/>
      <c r="B35" s="1093"/>
      <c r="C35" s="1116" t="s">
        <v>342</v>
      </c>
      <c r="D35" s="1117" t="s">
        <v>669</v>
      </c>
      <c r="E35" s="1108" t="s">
        <v>670</v>
      </c>
      <c r="F35" s="1106" t="s">
        <v>671</v>
      </c>
      <c r="G35" s="922"/>
      <c r="H35" s="1029"/>
      <c r="I35" s="1112" t="s">
        <v>693</v>
      </c>
      <c r="J35" s="1113"/>
      <c r="K35" s="1114">
        <v>0.05</v>
      </c>
      <c r="L35" s="1175">
        <v>0</v>
      </c>
      <c r="M35" s="1044"/>
      <c r="N35" s="800" t="s">
        <v>348</v>
      </c>
      <c r="O35" s="367"/>
      <c r="P35" s="857"/>
      <c r="Q35" s="798"/>
      <c r="R35" s="796"/>
      <c r="S35" s="1065"/>
    </row>
    <row r="36" spans="1:19" ht="15.75" customHeight="1">
      <c r="A36" s="1118"/>
      <c r="B36" s="1119"/>
      <c r="C36" s="396" t="s">
        <v>350</v>
      </c>
      <c r="D36" s="396" t="s">
        <v>351</v>
      </c>
      <c r="E36" s="396" t="s">
        <v>350</v>
      </c>
      <c r="F36" s="396" t="s">
        <v>350</v>
      </c>
      <c r="G36" s="922"/>
      <c r="H36" s="1093"/>
      <c r="I36" s="1120" t="s">
        <v>694</v>
      </c>
      <c r="J36" s="1044"/>
      <c r="K36" s="1121">
        <v>7.0000000000000007E-2</v>
      </c>
      <c r="L36" s="1176">
        <v>0</v>
      </c>
      <c r="M36" s="1044"/>
      <c r="N36" s="800" t="s">
        <v>348</v>
      </c>
      <c r="O36" s="337"/>
      <c r="P36" s="857"/>
      <c r="Q36" s="798"/>
      <c r="R36" s="796"/>
      <c r="S36" s="1065"/>
    </row>
    <row r="37" spans="1:19" ht="15.75" customHeight="1" thickBot="1">
      <c r="A37" s="1122" t="s">
        <v>459</v>
      </c>
      <c r="B37" s="1093"/>
      <c r="C37" s="1123">
        <v>0.09</v>
      </c>
      <c r="D37" s="1166">
        <v>0.04</v>
      </c>
      <c r="E37" s="1093"/>
      <c r="F37" s="1124"/>
      <c r="G37" s="922"/>
      <c r="H37" s="1093"/>
      <c r="I37" s="1120" t="s">
        <v>695</v>
      </c>
      <c r="J37" s="1044"/>
      <c r="K37" s="1121">
        <v>0.02</v>
      </c>
      <c r="L37" s="1176">
        <v>0</v>
      </c>
      <c r="M37" s="1044"/>
      <c r="N37" s="1090" t="s">
        <v>774</v>
      </c>
      <c r="O37" s="1125">
        <f>SUM(V25:V28)</f>
        <v>0</v>
      </c>
      <c r="P37" s="801"/>
      <c r="Q37" s="799"/>
      <c r="R37" s="797"/>
      <c r="S37" s="1065"/>
    </row>
    <row r="38" spans="1:19" ht="15.75" customHeight="1" thickBot="1">
      <c r="A38" s="1122" t="s">
        <v>772</v>
      </c>
      <c r="B38" s="1093"/>
      <c r="C38" s="1126">
        <f>IFERROR(IF(C36="yes",'TC Analysis'!E46/10,0),0)</f>
        <v>0</v>
      </c>
      <c r="D38" s="1126">
        <f>IFERROR(IF(D36="yes",'TC Analysis'!E46/10),0)</f>
        <v>0</v>
      </c>
      <c r="E38" s="1126">
        <f>IF(E36="Yes",'TC Analysis'!E53,0)</f>
        <v>0</v>
      </c>
      <c r="F38" s="1127"/>
      <c r="G38" s="922"/>
      <c r="H38" s="1093"/>
      <c r="I38" s="1112" t="s">
        <v>696</v>
      </c>
      <c r="J38" s="1113"/>
      <c r="K38" s="1114">
        <v>0.02</v>
      </c>
      <c r="L38" s="1175">
        <v>0</v>
      </c>
      <c r="M38" s="1044"/>
      <c r="N38" s="876"/>
      <c r="O38" s="876"/>
      <c r="P38" s="876"/>
      <c r="Q38" s="876"/>
      <c r="R38" s="876"/>
      <c r="S38" s="1128"/>
    </row>
    <row r="39" spans="1:19" ht="15.75" customHeight="1">
      <c r="A39" s="1122" t="s">
        <v>773</v>
      </c>
      <c r="B39" s="1093"/>
      <c r="C39" s="864">
        <v>0</v>
      </c>
      <c r="D39" s="864">
        <v>0</v>
      </c>
      <c r="E39" s="864">
        <v>0</v>
      </c>
      <c r="F39" s="422">
        <v>0</v>
      </c>
      <c r="G39" s="922"/>
      <c r="H39" s="1129"/>
      <c r="I39" s="1130" t="s">
        <v>697</v>
      </c>
      <c r="J39" s="1113"/>
      <c r="K39" s="1114">
        <v>0.1</v>
      </c>
      <c r="L39" s="1175">
        <v>0</v>
      </c>
      <c r="M39" s="1044"/>
      <c r="N39" s="1943" t="s">
        <v>216</v>
      </c>
      <c r="O39" s="1955"/>
      <c r="P39" s="1955"/>
      <c r="Q39" s="1955"/>
      <c r="R39" s="1955"/>
      <c r="S39" s="1944"/>
    </row>
    <row r="40" spans="1:19" ht="15.75" customHeight="1">
      <c r="A40" s="1122" t="s">
        <v>673</v>
      </c>
      <c r="B40" s="1093"/>
      <c r="C40" s="1167">
        <v>0.99990000000000001</v>
      </c>
      <c r="D40" s="1167">
        <v>0.99990000000000001</v>
      </c>
      <c r="E40" s="1167">
        <v>0.99990000000000001</v>
      </c>
      <c r="F40" s="1167">
        <v>0.99990000000000001</v>
      </c>
      <c r="G40" s="922"/>
      <c r="H40" s="1131"/>
      <c r="I40" s="1112" t="s">
        <v>698</v>
      </c>
      <c r="J40" s="1113"/>
      <c r="K40" s="1114">
        <v>0.15</v>
      </c>
      <c r="L40" s="1175">
        <v>0</v>
      </c>
      <c r="M40" s="1044"/>
      <c r="N40" s="1132" t="s">
        <v>252</v>
      </c>
      <c r="O40" s="1133" t="s">
        <v>253</v>
      </c>
      <c r="P40" s="419" t="s">
        <v>350</v>
      </c>
      <c r="Q40" s="922"/>
      <c r="R40" s="922"/>
      <c r="S40" s="1134"/>
    </row>
    <row r="41" spans="1:19" ht="15.75" customHeight="1">
      <c r="A41" s="1135" t="s">
        <v>672</v>
      </c>
      <c r="B41" s="1136"/>
      <c r="C41" s="1168">
        <v>0</v>
      </c>
      <c r="D41" s="1168">
        <v>0</v>
      </c>
      <c r="E41" s="1168">
        <v>0</v>
      </c>
      <c r="F41" s="415">
        <v>0</v>
      </c>
      <c r="G41" s="922"/>
      <c r="H41" s="1137"/>
      <c r="I41" s="1112" t="s">
        <v>699</v>
      </c>
      <c r="J41" s="1113"/>
      <c r="K41" s="1114">
        <v>0.1</v>
      </c>
      <c r="L41" s="1175">
        <v>0.1</v>
      </c>
      <c r="M41" s="1105"/>
      <c r="N41" s="1132"/>
      <c r="O41" s="1133" t="s">
        <v>254</v>
      </c>
      <c r="P41" s="293" t="s">
        <v>350</v>
      </c>
      <c r="Q41" s="1044"/>
      <c r="R41" s="1108" t="s">
        <v>1392</v>
      </c>
      <c r="S41" s="1065"/>
    </row>
    <row r="42" spans="1:19" ht="15.75" customHeight="1">
      <c r="A42" s="1115"/>
      <c r="B42" s="1093"/>
      <c r="C42" s="1093"/>
      <c r="D42" s="1093"/>
      <c r="E42" s="1138"/>
      <c r="F42" s="922"/>
      <c r="G42" s="922"/>
      <c r="H42" s="1137"/>
      <c r="I42" s="1139" t="s">
        <v>700</v>
      </c>
      <c r="J42" s="1140"/>
      <c r="K42" s="1114">
        <v>0.1</v>
      </c>
      <c r="L42" s="1175">
        <v>0</v>
      </c>
      <c r="M42" s="1105"/>
      <c r="N42" s="1132"/>
      <c r="O42" s="1133" t="s">
        <v>255</v>
      </c>
      <c r="P42" s="293" t="s">
        <v>350</v>
      </c>
      <c r="Q42" s="332" t="s">
        <v>251</v>
      </c>
      <c r="R42" s="1184">
        <v>20</v>
      </c>
      <c r="S42" s="1065"/>
    </row>
    <row r="43" spans="1:19" ht="15.75" customHeight="1">
      <c r="A43" s="1952" t="s">
        <v>674</v>
      </c>
      <c r="B43" s="1953"/>
      <c r="C43" s="1953"/>
      <c r="D43" s="1973"/>
      <c r="E43" s="1117"/>
      <c r="F43" s="1974" t="s">
        <v>796</v>
      </c>
      <c r="G43" s="1975"/>
      <c r="H43" s="1137"/>
      <c r="I43" s="1141"/>
      <c r="J43" s="1113"/>
      <c r="K43" s="1142"/>
      <c r="L43" s="1143"/>
      <c r="M43" s="1093"/>
      <c r="N43" s="1132" t="s">
        <v>263</v>
      </c>
      <c r="O43" s="1133"/>
      <c r="P43" s="293" t="s">
        <v>350</v>
      </c>
      <c r="Q43" s="332" t="s">
        <v>237</v>
      </c>
      <c r="R43" s="1184">
        <v>40</v>
      </c>
      <c r="S43" s="1065"/>
    </row>
    <row r="44" spans="1:19" ht="15.75" customHeight="1">
      <c r="A44" s="1144"/>
      <c r="B44" s="1145"/>
      <c r="C44" s="1146" t="s">
        <v>711</v>
      </c>
      <c r="D44" s="1146" t="s">
        <v>707</v>
      </c>
      <c r="E44" s="1106"/>
      <c r="F44" s="341" t="s">
        <v>797</v>
      </c>
      <c r="G44" s="1875" t="s">
        <v>789</v>
      </c>
      <c r="H44" s="1137"/>
      <c r="I44" s="1093" t="s">
        <v>710</v>
      </c>
      <c r="J44" s="1147"/>
      <c r="K44" s="1093"/>
      <c r="L44" s="1148">
        <f>IFERROR('TC Analysis'!E46,0)</f>
        <v>0</v>
      </c>
      <c r="M44" s="1093"/>
      <c r="N44" s="1132" t="s">
        <v>256</v>
      </c>
      <c r="O44" s="1133" t="s">
        <v>511</v>
      </c>
      <c r="P44" s="293" t="s">
        <v>351</v>
      </c>
      <c r="Q44" s="1149" t="s">
        <v>238</v>
      </c>
      <c r="R44" s="1184">
        <v>60</v>
      </c>
      <c r="S44" s="1065"/>
    </row>
    <row r="45" spans="1:19" ht="15.75" customHeight="1">
      <c r="A45" s="1150" t="s">
        <v>182</v>
      </c>
      <c r="B45" s="1093"/>
      <c r="C45" s="1169"/>
      <c r="D45" s="1169"/>
      <c r="E45" s="1105"/>
      <c r="F45" s="922"/>
      <c r="G45" s="922"/>
      <c r="H45" s="1093"/>
      <c r="I45" s="1093" t="s">
        <v>709</v>
      </c>
      <c r="J45" s="1147"/>
      <c r="K45" s="1093"/>
      <c r="L45" s="1177"/>
      <c r="M45" s="1093"/>
      <c r="N45" s="865"/>
      <c r="O45" s="1133" t="s">
        <v>253</v>
      </c>
      <c r="P45" s="293" t="s">
        <v>351</v>
      </c>
      <c r="Q45" s="332" t="s">
        <v>239</v>
      </c>
      <c r="R45" s="1184">
        <v>80</v>
      </c>
      <c r="S45" s="1065"/>
    </row>
    <row r="46" spans="1:19" ht="15.75" customHeight="1">
      <c r="A46" s="1150" t="s">
        <v>9</v>
      </c>
      <c r="B46" s="1093"/>
      <c r="C46" s="1169"/>
      <c r="D46" s="1151"/>
      <c r="E46" s="1105"/>
      <c r="F46" s="1974" t="s">
        <v>796</v>
      </c>
      <c r="G46" s="1975"/>
      <c r="H46" s="1093"/>
      <c r="I46" s="1093"/>
      <c r="J46" s="1147"/>
      <c r="K46" s="1093"/>
      <c r="L46" s="1096"/>
      <c r="M46" s="1093"/>
      <c r="N46" s="865"/>
      <c r="O46" s="1133" t="s">
        <v>254</v>
      </c>
      <c r="P46" s="293" t="s">
        <v>351</v>
      </c>
      <c r="Q46" s="332" t="s">
        <v>240</v>
      </c>
      <c r="R46" s="1184">
        <v>100</v>
      </c>
      <c r="S46" s="1065"/>
    </row>
    <row r="47" spans="1:19" ht="15.75" customHeight="1">
      <c r="A47" s="1150" t="s">
        <v>675</v>
      </c>
      <c r="B47" s="1093"/>
      <c r="C47" s="1169"/>
      <c r="D47" s="1152"/>
      <c r="E47" s="1093"/>
      <c r="F47" s="1153" t="s">
        <v>798</v>
      </c>
      <c r="G47" s="338"/>
      <c r="H47" s="1093"/>
      <c r="I47" s="1093"/>
      <c r="J47" s="1147"/>
      <c r="K47" s="1093"/>
      <c r="L47" s="1096"/>
      <c r="M47" s="1093"/>
      <c r="N47" s="1154"/>
      <c r="O47" s="1133" t="s">
        <v>255</v>
      </c>
      <c r="P47" s="293" t="s">
        <v>351</v>
      </c>
      <c r="Q47" s="332" t="s">
        <v>241</v>
      </c>
      <c r="R47" s="1184">
        <v>120</v>
      </c>
      <c r="S47" s="1065"/>
    </row>
    <row r="48" spans="1:19" ht="15.75" customHeight="1">
      <c r="A48" s="1155" t="s">
        <v>183</v>
      </c>
      <c r="B48" s="1136"/>
      <c r="C48" s="1169"/>
      <c r="D48" s="1156"/>
      <c r="E48" s="1157"/>
      <c r="F48" s="1153" t="s">
        <v>799</v>
      </c>
      <c r="G48" s="338"/>
      <c r="H48" s="1093"/>
      <c r="I48" s="1093"/>
      <c r="J48" s="1147"/>
      <c r="K48" s="1093"/>
      <c r="L48" s="1096"/>
      <c r="M48" s="1093"/>
      <c r="N48" s="865"/>
      <c r="O48" s="1133" t="s">
        <v>257</v>
      </c>
      <c r="P48" s="293" t="s">
        <v>350</v>
      </c>
      <c r="Q48" s="876"/>
      <c r="R48" s="876"/>
      <c r="S48" s="1065"/>
    </row>
    <row r="49" spans="1:19" ht="15" customHeight="1">
      <c r="A49" s="1158"/>
      <c r="B49" s="1093"/>
      <c r="C49" s="1105"/>
      <c r="D49" s="1093"/>
      <c r="E49" s="1157"/>
      <c r="F49" s="1105"/>
      <c r="G49" s="1093"/>
      <c r="H49" s="1093"/>
      <c r="I49" s="1093"/>
      <c r="J49" s="1147"/>
      <c r="K49" s="1093"/>
      <c r="L49" s="1096"/>
      <c r="M49" s="1093"/>
      <c r="N49" s="865" t="s">
        <v>258</v>
      </c>
      <c r="O49" s="1159"/>
      <c r="P49" s="293" t="s">
        <v>164</v>
      </c>
      <c r="Q49" s="1976" t="s">
        <v>1391</v>
      </c>
      <c r="R49" s="1977"/>
      <c r="S49" s="1978"/>
    </row>
    <row r="50" spans="1:19" ht="15.75" customHeight="1">
      <c r="A50" s="1160" t="s">
        <v>1393</v>
      </c>
      <c r="B50" s="1093"/>
      <c r="C50" s="1105"/>
      <c r="D50" s="1093"/>
      <c r="E50" s="1157"/>
      <c r="F50" s="1105"/>
      <c r="G50" s="1093"/>
      <c r="H50" s="1093"/>
      <c r="I50" s="1093"/>
      <c r="J50" s="1147"/>
      <c r="K50" s="1093"/>
      <c r="L50" s="1096"/>
      <c r="M50" s="1093"/>
      <c r="N50" s="865" t="s">
        <v>76</v>
      </c>
      <c r="O50" s="1044"/>
      <c r="P50" s="293" t="s">
        <v>164</v>
      </c>
      <c r="Q50" s="1976"/>
      <c r="R50" s="1977"/>
      <c r="S50" s="1978"/>
    </row>
    <row r="51" spans="1:19" ht="15.75" customHeight="1" thickBot="1">
      <c r="A51" s="871"/>
      <c r="B51" s="1087"/>
      <c r="C51" s="1087"/>
      <c r="D51" s="1087"/>
      <c r="E51" s="1087"/>
      <c r="F51" s="1087"/>
      <c r="G51" s="1087"/>
      <c r="H51" s="1087"/>
      <c r="I51" s="1161"/>
      <c r="J51" s="1162"/>
      <c r="K51" s="1162"/>
      <c r="L51" s="1163"/>
      <c r="M51" s="1162"/>
      <c r="N51" s="871" t="s">
        <v>512</v>
      </c>
      <c r="O51" s="1087"/>
      <c r="P51" s="417" t="s">
        <v>350</v>
      </c>
      <c r="Q51" s="1087"/>
      <c r="R51" s="1087"/>
      <c r="S51" s="1128"/>
    </row>
    <row r="52" spans="1:19" ht="15.75" customHeight="1">
      <c r="A52" s="104"/>
      <c r="B52" s="105"/>
      <c r="C52" s="106"/>
      <c r="D52" s="105"/>
      <c r="E52" s="107"/>
      <c r="F52" s="108"/>
      <c r="G52" s="103"/>
      <c r="H52" s="103"/>
      <c r="I52" s="102"/>
      <c r="J52" s="102"/>
      <c r="K52" s="102"/>
      <c r="L52" s="102"/>
      <c r="M52" s="102"/>
      <c r="N52" s="456"/>
      <c r="O52" s="456"/>
      <c r="P52" s="456"/>
      <c r="Q52" s="456"/>
      <c r="R52" s="456"/>
      <c r="S52" s="456"/>
    </row>
    <row r="53" spans="1:19" ht="15.75" customHeight="1">
      <c r="A53" s="104"/>
      <c r="B53" s="105"/>
      <c r="C53" s="106"/>
      <c r="D53" s="105"/>
      <c r="E53" s="107"/>
      <c r="F53" s="108"/>
      <c r="G53" s="109"/>
      <c r="H53" s="109"/>
      <c r="I53" s="414"/>
      <c r="J53" s="414"/>
      <c r="K53" s="414"/>
      <c r="L53" s="414"/>
      <c r="M53" s="102"/>
    </row>
    <row r="54" spans="1:19" ht="15.75" customHeight="1">
      <c r="A54"/>
      <c r="B54"/>
      <c r="C54"/>
      <c r="D54"/>
      <c r="E54"/>
      <c r="F54"/>
      <c r="G54"/>
      <c r="H54"/>
      <c r="M54" s="102"/>
    </row>
    <row r="55" spans="1:19" ht="15.75" customHeight="1">
      <c r="A55"/>
      <c r="B55"/>
      <c r="C55"/>
      <c r="D55"/>
      <c r="E55"/>
      <c r="F55"/>
      <c r="G55"/>
      <c r="H55"/>
      <c r="M55" s="102"/>
    </row>
    <row r="56" spans="1:19" ht="16.5" customHeight="1">
      <c r="A56"/>
      <c r="B56"/>
      <c r="C56"/>
      <c r="D56"/>
      <c r="E56"/>
      <c r="F56"/>
      <c r="G56"/>
      <c r="H56"/>
      <c r="I56"/>
      <c r="J56"/>
    </row>
    <row r="57" spans="1:19" ht="15.75">
      <c r="A57"/>
      <c r="B57"/>
      <c r="C57"/>
      <c r="D57"/>
      <c r="E57"/>
      <c r="F57"/>
      <c r="G57"/>
      <c r="H57"/>
      <c r="I57"/>
      <c r="J57"/>
    </row>
    <row r="58" spans="1:19" ht="15.75">
      <c r="A58"/>
      <c r="B58"/>
      <c r="C58"/>
      <c r="D58"/>
      <c r="E58"/>
      <c r="F58"/>
      <c r="G58"/>
      <c r="H58"/>
      <c r="I58"/>
      <c r="J58"/>
    </row>
    <row r="59" spans="1:19" ht="15.75">
      <c r="A59" s="111"/>
      <c r="G59" s="110"/>
      <c r="H59" s="110"/>
      <c r="I59"/>
      <c r="J59"/>
    </row>
    <row r="60" spans="1:19" ht="15.75">
      <c r="A60" s="111"/>
      <c r="G60" s="110"/>
      <c r="H60" s="110"/>
      <c r="I60"/>
      <c r="J60"/>
    </row>
    <row r="61" spans="1:19" ht="15.75">
      <c r="A61" s="111"/>
      <c r="G61" s="113"/>
      <c r="H61" s="113"/>
    </row>
    <row r="62" spans="1:19" ht="15.75">
      <c r="A62" s="114"/>
      <c r="G62" s="113"/>
      <c r="H62" s="113"/>
    </row>
    <row r="63" spans="1:19" ht="15.75">
      <c r="A63" s="114"/>
      <c r="B63" s="112"/>
      <c r="C63" s="110"/>
      <c r="D63" s="110"/>
      <c r="E63" s="110"/>
      <c r="F63" s="113"/>
      <c r="G63" s="113"/>
      <c r="H63" s="113"/>
    </row>
    <row r="64" spans="1:19" ht="15.75">
      <c r="A64" s="114"/>
      <c r="B64" s="112"/>
      <c r="C64" s="110"/>
      <c r="D64" s="110"/>
      <c r="E64" s="110"/>
      <c r="F64" s="113"/>
      <c r="G64" s="110"/>
      <c r="H64" s="110"/>
    </row>
    <row r="65" spans="1:9" ht="15.75">
      <c r="A65" s="114"/>
      <c r="B65" s="112"/>
      <c r="C65" s="110"/>
      <c r="D65" s="110"/>
      <c r="E65" s="110"/>
      <c r="F65" s="113"/>
      <c r="G65" s="110"/>
      <c r="H65" s="110"/>
    </row>
    <row r="66" spans="1:9" ht="15.75">
      <c r="A66" s="115"/>
      <c r="B66" s="112"/>
      <c r="C66" s="110"/>
      <c r="D66" s="110"/>
      <c r="E66" s="110"/>
      <c r="F66" s="113"/>
      <c r="G66" s="110"/>
      <c r="H66" s="110"/>
    </row>
    <row r="67" spans="1:9" ht="15.75">
      <c r="A67" s="116"/>
      <c r="B67" s="112"/>
      <c r="C67" s="117"/>
      <c r="D67" s="118"/>
      <c r="E67" s="119"/>
      <c r="F67" s="113"/>
      <c r="G67" s="60"/>
      <c r="H67" s="60"/>
    </row>
    <row r="68" spans="1:9" ht="15.75">
      <c r="A68" s="114"/>
      <c r="B68" s="117"/>
      <c r="C68" s="120"/>
      <c r="D68" s="110"/>
      <c r="E68" s="121"/>
      <c r="F68" s="110"/>
      <c r="G68" s="60"/>
      <c r="H68" s="60"/>
    </row>
    <row r="69" spans="1:9" ht="15.75">
      <c r="A69" s="117"/>
      <c r="B69" s="117"/>
      <c r="C69" s="122"/>
      <c r="D69" s="110"/>
      <c r="E69" s="113"/>
      <c r="F69" s="113"/>
      <c r="G69" s="60"/>
      <c r="H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0"/>
      <c r="B74" s="60"/>
      <c r="C74" s="60"/>
      <c r="D74" s="60"/>
      <c r="E74" s="60"/>
      <c r="F74" s="60"/>
      <c r="G74" s="60"/>
      <c r="H74" s="60"/>
      <c r="I74" s="60"/>
    </row>
    <row r="75" spans="1:9">
      <c r="A75" s="60"/>
      <c r="B75" s="60"/>
      <c r="C75" s="60"/>
      <c r="D75" s="60"/>
      <c r="E75" s="60"/>
      <c r="F75" s="60"/>
      <c r="G75" s="60"/>
      <c r="H75" s="60"/>
      <c r="I75" s="60"/>
    </row>
    <row r="76" spans="1:9">
      <c r="A76" s="60"/>
      <c r="B76" s="60"/>
      <c r="C76" s="60"/>
      <c r="D76" s="60"/>
      <c r="E76" s="60"/>
      <c r="F76" s="60"/>
      <c r="G76" s="60"/>
      <c r="H76" s="60"/>
      <c r="I76" s="60"/>
    </row>
    <row r="77" spans="1:9">
      <c r="A77" s="60"/>
      <c r="B77" s="60"/>
      <c r="C77" s="60"/>
      <c r="D77" s="60"/>
      <c r="E77" s="60"/>
      <c r="F77" s="60"/>
      <c r="G77" s="60"/>
      <c r="H77" s="60"/>
      <c r="I77" s="60"/>
    </row>
    <row r="78" spans="1:9">
      <c r="A78" s="60"/>
      <c r="B78" s="60"/>
      <c r="C78" s="60"/>
      <c r="D78" s="60"/>
      <c r="E78" s="60"/>
      <c r="F78" s="60"/>
      <c r="G78" s="60"/>
      <c r="H78" s="60"/>
      <c r="I78" s="60"/>
    </row>
    <row r="79" spans="1:9">
      <c r="A79" s="60"/>
      <c r="B79" s="60"/>
      <c r="C79" s="60"/>
      <c r="D79" s="60"/>
      <c r="E79" s="60"/>
      <c r="F79" s="60"/>
      <c r="G79" s="60"/>
      <c r="H79" s="60"/>
      <c r="I79" s="60"/>
    </row>
    <row r="80" spans="1:9">
      <c r="A80" s="60"/>
      <c r="B80" s="60"/>
      <c r="C80" s="60"/>
      <c r="D80" s="60"/>
      <c r="E80" s="60"/>
      <c r="F80" s="60"/>
      <c r="G80" s="60"/>
      <c r="H80" s="60"/>
      <c r="I80" s="60"/>
    </row>
    <row r="81" spans="1:9">
      <c r="A81" s="60"/>
      <c r="B81" s="60"/>
      <c r="C81" s="60"/>
      <c r="D81" s="60"/>
      <c r="E81" s="60"/>
      <c r="F81" s="60"/>
      <c r="G81" s="60"/>
      <c r="H81" s="60"/>
      <c r="I81" s="60"/>
    </row>
    <row r="82" spans="1:9">
      <c r="A82" s="60"/>
      <c r="B82" s="60"/>
      <c r="C82" s="60"/>
      <c r="D82" s="60"/>
      <c r="E82" s="60"/>
      <c r="F82" s="60"/>
      <c r="G82" s="60"/>
      <c r="H82" s="60"/>
      <c r="I82" s="60"/>
    </row>
    <row r="83" spans="1:9">
      <c r="A83" s="60"/>
      <c r="B83" s="60"/>
      <c r="C83" s="60"/>
      <c r="D83" s="60"/>
      <c r="E83" s="60"/>
      <c r="F83" s="60"/>
      <c r="G83" s="60"/>
      <c r="H83" s="60"/>
      <c r="I83" s="60"/>
    </row>
    <row r="84" spans="1:9">
      <c r="A84" s="60"/>
      <c r="B84" s="60"/>
      <c r="C84" s="60"/>
      <c r="D84" s="60"/>
      <c r="E84" s="60"/>
      <c r="F84" s="60"/>
      <c r="G84" s="60"/>
      <c r="H84" s="60"/>
      <c r="I84" s="60"/>
    </row>
    <row r="85" spans="1:9">
      <c r="A85" s="60"/>
      <c r="B85" s="60"/>
      <c r="C85" s="60"/>
      <c r="D85" s="60"/>
      <c r="E85" s="60"/>
      <c r="F85" s="60"/>
      <c r="G85" s="60"/>
      <c r="H85" s="60"/>
      <c r="I85" s="60"/>
    </row>
    <row r="86" spans="1:9">
      <c r="A86" s="60"/>
      <c r="B86" s="60"/>
      <c r="C86" s="60"/>
      <c r="D86" s="60"/>
      <c r="E86" s="60"/>
      <c r="F86" s="60"/>
      <c r="G86" s="60"/>
      <c r="H86" s="60"/>
      <c r="I86" s="60"/>
    </row>
    <row r="87" spans="1:9">
      <c r="A87" s="60"/>
      <c r="B87" s="60"/>
      <c r="C87" s="60"/>
      <c r="D87" s="60"/>
      <c r="E87" s="60"/>
      <c r="F87" s="60"/>
      <c r="G87" s="60"/>
      <c r="H87" s="60"/>
      <c r="I87" s="60"/>
    </row>
    <row r="88" spans="1:9">
      <c r="A88" s="60"/>
      <c r="B88" s="60"/>
      <c r="C88" s="60"/>
      <c r="D88" s="60"/>
      <c r="E88" s="60"/>
      <c r="F88" s="60"/>
      <c r="G88" s="60"/>
      <c r="H88" s="60"/>
      <c r="I88" s="60"/>
    </row>
    <row r="89" spans="1:9">
      <c r="A89" s="60"/>
      <c r="B89" s="60"/>
      <c r="C89" s="60"/>
      <c r="D89" s="60"/>
      <c r="E89" s="60"/>
      <c r="F89" s="60"/>
      <c r="G89" s="60"/>
      <c r="H89" s="60"/>
      <c r="I89" s="60"/>
    </row>
    <row r="90" spans="1:9">
      <c r="A90" s="60"/>
      <c r="B90" s="60"/>
      <c r="C90" s="60"/>
      <c r="D90" s="60"/>
      <c r="E90" s="60"/>
      <c r="F90" s="60"/>
      <c r="G90" s="60"/>
      <c r="H90" s="60"/>
      <c r="I90" s="60"/>
    </row>
    <row r="91" spans="1:9">
      <c r="A91" s="60"/>
      <c r="B91" s="60"/>
      <c r="C91" s="60"/>
      <c r="D91" s="60"/>
      <c r="E91" s="60"/>
      <c r="F91" s="60"/>
      <c r="G91" s="60"/>
      <c r="H91" s="60"/>
      <c r="I91" s="60"/>
    </row>
    <row r="92" spans="1:9">
      <c r="A92" s="60"/>
      <c r="B92" s="60"/>
      <c r="C92" s="60"/>
      <c r="D92" s="60"/>
      <c r="E92" s="60"/>
      <c r="F92" s="60"/>
      <c r="G92" s="60"/>
      <c r="H92" s="60"/>
      <c r="I92" s="60"/>
    </row>
    <row r="93" spans="1:9">
      <c r="A93" s="60"/>
      <c r="B93" s="60"/>
      <c r="C93" s="60"/>
      <c r="D93" s="60"/>
      <c r="E93" s="60"/>
      <c r="F93" s="60"/>
      <c r="G93" s="60"/>
      <c r="H93" s="60"/>
      <c r="I93" s="60"/>
    </row>
    <row r="94" spans="1:9">
      <c r="A94" s="60"/>
      <c r="B94" s="60"/>
      <c r="C94" s="60"/>
      <c r="D94" s="60"/>
      <c r="E94" s="60"/>
      <c r="F94" s="60"/>
      <c r="G94" s="60"/>
      <c r="H94" s="60"/>
      <c r="I94" s="60"/>
    </row>
    <row r="95" spans="1:9">
      <c r="A95" s="60"/>
      <c r="B95" s="60"/>
      <c r="C95" s="60"/>
      <c r="D95" s="60"/>
      <c r="E95" s="60"/>
      <c r="F95" s="60"/>
      <c r="G95" s="60"/>
      <c r="H95" s="60"/>
      <c r="I95" s="60"/>
    </row>
    <row r="96" spans="1:9">
      <c r="A96" s="60"/>
      <c r="B96" s="60"/>
      <c r="C96" s="60"/>
      <c r="D96" s="60"/>
      <c r="E96" s="60"/>
      <c r="F96" s="60"/>
      <c r="G96" s="60"/>
      <c r="H96" s="60"/>
      <c r="I96" s="60"/>
    </row>
    <row r="97" spans="1:9">
      <c r="A97" s="60"/>
      <c r="B97" s="60"/>
      <c r="C97" s="60"/>
      <c r="D97" s="60"/>
      <c r="E97" s="60"/>
      <c r="F97" s="60"/>
      <c r="G97" s="60"/>
      <c r="H97" s="60"/>
      <c r="I97" s="60"/>
    </row>
    <row r="98" spans="1:9">
      <c r="A98" s="60"/>
      <c r="B98" s="60"/>
      <c r="C98" s="60"/>
      <c r="D98" s="60"/>
      <c r="E98" s="60"/>
      <c r="F98" s="60"/>
      <c r="G98" s="60"/>
      <c r="H98" s="60"/>
      <c r="I98" s="60"/>
    </row>
    <row r="99" spans="1:9">
      <c r="A99" s="60"/>
      <c r="B99" s="60"/>
      <c r="C99" s="60"/>
      <c r="D99" s="60"/>
      <c r="E99" s="60"/>
      <c r="F99" s="60"/>
      <c r="G99" s="60"/>
      <c r="H99" s="60"/>
      <c r="I99" s="60"/>
    </row>
    <row r="100" spans="1:9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>
      <c r="A182" s="60"/>
      <c r="B182" s="60"/>
      <c r="C182" s="60"/>
      <c r="D182" s="60"/>
      <c r="E182" s="60"/>
      <c r="F182" s="60"/>
      <c r="I182" s="60"/>
    </row>
    <row r="183" spans="1:9">
      <c r="I183" s="60"/>
    </row>
  </sheetData>
  <sheetProtection algorithmName="SHA-512" hashValue="mHRXL3KFBHYYXYGunLuPQZ5vlIbXN+qKuNtXanAkxLr761BV5EsvxQu9wtUAFRmRUJ2l1WAWb79IGSgy3Lljgg==" saltValue="og9z67hS0lEAYTKwDYg5Ww==" spinCount="100000" sheet="1" objects="1" scenarios="1"/>
  <customSheetViews>
    <customSheetView guid="{1E06907C-2281-4617-B0F2-1AE7DC994915}" topLeftCell="A31">
      <selection activeCell="D33" sqref="D33"/>
      <pageMargins left="0.7" right="0.7" top="0.75" bottom="0.75" header="0.3" footer="0.3"/>
    </customSheetView>
    <customSheetView guid="{51561219-1382-4CE8-929B-1B7C97EAD663}" topLeftCell="A31">
      <selection activeCell="D33" sqref="D33"/>
      <pageMargins left="0.7" right="0.7" top="0.75" bottom="0.75" header="0.3" footer="0.3"/>
    </customSheetView>
  </customSheetViews>
  <mergeCells count="42">
    <mergeCell ref="A43:D43"/>
    <mergeCell ref="F43:G43"/>
    <mergeCell ref="F46:G46"/>
    <mergeCell ref="Q49:S50"/>
    <mergeCell ref="N39:S39"/>
    <mergeCell ref="A2:S2"/>
    <mergeCell ref="I8:K8"/>
    <mergeCell ref="A10:B10"/>
    <mergeCell ref="A12:B12"/>
    <mergeCell ref="A15:B15"/>
    <mergeCell ref="C12:G12"/>
    <mergeCell ref="A14:B14"/>
    <mergeCell ref="A9:G9"/>
    <mergeCell ref="C10:G10"/>
    <mergeCell ref="C11:G11"/>
    <mergeCell ref="A11:B11"/>
    <mergeCell ref="A4:A5"/>
    <mergeCell ref="A6:A7"/>
    <mergeCell ref="N4:O4"/>
    <mergeCell ref="Q4:S4"/>
    <mergeCell ref="I32:L32"/>
    <mergeCell ref="A31:L31"/>
    <mergeCell ref="A21:F21"/>
    <mergeCell ref="I21:L21"/>
    <mergeCell ref="N21:S21"/>
    <mergeCell ref="P22:Q22"/>
    <mergeCell ref="P23:Q23"/>
    <mergeCell ref="P24:Q24"/>
    <mergeCell ref="R22:S22"/>
    <mergeCell ref="N31:R31"/>
    <mergeCell ref="P28:Q28"/>
    <mergeCell ref="O18:O19"/>
    <mergeCell ref="P26:Q26"/>
    <mergeCell ref="P27:Q27"/>
    <mergeCell ref="I4:L4"/>
    <mergeCell ref="B4:G5"/>
    <mergeCell ref="B6:G7"/>
    <mergeCell ref="N15:O15"/>
    <mergeCell ref="Q17:S18"/>
    <mergeCell ref="N18:N19"/>
    <mergeCell ref="C14:G14"/>
    <mergeCell ref="C15:G15"/>
  </mergeCells>
  <phoneticPr fontId="12" type="noConversion"/>
  <dataValidations count="8">
    <dataValidation type="list" allowBlank="1" showInputMessage="1" showErrorMessage="1" sqref="C36:F36 E13 L5:L6 J5:J6 D33:D34 D30 P40:P51" xr:uid="{00000000-0002-0000-0000-000002000000}">
      <formula1>"Yes,No,-"</formula1>
    </dataValidation>
    <dataValidation type="list" allowBlank="1" showInputMessage="1" showErrorMessage="1" sqref="K15" xr:uid="{F497F1B0-A710-284F-9ABA-2EE3CFD62903}">
      <formula1>"Non-Elevator,Elevator"</formula1>
    </dataValidation>
    <dataValidation type="list" allowBlank="1" showInputMessage="1" showErrorMessage="1" sqref="M4" xr:uid="{00000000-0002-0000-0000-000003000000}">
      <formula1>"Moderate Rehab, Substantial Rehab, New Const &amp; Rehab,New Const,-"</formula1>
    </dataValidation>
    <dataValidation type="list" allowBlank="1" showInputMessage="1" showErrorMessage="1" sqref="K10:K12" xr:uid="{2BB48246-33A3-AA46-B523-36F2AB04A5DB}">
      <formula1>"Acq/Rehab, New Const &amp; Rehab,New Const,Conversion,-"</formula1>
    </dataValidation>
    <dataValidation type="list" allowBlank="1" showInputMessage="1" showErrorMessage="1" sqref="M5 K17" xr:uid="{00000000-0002-0000-0000-000004000000}">
      <formula1>"Occupied, Vacant,-"</formula1>
    </dataValidation>
    <dataValidation type="list" allowBlank="1" showInputMessage="1" showErrorMessage="1" sqref="M7 K19:K20" xr:uid="{00000000-0002-0000-0000-000005000000}">
      <formula1>"Occupied,Vacant, Partial Occ,-"</formula1>
    </dataValidation>
    <dataValidation type="list" allowBlank="1" showInputMessage="1" showErrorMessage="1" sqref="G44" xr:uid="{66B031CC-D790-5D4A-9006-8BC02E299C22}">
      <formula1>"Large Family,Special Needs, At-Risk, Seniors"</formula1>
    </dataValidation>
    <dataValidation type="list" allowBlank="1" showInputMessage="1" showErrorMessage="1" sqref="N33:N36" xr:uid="{00000000-0002-0000-0000-000000000000}">
      <formula1>subsidy_type</formula1>
    </dataValidation>
  </dataValidations>
  <pageMargins left="0.6" right="0.62" top="0.75" bottom="0.42" header="0.3" footer="0.24"/>
  <pageSetup scale="48" orientation="landscape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FD90-47F4-CE44-B01F-6B4168E64C34}">
  <sheetPr codeName="Sheet4">
    <tabColor rgb="FF00B050"/>
    <pageSetUpPr fitToPage="1"/>
  </sheetPr>
  <dimension ref="A1:T116"/>
  <sheetViews>
    <sheetView workbookViewId="0"/>
  </sheetViews>
  <sheetFormatPr defaultColWidth="8.6640625" defaultRowHeight="15"/>
  <cols>
    <col min="1" max="1" width="8.88671875" style="9" customWidth="1"/>
    <col min="2" max="2" width="13.33203125" style="9" customWidth="1"/>
    <col min="3" max="3" width="9.109375" style="9" customWidth="1"/>
    <col min="4" max="4" width="13.109375" style="9" customWidth="1"/>
    <col min="5" max="5" width="12.33203125" style="9" customWidth="1"/>
    <col min="6" max="6" width="8.88671875" style="9" customWidth="1"/>
    <col min="7" max="7" width="11" style="9" customWidth="1"/>
    <col min="8" max="8" width="10.6640625" style="9" customWidth="1"/>
    <col min="9" max="9" width="11.109375" style="9" customWidth="1"/>
    <col min="10" max="10" width="10.88671875" style="9" customWidth="1"/>
    <col min="11" max="11" width="12.109375" style="9" customWidth="1"/>
    <col min="12" max="12" width="11.5546875" style="9" customWidth="1"/>
    <col min="13" max="13" width="11.6640625" style="9" customWidth="1"/>
    <col min="14" max="14" width="9.88671875" style="9" customWidth="1"/>
    <col min="15" max="15" width="10.33203125" style="9" customWidth="1"/>
    <col min="16" max="16" width="10.6640625" style="9" customWidth="1"/>
    <col min="17" max="17" width="8.6640625" style="9"/>
    <col min="18" max="18" width="6.33203125" style="9" customWidth="1"/>
    <col min="19" max="16384" width="8.6640625" style="9"/>
  </cols>
  <sheetData>
    <row r="1" spans="1:20" ht="15.75">
      <c r="A1" s="17"/>
    </row>
    <row r="2" spans="1:20" ht="21" customHeight="1">
      <c r="A2" s="1908" t="s">
        <v>661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</row>
    <row r="3" spans="1:20" ht="5.25" customHeight="1">
      <c r="B3" s="413"/>
      <c r="C3" s="413"/>
      <c r="D3" s="413"/>
      <c r="E3" s="413"/>
      <c r="F3"/>
      <c r="H3" s="159"/>
      <c r="I3" s="413"/>
      <c r="M3" s="413"/>
      <c r="N3" s="413"/>
    </row>
    <row r="4" spans="1:20" ht="15.75" customHeight="1" thickBot="1">
      <c r="A4" s="413"/>
      <c r="B4" s="413"/>
      <c r="C4" s="413"/>
      <c r="D4" s="413"/>
      <c r="E4" s="413"/>
      <c r="F4" s="413"/>
      <c r="H4" s="413"/>
      <c r="I4" s="413"/>
      <c r="J4" s="413"/>
      <c r="K4" s="413"/>
      <c r="L4" s="413"/>
      <c r="M4" s="413"/>
      <c r="N4" s="413"/>
      <c r="O4" s="413"/>
      <c r="P4"/>
      <c r="Q4" s="413"/>
      <c r="T4"/>
    </row>
    <row r="5" spans="1:20" ht="15.75" customHeight="1">
      <c r="A5" s="1185" t="s">
        <v>59</v>
      </c>
      <c r="B5" s="1186"/>
      <c r="C5" s="1187"/>
      <c r="D5" s="1188"/>
      <c r="E5" s="1188"/>
      <c r="F5" s="1997" t="s">
        <v>72</v>
      </c>
      <c r="G5" s="1189"/>
      <c r="H5" s="922"/>
      <c r="I5" s="922"/>
      <c r="J5" s="922"/>
      <c r="K5" s="876"/>
      <c r="L5" s="876"/>
      <c r="M5" s="876"/>
      <c r="N5" s="876"/>
    </row>
    <row r="6" spans="1:20" ht="15.75" customHeight="1">
      <c r="A6" s="865"/>
      <c r="B6" s="1044"/>
      <c r="C6" s="1105"/>
      <c r="D6" s="1105"/>
      <c r="E6" s="1105"/>
      <c r="F6" s="1998"/>
      <c r="G6" s="1065"/>
      <c r="H6" s="922"/>
      <c r="I6" s="922"/>
      <c r="J6" s="876"/>
      <c r="K6" s="876"/>
      <c r="L6" s="876"/>
      <c r="M6" s="876"/>
      <c r="N6" s="876"/>
    </row>
    <row r="7" spans="1:20" ht="15.75" customHeight="1">
      <c r="A7" s="1049" t="s">
        <v>73</v>
      </c>
      <c r="B7" s="1190"/>
      <c r="C7" s="1190"/>
      <c r="D7" s="777"/>
      <c r="E7" s="1191" t="s">
        <v>361</v>
      </c>
      <c r="F7" s="1999"/>
      <c r="G7" s="1065"/>
      <c r="H7" s="922"/>
      <c r="I7" s="922"/>
      <c r="J7" s="876"/>
      <c r="K7" s="876"/>
      <c r="L7" s="876"/>
      <c r="M7" s="876"/>
      <c r="N7" s="876"/>
      <c r="O7"/>
      <c r="P7"/>
      <c r="Q7"/>
    </row>
    <row r="8" spans="1:20" ht="15.75" customHeight="1">
      <c r="A8" s="1049" t="s">
        <v>30</v>
      </c>
      <c r="B8" s="1190"/>
      <c r="C8" s="1190"/>
      <c r="D8" s="778"/>
      <c r="E8" s="1192">
        <f>IFERROR(D8/Rents!K$56,0)</f>
        <v>0</v>
      </c>
      <c r="F8" s="779" t="s">
        <v>164</v>
      </c>
      <c r="G8" s="1065"/>
      <c r="H8" s="922"/>
      <c r="I8" s="922"/>
      <c r="J8" s="876"/>
      <c r="K8" s="876"/>
      <c r="L8" s="876"/>
      <c r="M8" s="876"/>
      <c r="N8" s="876"/>
      <c r="O8"/>
      <c r="P8"/>
      <c r="Q8"/>
    </row>
    <row r="9" spans="1:20" ht="15.75" customHeight="1">
      <c r="A9" s="865" t="s">
        <v>663</v>
      </c>
      <c r="B9" s="1044"/>
      <c r="C9" s="1044"/>
      <c r="D9" s="778"/>
      <c r="E9" s="1193">
        <f>IFERROR(D9/Rents!K$56,0)</f>
        <v>0</v>
      </c>
      <c r="F9" s="779" t="s">
        <v>164</v>
      </c>
      <c r="G9" s="1065"/>
      <c r="H9" s="922"/>
      <c r="I9" s="922"/>
      <c r="J9" s="876"/>
      <c r="K9" s="876"/>
      <c r="L9" s="876"/>
      <c r="M9" s="876"/>
      <c r="N9" s="876"/>
    </row>
    <row r="10" spans="1:20" ht="15.75" customHeight="1">
      <c r="A10" s="1979" t="s">
        <v>60</v>
      </c>
      <c r="B10" s="1980"/>
      <c r="C10" s="1981"/>
      <c r="D10" s="1194">
        <f>'Dev Costs'!F40</f>
        <v>0</v>
      </c>
      <c r="E10" s="1195">
        <f>IFERROR(D10/Rents!K$56,0)</f>
        <v>0</v>
      </c>
      <c r="F10" s="1044"/>
      <c r="G10" s="1065"/>
      <c r="H10" s="922"/>
      <c r="I10" s="922"/>
      <c r="J10" s="876"/>
      <c r="K10" s="876"/>
      <c r="L10" s="876"/>
      <c r="M10" s="876"/>
      <c r="N10" s="876"/>
    </row>
    <row r="11" spans="1:20" ht="15.75" customHeight="1">
      <c r="A11" s="1982"/>
      <c r="B11" s="1983"/>
      <c r="C11" s="1984"/>
      <c r="D11" s="1196"/>
      <c r="E11" s="1197"/>
      <c r="F11" s="1044"/>
      <c r="G11" s="1065"/>
      <c r="H11" s="922"/>
      <c r="I11" s="922"/>
      <c r="J11" s="876"/>
      <c r="K11" s="876"/>
      <c r="L11" s="876"/>
      <c r="M11" s="876"/>
      <c r="N11" s="876"/>
    </row>
    <row r="12" spans="1:20" ht="15.75" customHeight="1">
      <c r="A12" s="1985" t="s">
        <v>664</v>
      </c>
      <c r="B12" s="1986"/>
      <c r="C12" s="1987"/>
      <c r="D12" s="780"/>
      <c r="E12" s="1044"/>
      <c r="F12" s="1044"/>
      <c r="G12" s="1065"/>
      <c r="H12" s="922"/>
      <c r="I12" s="922"/>
      <c r="J12" s="876"/>
      <c r="K12" s="876"/>
      <c r="L12" s="876"/>
      <c r="M12" s="876"/>
      <c r="N12" s="876"/>
    </row>
    <row r="13" spans="1:20" ht="15.75" customHeight="1">
      <c r="A13" s="1988"/>
      <c r="B13" s="1989"/>
      <c r="C13" s="1990"/>
      <c r="D13" s="781"/>
      <c r="E13" s="1198"/>
      <c r="F13" s="1198"/>
      <c r="G13" s="1065"/>
      <c r="H13" s="922"/>
      <c r="I13" s="922"/>
      <c r="J13" s="876"/>
      <c r="K13" s="876"/>
      <c r="L13" s="876"/>
      <c r="M13" s="876"/>
      <c r="N13" s="876"/>
    </row>
    <row r="14" spans="1:20" ht="15.75" customHeight="1">
      <c r="A14" s="1979" t="s">
        <v>61</v>
      </c>
      <c r="B14" s="1980"/>
      <c r="C14" s="1981"/>
      <c r="D14" s="782"/>
      <c r="E14" s="783"/>
      <c r="F14" s="783"/>
      <c r="G14" s="784"/>
      <c r="H14" s="922"/>
      <c r="I14" s="922"/>
      <c r="J14" s="876"/>
      <c r="K14" s="876"/>
      <c r="L14" s="876"/>
      <c r="M14" s="876"/>
      <c r="N14" s="876"/>
    </row>
    <row r="15" spans="1:20" ht="15.75" customHeight="1">
      <c r="A15" s="1982"/>
      <c r="B15" s="1983"/>
      <c r="C15" s="1984"/>
      <c r="D15" s="785"/>
      <c r="E15" s="786"/>
      <c r="F15" s="786"/>
      <c r="G15" s="787"/>
      <c r="H15" s="876"/>
      <c r="I15" s="876"/>
      <c r="J15" s="876"/>
      <c r="K15" s="876"/>
      <c r="L15" s="876"/>
      <c r="M15" s="876"/>
      <c r="N15" s="876"/>
    </row>
    <row r="16" spans="1:20" ht="15" customHeight="1">
      <c r="A16" s="1991" t="s">
        <v>62</v>
      </c>
      <c r="B16" s="1992"/>
      <c r="C16" s="1993"/>
      <c r="D16" s="782"/>
      <c r="E16" s="783"/>
      <c r="F16" s="783"/>
      <c r="G16" s="784"/>
      <c r="H16" s="876"/>
      <c r="I16" s="876"/>
      <c r="J16" s="876"/>
      <c r="K16" s="876"/>
      <c r="L16" s="876"/>
      <c r="M16" s="876"/>
      <c r="N16" s="876"/>
    </row>
    <row r="17" spans="1:16">
      <c r="A17" s="1994"/>
      <c r="B17" s="1995"/>
      <c r="C17" s="1996"/>
      <c r="D17" s="785"/>
      <c r="E17" s="786"/>
      <c r="F17" s="786"/>
      <c r="G17" s="787"/>
      <c r="H17" s="876"/>
      <c r="I17" s="876"/>
      <c r="J17" s="876"/>
      <c r="K17" s="876"/>
      <c r="L17" s="876"/>
      <c r="M17" s="876"/>
      <c r="N17" s="876"/>
    </row>
    <row r="18" spans="1:16" ht="15.75" customHeight="1">
      <c r="A18" s="1199" t="s">
        <v>22</v>
      </c>
      <c r="B18" s="1200"/>
      <c r="C18" s="1200"/>
      <c r="D18" s="1233"/>
      <c r="E18" s="1044"/>
      <c r="F18" s="1044"/>
      <c r="G18" s="1065"/>
      <c r="H18" s="876"/>
      <c r="I18" s="876"/>
      <c r="J18" s="876"/>
      <c r="K18" s="876"/>
      <c r="L18" s="876"/>
      <c r="M18" s="876"/>
      <c r="N18" s="876"/>
    </row>
    <row r="19" spans="1:16" ht="15.75" customHeight="1" thickBot="1">
      <c r="A19" s="1201" t="s">
        <v>23</v>
      </c>
      <c r="B19" s="1202"/>
      <c r="C19" s="1202"/>
      <c r="D19" s="1234"/>
      <c r="E19" s="1087"/>
      <c r="F19" s="1087"/>
      <c r="G19" s="1128"/>
      <c r="H19" s="876"/>
      <c r="I19" s="876"/>
      <c r="J19" s="876"/>
      <c r="K19" s="876"/>
      <c r="L19" s="876"/>
      <c r="M19" s="876"/>
      <c r="N19" s="876"/>
    </row>
    <row r="20" spans="1:16" ht="15.75" customHeight="1" thickBot="1">
      <c r="A20" s="1203"/>
      <c r="B20" s="1204"/>
      <c r="C20" s="1205"/>
      <c r="D20" s="1204"/>
      <c r="E20" s="1206"/>
      <c r="F20" s="1207"/>
      <c r="G20" s="1208"/>
      <c r="H20" s="876"/>
      <c r="I20" s="876"/>
      <c r="J20" s="876"/>
      <c r="K20" s="876"/>
      <c r="L20" s="876"/>
      <c r="M20" s="876"/>
      <c r="N20" s="876"/>
      <c r="O20"/>
      <c r="P20"/>
    </row>
    <row r="21" spans="1:16" ht="15.75" customHeight="1">
      <c r="A21" s="2000" t="s">
        <v>422</v>
      </c>
      <c r="B21" s="2001"/>
      <c r="C21" s="2001"/>
      <c r="D21" s="2001"/>
      <c r="E21" s="2001"/>
      <c r="F21" s="2001"/>
      <c r="G21" s="2001"/>
      <c r="H21" s="2001"/>
      <c r="I21" s="2001"/>
      <c r="J21" s="2001"/>
      <c r="K21" s="2001"/>
      <c r="L21" s="2001"/>
      <c r="M21" s="2001"/>
      <c r="N21" s="2002"/>
      <c r="O21"/>
      <c r="P21"/>
    </row>
    <row r="22" spans="1:16" ht="16.5" customHeight="1">
      <c r="A22" s="865"/>
      <c r="B22" s="1044"/>
      <c r="C22" s="2005" t="s">
        <v>48</v>
      </c>
      <c r="D22" s="2006"/>
      <c r="E22" s="1209" t="s">
        <v>74</v>
      </c>
      <c r="F22" s="1210"/>
      <c r="G22" s="1210"/>
      <c r="H22" s="1210"/>
      <c r="I22" s="1210"/>
      <c r="J22" s="1210"/>
      <c r="K22" s="1210"/>
      <c r="L22" s="1211"/>
      <c r="M22" s="2005" t="s">
        <v>46</v>
      </c>
      <c r="N22" s="2007"/>
      <c r="O22"/>
      <c r="P22"/>
    </row>
    <row r="23" spans="1:16">
      <c r="A23" s="865"/>
      <c r="B23" s="1044"/>
      <c r="C23" s="2003" t="s">
        <v>202</v>
      </c>
      <c r="D23" s="2003" t="s">
        <v>203</v>
      </c>
      <c r="E23" s="2003" t="s">
        <v>431</v>
      </c>
      <c r="F23" s="2003" t="s">
        <v>203</v>
      </c>
      <c r="G23" s="2003" t="s">
        <v>49</v>
      </c>
      <c r="H23" s="2003" t="s">
        <v>203</v>
      </c>
      <c r="I23" s="2003" t="s">
        <v>50</v>
      </c>
      <c r="J23" s="2003" t="s">
        <v>203</v>
      </c>
      <c r="K23" s="2010" t="s">
        <v>51</v>
      </c>
      <c r="L23" s="2003" t="s">
        <v>203</v>
      </c>
      <c r="M23" s="2003" t="s">
        <v>202</v>
      </c>
      <c r="N23" s="2008" t="s">
        <v>203</v>
      </c>
    </row>
    <row r="24" spans="1:16">
      <c r="A24" s="1074"/>
      <c r="B24" s="1044"/>
      <c r="C24" s="2004"/>
      <c r="D24" s="2004"/>
      <c r="E24" s="2004"/>
      <c r="F24" s="2004"/>
      <c r="G24" s="2004"/>
      <c r="H24" s="2004"/>
      <c r="I24" s="2004"/>
      <c r="J24" s="2004"/>
      <c r="K24" s="2011"/>
      <c r="L24" s="2004"/>
      <c r="M24" s="2004"/>
      <c r="N24" s="2009"/>
    </row>
    <row r="25" spans="1:16">
      <c r="A25" s="1074" t="s">
        <v>432</v>
      </c>
      <c r="B25" s="1044"/>
      <c r="C25" s="1212"/>
      <c r="D25" s="1213"/>
      <c r="E25" s="789"/>
      <c r="F25" s="1214"/>
      <c r="G25" s="789"/>
      <c r="H25" s="1214"/>
      <c r="I25" s="789"/>
      <c r="J25" s="1214"/>
      <c r="K25" s="1215"/>
      <c r="L25" s="1214"/>
      <c r="M25" s="1236"/>
      <c r="N25" s="1216"/>
    </row>
    <row r="26" spans="1:16">
      <c r="A26" s="1074" t="s">
        <v>204</v>
      </c>
      <c r="B26" s="1093"/>
      <c r="C26" s="1217">
        <f>'Stabilized Ops &amp; Debt'!E22</f>
        <v>0</v>
      </c>
      <c r="D26" s="1218">
        <f>'Stabilized Ops &amp; Debt'!F22</f>
        <v>0</v>
      </c>
      <c r="E26" s="1235"/>
      <c r="F26" s="326">
        <f>IFERROR(+E26/Rents!$K$56,0)</f>
        <v>0</v>
      </c>
      <c r="G26" s="1235"/>
      <c r="H26" s="326">
        <f>IFERROR(+G26/Rents!$K$56,0)</f>
        <v>0</v>
      </c>
      <c r="I26" s="1235"/>
      <c r="J26" s="326">
        <f>IFERROR(+I26/Rents!$K$56,0)</f>
        <v>0</v>
      </c>
      <c r="K26" s="1215">
        <f t="shared" ref="K26:K37" si="0">IF(SUM(E26+G26+I26)=0,0,AVERAGE(E26,G26,I26))</f>
        <v>0</v>
      </c>
      <c r="L26" s="326">
        <f>IFERROR(+K26/Rents!$K$56,0)</f>
        <v>0</v>
      </c>
      <c r="M26" s="1235"/>
      <c r="N26" s="1219">
        <f>IFERROR(+M26/Rents!$K$56,0)</f>
        <v>0</v>
      </c>
    </row>
    <row r="27" spans="1:16">
      <c r="A27" s="1074" t="s">
        <v>173</v>
      </c>
      <c r="B27" s="1093"/>
      <c r="C27" s="1220">
        <f>'Stabilized Ops &amp; Debt'!E24</f>
        <v>0</v>
      </c>
      <c r="D27" s="1221">
        <f>'Stabilized Ops &amp; Debt'!F24</f>
        <v>0</v>
      </c>
      <c r="E27" s="788"/>
      <c r="F27" s="326">
        <f>IFERROR(+E27/Rents!$K$56,0)</f>
        <v>0</v>
      </c>
      <c r="G27" s="788"/>
      <c r="H27" s="326">
        <f>IFERROR(+G27/Rents!$K$56,0)</f>
        <v>0</v>
      </c>
      <c r="I27" s="788"/>
      <c r="J27" s="326">
        <f>IFERROR(+I27/Rents!$K$56,0)</f>
        <v>0</v>
      </c>
      <c r="K27" s="1215">
        <f t="shared" si="0"/>
        <v>0</v>
      </c>
      <c r="L27" s="326">
        <f>IFERROR(+K27/Rents!$K$56,0)</f>
        <v>0</v>
      </c>
      <c r="M27" s="788"/>
      <c r="N27" s="1219">
        <f>IFERROR(+M27/Rents!$K$56,0)</f>
        <v>0</v>
      </c>
    </row>
    <row r="28" spans="1:16">
      <c r="A28" s="1074" t="s">
        <v>216</v>
      </c>
      <c r="B28" s="1093"/>
      <c r="C28" s="1217">
        <f>'Stabilized Ops &amp; Debt'!E29</f>
        <v>0</v>
      </c>
      <c r="D28" s="1218">
        <f>'Stabilized Ops &amp; Debt'!F29</f>
        <v>0</v>
      </c>
      <c r="E28" s="1235"/>
      <c r="F28" s="326">
        <f>IFERROR(+E28/Rents!$K$56,0)</f>
        <v>0</v>
      </c>
      <c r="G28" s="1235"/>
      <c r="H28" s="326">
        <f>IFERROR(+G28/Rents!$K$56,0)</f>
        <v>0</v>
      </c>
      <c r="I28" s="1235"/>
      <c r="J28" s="326">
        <f>IFERROR(+I28/Rents!$K$56,0)</f>
        <v>0</v>
      </c>
      <c r="K28" s="1215">
        <f t="shared" si="0"/>
        <v>0</v>
      </c>
      <c r="L28" s="326">
        <f>IFERROR(+K28/Rents!$K$56,0)</f>
        <v>0</v>
      </c>
      <c r="M28" s="1235"/>
      <c r="N28" s="1219">
        <f>IFERROR(+M28/Rents!$K$56,0)</f>
        <v>0</v>
      </c>
    </row>
    <row r="29" spans="1:16">
      <c r="A29" s="1074" t="s">
        <v>174</v>
      </c>
      <c r="B29" s="1093"/>
      <c r="C29" s="1220">
        <f>'Stabilized Ops &amp; Debt'!E36</f>
        <v>0</v>
      </c>
      <c r="D29" s="1221">
        <f>'Stabilized Ops &amp; Debt'!F36</f>
        <v>0</v>
      </c>
      <c r="E29" s="1235"/>
      <c r="F29" s="326">
        <f>IFERROR(+E29/Rents!$K$56,0)</f>
        <v>0</v>
      </c>
      <c r="G29" s="1235"/>
      <c r="H29" s="326">
        <f>IFERROR(+G29/Rents!$K$56,0)</f>
        <v>0</v>
      </c>
      <c r="I29" s="1235"/>
      <c r="J29" s="326">
        <f>IFERROR(+I29/Rents!$K$56,0)</f>
        <v>0</v>
      </c>
      <c r="K29" s="1215">
        <f t="shared" si="0"/>
        <v>0</v>
      </c>
      <c r="L29" s="326">
        <f>IFERROR(+K29/Rents!$K$56,0)</f>
        <v>0</v>
      </c>
      <c r="M29" s="1235"/>
      <c r="N29" s="1219">
        <f>IFERROR(+M29/Rents!$K$56,0)</f>
        <v>0</v>
      </c>
    </row>
    <row r="30" spans="1:16">
      <c r="A30" s="1074" t="s">
        <v>209</v>
      </c>
      <c r="B30" s="1093"/>
      <c r="C30" s="1220">
        <f>'Stabilized Ops &amp; Debt'!E46</f>
        <v>0</v>
      </c>
      <c r="D30" s="1221">
        <f>'Stabilized Ops &amp; Debt'!F46</f>
        <v>0</v>
      </c>
      <c r="E30" s="1235"/>
      <c r="F30" s="326">
        <f>IFERROR(+E30/Rents!$K$56,0)</f>
        <v>0</v>
      </c>
      <c r="G30" s="1235"/>
      <c r="H30" s="326">
        <f>IFERROR(+G30/Rents!$K$56,0)</f>
        <v>0</v>
      </c>
      <c r="I30" s="1235"/>
      <c r="J30" s="326">
        <f>IFERROR(+I30/Rents!$K$56,0)</f>
        <v>0</v>
      </c>
      <c r="K30" s="1215">
        <f t="shared" si="0"/>
        <v>0</v>
      </c>
      <c r="L30" s="326">
        <f>IFERROR(+K30/Rents!$K$56,0)</f>
        <v>0</v>
      </c>
      <c r="M30" s="1235"/>
      <c r="N30" s="1219">
        <f>IFERROR(+M30/Rents!$K$56,0)</f>
        <v>0</v>
      </c>
    </row>
    <row r="31" spans="1:16">
      <c r="A31" s="1074" t="s">
        <v>313</v>
      </c>
      <c r="B31" s="1093"/>
      <c r="C31" s="1220">
        <f>'Stabilized Ops &amp; Debt'!E51</f>
        <v>0</v>
      </c>
      <c r="D31" s="1221">
        <f>'Stabilized Ops &amp; Debt'!F51</f>
        <v>0</v>
      </c>
      <c r="E31" s="1235"/>
      <c r="F31" s="326">
        <f>IFERROR(+E31/Rents!$K$56,0)</f>
        <v>0</v>
      </c>
      <c r="G31" s="1235"/>
      <c r="H31" s="326">
        <f>IFERROR(+G31/Rents!$K$56,0)</f>
        <v>0</v>
      </c>
      <c r="I31" s="1235"/>
      <c r="J31" s="326">
        <f>IFERROR(+I31/Rents!$K$56,0)</f>
        <v>0</v>
      </c>
      <c r="K31" s="1215">
        <f t="shared" si="0"/>
        <v>0</v>
      </c>
      <c r="L31" s="326">
        <f>IFERROR(+K31/Rents!$K$56,0)</f>
        <v>0</v>
      </c>
      <c r="M31" s="1235"/>
      <c r="N31" s="1219">
        <f>IFERROR(+M31/Rents!$K$56,0)</f>
        <v>0</v>
      </c>
    </row>
    <row r="32" spans="1:16">
      <c r="A32" s="1074" t="s">
        <v>446</v>
      </c>
      <c r="B32" s="1093"/>
      <c r="C32" s="1220">
        <f>'Stabilized Ops &amp; Debt'!E52</f>
        <v>0</v>
      </c>
      <c r="D32" s="1221">
        <f>'Stabilized Ops &amp; Debt'!F52</f>
        <v>0</v>
      </c>
      <c r="E32" s="1235"/>
      <c r="F32" s="326">
        <f>IFERROR(+E32/Rents!$K$56,0)</f>
        <v>0</v>
      </c>
      <c r="G32" s="1235"/>
      <c r="H32" s="326">
        <f>IFERROR(+G32/Rents!$K$56,0)</f>
        <v>0</v>
      </c>
      <c r="I32" s="1235"/>
      <c r="J32" s="326">
        <f>IFERROR(+I32/Rents!$K$56,0)</f>
        <v>0</v>
      </c>
      <c r="K32" s="1215">
        <f t="shared" si="0"/>
        <v>0</v>
      </c>
      <c r="L32" s="326">
        <f>IFERROR(+K32/Rents!$K$56,0)</f>
        <v>0</v>
      </c>
      <c r="M32" s="1235"/>
      <c r="N32" s="1219">
        <f>IFERROR(+M32/Rents!$K$56,0)</f>
        <v>0</v>
      </c>
    </row>
    <row r="33" spans="1:14">
      <c r="A33" s="1074" t="s">
        <v>176</v>
      </c>
      <c r="B33" s="1093"/>
      <c r="C33" s="1220">
        <f>'Stabilized Ops &amp; Debt'!E56</f>
        <v>0</v>
      </c>
      <c r="D33" s="1221">
        <f>'Stabilized Ops &amp; Debt'!F56</f>
        <v>0</v>
      </c>
      <c r="E33" s="1235"/>
      <c r="F33" s="326">
        <f>IFERROR(+E33/Rents!$K$56,0)</f>
        <v>0</v>
      </c>
      <c r="G33" s="1235"/>
      <c r="H33" s="326">
        <f>IFERROR(+G33/Rents!$K$56,0)</f>
        <v>0</v>
      </c>
      <c r="I33" s="1235"/>
      <c r="J33" s="326">
        <f>IFERROR(+I33/Rents!$K$56,0)</f>
        <v>0</v>
      </c>
      <c r="K33" s="1215">
        <f t="shared" si="0"/>
        <v>0</v>
      </c>
      <c r="L33" s="326">
        <f>IFERROR(+K33/Rents!$K$56,0)</f>
        <v>0</v>
      </c>
      <c r="M33" s="1235"/>
      <c r="N33" s="1219">
        <f>IFERROR(+M33/Rents!$K$56,0)</f>
        <v>0</v>
      </c>
    </row>
    <row r="34" spans="1:14">
      <c r="A34" s="1074" t="s">
        <v>1399</v>
      </c>
      <c r="B34" s="1093"/>
      <c r="C34" s="1220">
        <f>'Stabilized Ops &amp; Debt'!E57</f>
        <v>0</v>
      </c>
      <c r="D34" s="1221">
        <f>'Stabilized Ops &amp; Debt'!F57</f>
        <v>0</v>
      </c>
      <c r="E34" s="1235"/>
      <c r="F34" s="326">
        <f>IFERROR(+E34/Rents!$K$56,0)</f>
        <v>0</v>
      </c>
      <c r="G34" s="1235"/>
      <c r="H34" s="326">
        <f>IFERROR(+G34/Rents!$K$56,0)</f>
        <v>0</v>
      </c>
      <c r="I34" s="1235"/>
      <c r="J34" s="326">
        <f>IFERROR(+I34/Rents!$K$56,0)</f>
        <v>0</v>
      </c>
      <c r="K34" s="1215">
        <f t="shared" si="0"/>
        <v>0</v>
      </c>
      <c r="L34" s="326">
        <f>IFERROR(+K34/Rents!$K$56,0)</f>
        <v>0</v>
      </c>
      <c r="M34" s="1235"/>
      <c r="N34" s="1219">
        <f>IFERROR(+M34/Rents!$K$56,0)</f>
        <v>0</v>
      </c>
    </row>
    <row r="35" spans="1:14">
      <c r="A35" s="1074"/>
      <c r="B35" s="1093"/>
      <c r="C35" s="1220"/>
      <c r="D35" s="1221"/>
      <c r="E35" s="1222"/>
      <c r="F35" s="326"/>
      <c r="G35" s="1222"/>
      <c r="H35" s="326"/>
      <c r="I35" s="1222"/>
      <c r="J35" s="326"/>
      <c r="K35" s="1215"/>
      <c r="L35" s="326"/>
      <c r="M35" s="1222"/>
      <c r="N35" s="1219"/>
    </row>
    <row r="36" spans="1:14">
      <c r="A36" s="1223" t="s">
        <v>1401</v>
      </c>
      <c r="B36" s="1223"/>
      <c r="C36" s="1220">
        <f>SUM(C26:C34)</f>
        <v>0</v>
      </c>
      <c r="D36" s="1220">
        <f>SUM(D26:D34)</f>
        <v>0</v>
      </c>
      <c r="E36" s="1224">
        <f>SUM(E25:E34)</f>
        <v>0</v>
      </c>
      <c r="F36" s="326">
        <f>IFERROR(+E36/Rents!$K$56,0)</f>
        <v>0</v>
      </c>
      <c r="G36" s="1224">
        <f>SUM(G25:G34)</f>
        <v>0</v>
      </c>
      <c r="H36" s="1225"/>
      <c r="I36" s="1224">
        <f>SUM(I25:I34)</f>
        <v>0</v>
      </c>
      <c r="J36" s="1225"/>
      <c r="K36" s="326"/>
      <c r="L36" s="1225"/>
      <c r="M36" s="1224">
        <f>SUM(M25:M34)</f>
        <v>0</v>
      </c>
      <c r="N36" s="1219"/>
    </row>
    <row r="37" spans="1:14">
      <c r="A37" s="1074" t="s">
        <v>226</v>
      </c>
      <c r="B37" s="1075"/>
      <c r="C37" s="1220">
        <f>'Stabilized Ops &amp; Debt'!E64</f>
        <v>0</v>
      </c>
      <c r="D37" s="1226">
        <f>'Stabilized Ops &amp; Debt'!F64</f>
        <v>0</v>
      </c>
      <c r="E37" s="1235"/>
      <c r="F37" s="326">
        <f>IFERROR(+E37/Rents!$K$56,0)</f>
        <v>0</v>
      </c>
      <c r="G37" s="1235"/>
      <c r="H37" s="326">
        <f>IFERROR(+G37/Rents!$K$56,0)</f>
        <v>0</v>
      </c>
      <c r="I37" s="1235"/>
      <c r="J37" s="326">
        <f>IFERROR(+I37/Rents!$K$56,0)</f>
        <v>0</v>
      </c>
      <c r="K37" s="1215">
        <f t="shared" si="0"/>
        <v>0</v>
      </c>
      <c r="L37" s="326">
        <f>IFERROR(+K37/Rents!$K$56,0)</f>
        <v>0</v>
      </c>
      <c r="M37" s="1235"/>
      <c r="N37" s="1219">
        <f>IFERROR(+M37/Rents!$K$56,0)</f>
        <v>0</v>
      </c>
    </row>
    <row r="38" spans="1:14">
      <c r="A38" s="865"/>
      <c r="B38" s="1075"/>
      <c r="C38" s="1227"/>
      <c r="D38" s="1228"/>
      <c r="E38" s="1229"/>
      <c r="F38" s="1228"/>
      <c r="G38" s="1229"/>
      <c r="H38" s="1228"/>
      <c r="I38" s="1229"/>
      <c r="J38" s="1228"/>
      <c r="K38" s="1228"/>
      <c r="L38" s="1228"/>
      <c r="M38" s="1229"/>
      <c r="N38" s="1230"/>
    </row>
    <row r="39" spans="1:14">
      <c r="A39" s="1074" t="s">
        <v>1398</v>
      </c>
      <c r="B39" s="1044"/>
      <c r="C39" s="1220">
        <f>'Stabilized Ops &amp; Debt'!E67</f>
        <v>0</v>
      </c>
      <c r="D39" s="1220">
        <f>'Stabilized Ops &amp; Debt'!F67</f>
        <v>0</v>
      </c>
      <c r="E39" s="1231">
        <f>+E37+E33+E31+E30+E29+E28+E26+E27</f>
        <v>0</v>
      </c>
      <c r="F39" s="326">
        <f>IFERROR(+E39/Rents!$K$56,0)</f>
        <v>0</v>
      </c>
      <c r="G39" s="1231">
        <f>+G37+G33+G31+G30+G29+G28+G26+G27</f>
        <v>0</v>
      </c>
      <c r="H39" s="326">
        <f>IFERROR(+G39/Rents!$K$56,0)</f>
        <v>0</v>
      </c>
      <c r="I39" s="1231">
        <f>+I37+I33+I31+I30+I29+I28+I26+I27</f>
        <v>0</v>
      </c>
      <c r="J39" s="326">
        <f>IFERROR(+I39/Rents!$K$56,0)</f>
        <v>0</v>
      </c>
      <c r="K39" s="1231">
        <f>+K37+K33+K31+K30+K29+K28+K27+K26</f>
        <v>0</v>
      </c>
      <c r="L39" s="326">
        <f>IFERROR(+K39/Rents!$K$56,0)</f>
        <v>0</v>
      </c>
      <c r="M39" s="1231">
        <f>+M37+M33+M31+M30+M29+M28+M26+M27</f>
        <v>0</v>
      </c>
      <c r="N39" s="1219">
        <f>IFERROR(+M39/Rents!$K$56,0)</f>
        <v>0</v>
      </c>
    </row>
    <row r="40" spans="1:14" ht="11.1" customHeight="1" thickBot="1">
      <c r="A40" s="1232"/>
      <c r="B40" s="1162"/>
      <c r="C40" s="1162"/>
      <c r="D40" s="1162"/>
      <c r="E40" s="1162"/>
      <c r="F40" s="1162"/>
      <c r="G40" s="1087"/>
      <c r="H40" s="1087"/>
      <c r="I40" s="1087"/>
      <c r="J40" s="1087"/>
      <c r="K40" s="1087"/>
      <c r="L40" s="1087"/>
      <c r="M40" s="1087"/>
      <c r="N40" s="1128"/>
    </row>
    <row r="41" spans="1:14">
      <c r="A41" s="60"/>
      <c r="B41" s="60"/>
      <c r="C41" s="60"/>
      <c r="D41" s="60"/>
      <c r="E41" s="60"/>
      <c r="F41" s="60"/>
      <c r="G41" s="60"/>
      <c r="H41" s="60"/>
    </row>
    <row r="42" spans="1:14">
      <c r="A42" s="60"/>
      <c r="B42" s="60"/>
      <c r="C42" s="60"/>
      <c r="D42" s="60"/>
      <c r="E42" s="60"/>
      <c r="F42" s="60"/>
      <c r="G42" s="60"/>
      <c r="H42" s="60"/>
    </row>
    <row r="43" spans="1:14">
      <c r="A43" s="60"/>
      <c r="B43" s="60" t="s">
        <v>1400</v>
      </c>
      <c r="C43" s="416">
        <f>SUM(C26:C37)</f>
        <v>0</v>
      </c>
      <c r="D43" s="60"/>
      <c r="E43" s="60"/>
      <c r="F43" s="60"/>
      <c r="G43" s="60"/>
      <c r="H43" s="60"/>
    </row>
    <row r="44" spans="1:14">
      <c r="A44" s="60"/>
      <c r="B44" s="60"/>
      <c r="C44" s="60"/>
      <c r="D44" s="60"/>
      <c r="E44" s="60"/>
      <c r="F44" s="60"/>
      <c r="G44" s="60"/>
      <c r="H44" s="60"/>
    </row>
    <row r="45" spans="1:14">
      <c r="A45" s="60"/>
      <c r="B45" s="60"/>
      <c r="C45" s="60"/>
      <c r="D45" s="60"/>
      <c r="E45" s="60"/>
      <c r="F45" s="60"/>
      <c r="G45" s="60"/>
      <c r="H45" s="60"/>
    </row>
    <row r="46" spans="1:14">
      <c r="A46" s="60"/>
      <c r="B46" s="60"/>
      <c r="C46" s="60"/>
      <c r="D46" s="60"/>
      <c r="E46" s="60"/>
      <c r="F46" s="60"/>
      <c r="G46" s="60"/>
      <c r="H46" s="60"/>
    </row>
    <row r="47" spans="1:14">
      <c r="A47" s="60"/>
      <c r="B47" s="60"/>
      <c r="C47" s="60"/>
      <c r="D47" s="60"/>
      <c r="E47" s="60"/>
      <c r="F47" s="60"/>
      <c r="G47" s="60"/>
      <c r="H47" s="60"/>
    </row>
    <row r="48" spans="1:14">
      <c r="A48" s="60"/>
      <c r="B48" s="60"/>
      <c r="C48" s="60"/>
      <c r="D48" s="60"/>
      <c r="E48" s="60"/>
      <c r="F48" s="60"/>
      <c r="G48" s="60"/>
      <c r="H48" s="60"/>
    </row>
    <row r="49" spans="1:8">
      <c r="A49" s="60"/>
      <c r="B49" s="60"/>
      <c r="C49" s="60"/>
      <c r="D49" s="60"/>
      <c r="E49" s="60"/>
      <c r="F49" s="60"/>
      <c r="G49" s="60"/>
      <c r="H49" s="60"/>
    </row>
    <row r="50" spans="1:8">
      <c r="A50" s="60"/>
      <c r="B50" s="60"/>
      <c r="C50" s="60"/>
      <c r="D50" s="60"/>
      <c r="E50" s="60"/>
      <c r="F50" s="60"/>
      <c r="G50" s="60"/>
      <c r="H50" s="60"/>
    </row>
    <row r="51" spans="1:8">
      <c r="A51" s="60"/>
      <c r="B51" s="60"/>
      <c r="C51" s="60"/>
      <c r="D51" s="60"/>
      <c r="E51" s="60"/>
      <c r="F51" s="60"/>
      <c r="G51" s="60"/>
      <c r="H51" s="60"/>
    </row>
    <row r="52" spans="1:8">
      <c r="A52" s="60"/>
      <c r="B52" s="60"/>
      <c r="C52" s="60"/>
      <c r="D52" s="60"/>
      <c r="E52" s="60"/>
      <c r="F52" s="60"/>
      <c r="G52" s="60"/>
      <c r="H52" s="60"/>
    </row>
    <row r="53" spans="1:8">
      <c r="A53" s="60"/>
      <c r="B53" s="60"/>
      <c r="C53" s="60"/>
      <c r="D53" s="60"/>
      <c r="E53" s="60"/>
      <c r="F53" s="60"/>
      <c r="G53" s="60"/>
      <c r="H53" s="60"/>
    </row>
    <row r="54" spans="1:8">
      <c r="A54" s="60"/>
      <c r="B54" s="60"/>
      <c r="C54" s="60"/>
      <c r="D54" s="60"/>
      <c r="E54" s="60"/>
      <c r="F54" s="60"/>
      <c r="G54" s="60"/>
      <c r="H54" s="60"/>
    </row>
    <row r="55" spans="1:8">
      <c r="A55" s="60"/>
      <c r="B55" s="60"/>
      <c r="C55" s="60"/>
      <c r="D55" s="60"/>
      <c r="E55" s="60"/>
      <c r="F55" s="60"/>
      <c r="G55" s="60"/>
      <c r="H55" s="60"/>
    </row>
    <row r="56" spans="1:8">
      <c r="A56" s="60"/>
      <c r="B56" s="60"/>
      <c r="C56" s="60"/>
      <c r="D56" s="60"/>
      <c r="E56" s="60"/>
      <c r="F56" s="60"/>
      <c r="G56" s="60"/>
      <c r="H56" s="60"/>
    </row>
    <row r="57" spans="1:8">
      <c r="A57" s="60"/>
      <c r="B57" s="60"/>
      <c r="C57" s="60"/>
      <c r="D57" s="60"/>
      <c r="E57" s="60"/>
      <c r="F57" s="60"/>
      <c r="G57" s="60"/>
      <c r="H57" s="60"/>
    </row>
    <row r="58" spans="1:8">
      <c r="A58" s="60"/>
      <c r="B58" s="60"/>
      <c r="C58" s="60"/>
      <c r="D58" s="60"/>
      <c r="E58" s="60"/>
      <c r="F58" s="60"/>
      <c r="G58" s="60"/>
      <c r="H58" s="60"/>
    </row>
    <row r="59" spans="1:8">
      <c r="A59" s="60"/>
      <c r="B59" s="60"/>
      <c r="C59" s="60"/>
      <c r="D59" s="60"/>
      <c r="E59" s="60"/>
      <c r="F59" s="60"/>
      <c r="G59" s="60"/>
      <c r="H59" s="60"/>
    </row>
    <row r="60" spans="1:8">
      <c r="A60" s="60"/>
      <c r="B60" s="60"/>
      <c r="C60" s="60"/>
      <c r="D60" s="60"/>
      <c r="E60" s="60"/>
      <c r="F60" s="60"/>
      <c r="G60" s="60"/>
      <c r="H60" s="60"/>
    </row>
    <row r="61" spans="1:8">
      <c r="A61" s="60"/>
      <c r="B61" s="60"/>
      <c r="C61" s="60"/>
      <c r="D61" s="60"/>
      <c r="E61" s="60"/>
      <c r="F61" s="60"/>
      <c r="G61" s="60"/>
      <c r="H61" s="60"/>
    </row>
    <row r="62" spans="1:8">
      <c r="A62" s="60"/>
      <c r="B62" s="60"/>
      <c r="C62" s="60"/>
      <c r="D62" s="60"/>
      <c r="E62" s="60"/>
      <c r="F62" s="60"/>
      <c r="G62" s="60"/>
      <c r="H62" s="60"/>
    </row>
    <row r="63" spans="1:8">
      <c r="A63" s="60"/>
      <c r="B63" s="60"/>
      <c r="C63" s="60"/>
      <c r="D63" s="60"/>
      <c r="E63" s="60"/>
      <c r="F63" s="60"/>
      <c r="G63" s="60"/>
      <c r="H63" s="60"/>
    </row>
    <row r="64" spans="1:8">
      <c r="A64" s="60"/>
      <c r="B64" s="60"/>
      <c r="C64" s="60"/>
      <c r="D64" s="60"/>
      <c r="E64" s="60"/>
      <c r="F64" s="60"/>
      <c r="G64" s="60"/>
      <c r="H64" s="60"/>
    </row>
    <row r="65" spans="1:8">
      <c r="A65" s="60"/>
      <c r="B65" s="60"/>
      <c r="C65" s="60"/>
      <c r="D65" s="60"/>
      <c r="E65" s="60"/>
      <c r="F65" s="60"/>
      <c r="G65" s="60"/>
      <c r="H65" s="60"/>
    </row>
    <row r="66" spans="1:8">
      <c r="A66" s="60"/>
      <c r="B66" s="60"/>
      <c r="C66" s="60"/>
      <c r="D66" s="60"/>
      <c r="E66" s="60"/>
      <c r="F66" s="60"/>
      <c r="G66" s="60"/>
      <c r="H66" s="60"/>
    </row>
    <row r="67" spans="1:8">
      <c r="A67" s="60"/>
      <c r="B67" s="60"/>
      <c r="C67" s="60"/>
      <c r="D67" s="60"/>
      <c r="E67" s="60"/>
      <c r="F67" s="60"/>
      <c r="G67" s="60"/>
      <c r="H67" s="60"/>
    </row>
    <row r="68" spans="1:8">
      <c r="A68" s="60"/>
      <c r="B68" s="60"/>
      <c r="C68" s="60"/>
      <c r="D68" s="60"/>
      <c r="E68" s="60"/>
      <c r="F68" s="60"/>
      <c r="G68" s="60"/>
      <c r="H68" s="60"/>
    </row>
    <row r="69" spans="1:8">
      <c r="A69" s="60"/>
      <c r="B69" s="60"/>
      <c r="C69" s="60"/>
      <c r="D69" s="60"/>
      <c r="E69" s="60"/>
      <c r="F69" s="60"/>
      <c r="G69" s="60"/>
      <c r="H69" s="60"/>
    </row>
    <row r="70" spans="1:8">
      <c r="A70" s="60"/>
      <c r="B70" s="60"/>
      <c r="C70" s="60"/>
      <c r="D70" s="60"/>
      <c r="E70" s="60"/>
      <c r="F70" s="60"/>
      <c r="G70" s="60"/>
      <c r="H70" s="60"/>
    </row>
    <row r="71" spans="1:8">
      <c r="A71" s="60"/>
      <c r="B71" s="60"/>
      <c r="C71" s="60"/>
      <c r="D71" s="60"/>
      <c r="E71" s="60"/>
      <c r="F71" s="60"/>
      <c r="G71" s="60"/>
      <c r="H71" s="60"/>
    </row>
    <row r="72" spans="1:8">
      <c r="A72" s="60"/>
      <c r="B72" s="60"/>
      <c r="C72" s="60"/>
      <c r="D72" s="60"/>
      <c r="E72" s="60"/>
      <c r="F72" s="60"/>
      <c r="G72" s="60"/>
      <c r="H72" s="60"/>
    </row>
    <row r="73" spans="1:8">
      <c r="A73" s="60"/>
      <c r="B73" s="60"/>
      <c r="C73" s="60"/>
      <c r="D73" s="60"/>
      <c r="E73" s="60"/>
      <c r="F73" s="60"/>
      <c r="G73" s="60"/>
      <c r="H73" s="60"/>
    </row>
    <row r="74" spans="1:8">
      <c r="A74" s="60"/>
      <c r="B74" s="60"/>
      <c r="C74" s="60"/>
      <c r="D74" s="60"/>
      <c r="E74" s="60"/>
      <c r="F74" s="60"/>
      <c r="G74" s="60"/>
      <c r="H74" s="60"/>
    </row>
    <row r="75" spans="1:8">
      <c r="A75" s="60"/>
      <c r="B75" s="60"/>
      <c r="C75" s="60"/>
      <c r="D75" s="60"/>
      <c r="E75" s="60"/>
      <c r="F75" s="60"/>
      <c r="G75" s="60"/>
      <c r="H75" s="60"/>
    </row>
    <row r="76" spans="1:8">
      <c r="A76" s="60"/>
      <c r="B76" s="60"/>
      <c r="C76" s="60"/>
      <c r="D76" s="60"/>
      <c r="E76" s="60"/>
      <c r="F76" s="60"/>
      <c r="G76" s="60"/>
      <c r="H76" s="60"/>
    </row>
    <row r="77" spans="1:8">
      <c r="A77" s="60"/>
      <c r="B77" s="60"/>
      <c r="C77" s="60"/>
      <c r="D77" s="60"/>
      <c r="E77" s="60"/>
      <c r="F77" s="60"/>
      <c r="G77" s="60"/>
      <c r="H77" s="60"/>
    </row>
    <row r="78" spans="1:8">
      <c r="A78" s="60"/>
      <c r="B78" s="60"/>
      <c r="C78" s="60"/>
      <c r="D78" s="60"/>
      <c r="E78" s="60"/>
      <c r="F78" s="60"/>
      <c r="G78" s="60"/>
      <c r="H78" s="60"/>
    </row>
    <row r="79" spans="1:8">
      <c r="A79" s="60"/>
      <c r="B79" s="60"/>
      <c r="C79" s="60"/>
      <c r="D79" s="60"/>
      <c r="E79" s="60"/>
      <c r="F79" s="60"/>
      <c r="G79" s="60"/>
      <c r="H79" s="60"/>
    </row>
    <row r="80" spans="1:8">
      <c r="A80" s="60"/>
      <c r="B80" s="60"/>
      <c r="C80" s="60"/>
      <c r="D80" s="60"/>
      <c r="E80" s="60"/>
      <c r="F80" s="60"/>
      <c r="G80" s="60"/>
      <c r="H80" s="60"/>
    </row>
    <row r="81" spans="1:8">
      <c r="A81" s="60"/>
      <c r="B81" s="60"/>
      <c r="C81" s="60"/>
      <c r="D81" s="60"/>
      <c r="E81" s="60"/>
      <c r="F81" s="60"/>
      <c r="G81" s="60"/>
      <c r="H81" s="60"/>
    </row>
    <row r="82" spans="1:8">
      <c r="A82" s="60"/>
      <c r="B82" s="60"/>
      <c r="C82" s="60"/>
      <c r="D82" s="60"/>
      <c r="E82" s="60"/>
      <c r="F82" s="60"/>
      <c r="G82" s="60"/>
      <c r="H82" s="60"/>
    </row>
    <row r="83" spans="1:8">
      <c r="A83" s="60"/>
      <c r="B83" s="60"/>
      <c r="C83" s="60"/>
      <c r="D83" s="60"/>
      <c r="E83" s="60"/>
      <c r="F83" s="60"/>
      <c r="G83" s="60"/>
      <c r="H83" s="60"/>
    </row>
    <row r="84" spans="1:8">
      <c r="A84" s="60"/>
      <c r="B84" s="60"/>
      <c r="C84" s="60"/>
      <c r="D84" s="60"/>
      <c r="E84" s="60"/>
      <c r="F84" s="60"/>
      <c r="G84" s="60"/>
      <c r="H84" s="60"/>
    </row>
    <row r="85" spans="1:8">
      <c r="A85" s="60"/>
      <c r="B85" s="60"/>
      <c r="C85" s="60"/>
      <c r="D85" s="60"/>
      <c r="E85" s="60"/>
      <c r="F85" s="60"/>
      <c r="G85" s="60"/>
      <c r="H85" s="60"/>
    </row>
    <row r="86" spans="1:8">
      <c r="A86" s="60"/>
      <c r="B86" s="60"/>
      <c r="C86" s="60"/>
      <c r="D86" s="60"/>
      <c r="E86" s="60"/>
      <c r="F86" s="60"/>
      <c r="G86" s="60"/>
      <c r="H86" s="60"/>
    </row>
    <row r="87" spans="1:8">
      <c r="A87" s="60"/>
      <c r="B87" s="60"/>
      <c r="C87" s="60"/>
      <c r="D87" s="60"/>
      <c r="E87" s="60"/>
      <c r="F87" s="60"/>
      <c r="G87" s="60"/>
      <c r="H87" s="60"/>
    </row>
    <row r="88" spans="1:8">
      <c r="A88" s="60"/>
      <c r="B88" s="60"/>
      <c r="C88" s="60"/>
      <c r="D88" s="60"/>
      <c r="E88" s="60"/>
      <c r="F88" s="60"/>
      <c r="G88" s="60"/>
      <c r="H88" s="60"/>
    </row>
    <row r="89" spans="1:8">
      <c r="A89" s="60"/>
      <c r="B89" s="60"/>
      <c r="C89" s="60"/>
      <c r="D89" s="60"/>
      <c r="E89" s="60"/>
      <c r="F89" s="60"/>
      <c r="G89" s="60"/>
      <c r="H89" s="60"/>
    </row>
    <row r="90" spans="1:8">
      <c r="A90" s="60"/>
      <c r="B90" s="60"/>
      <c r="C90" s="60"/>
      <c r="D90" s="60"/>
      <c r="E90" s="60"/>
      <c r="F90" s="60"/>
      <c r="G90" s="60"/>
      <c r="H90" s="60"/>
    </row>
    <row r="91" spans="1:8">
      <c r="A91" s="60"/>
      <c r="B91" s="60"/>
      <c r="C91" s="60"/>
      <c r="D91" s="60"/>
      <c r="E91" s="60"/>
      <c r="F91" s="60"/>
      <c r="G91" s="60"/>
      <c r="H91" s="60"/>
    </row>
    <row r="92" spans="1:8">
      <c r="A92" s="60"/>
      <c r="B92" s="60"/>
      <c r="C92" s="60"/>
      <c r="D92" s="60"/>
      <c r="E92" s="60"/>
      <c r="F92" s="60"/>
      <c r="G92" s="60"/>
      <c r="H92" s="60"/>
    </row>
    <row r="93" spans="1:8">
      <c r="A93" s="60"/>
      <c r="B93" s="60"/>
      <c r="C93" s="60"/>
      <c r="D93" s="60"/>
      <c r="E93" s="60"/>
      <c r="F93" s="60"/>
      <c r="G93" s="60"/>
      <c r="H93" s="60"/>
    </row>
    <row r="94" spans="1:8">
      <c r="A94" s="60"/>
      <c r="B94" s="60"/>
      <c r="C94" s="60"/>
      <c r="D94" s="60"/>
      <c r="E94" s="60"/>
      <c r="F94" s="60"/>
      <c r="G94" s="60"/>
      <c r="H94" s="60"/>
    </row>
    <row r="95" spans="1:8">
      <c r="A95" s="60"/>
      <c r="B95" s="60"/>
      <c r="C95" s="60"/>
      <c r="D95" s="60"/>
      <c r="E95" s="60"/>
      <c r="F95" s="60"/>
      <c r="G95" s="60"/>
      <c r="H95" s="60"/>
    </row>
    <row r="96" spans="1:8">
      <c r="A96" s="60"/>
      <c r="B96" s="60"/>
      <c r="C96" s="60"/>
      <c r="D96" s="60"/>
      <c r="E96" s="60"/>
      <c r="F96" s="60"/>
      <c r="G96" s="60"/>
      <c r="H96" s="60"/>
    </row>
    <row r="97" spans="1:8">
      <c r="A97" s="60"/>
      <c r="B97" s="60"/>
      <c r="C97" s="60"/>
      <c r="D97" s="60"/>
      <c r="E97" s="60"/>
      <c r="F97" s="60"/>
      <c r="G97" s="60"/>
      <c r="H97" s="60"/>
    </row>
    <row r="98" spans="1:8">
      <c r="A98" s="60"/>
      <c r="B98" s="60"/>
      <c r="C98" s="60"/>
      <c r="D98" s="60"/>
      <c r="E98" s="60"/>
      <c r="F98" s="60"/>
      <c r="G98" s="60"/>
      <c r="H98" s="60"/>
    </row>
    <row r="99" spans="1:8">
      <c r="A99" s="60"/>
      <c r="B99" s="60"/>
      <c r="C99" s="60"/>
      <c r="D99" s="60"/>
      <c r="E99" s="60"/>
      <c r="F99" s="60"/>
      <c r="G99" s="60"/>
      <c r="H99" s="60"/>
    </row>
    <row r="100" spans="1:8">
      <c r="A100" s="60"/>
      <c r="B100" s="60"/>
      <c r="C100" s="60"/>
      <c r="D100" s="60"/>
      <c r="E100" s="60"/>
      <c r="F100" s="60"/>
      <c r="G100" s="60"/>
      <c r="H100" s="60"/>
    </row>
    <row r="101" spans="1:8">
      <c r="A101" s="60"/>
      <c r="B101" s="60"/>
      <c r="C101" s="60"/>
      <c r="D101" s="60"/>
      <c r="E101" s="60"/>
      <c r="F101" s="60"/>
      <c r="G101" s="60"/>
      <c r="H101" s="60"/>
    </row>
    <row r="102" spans="1:8">
      <c r="A102" s="60"/>
      <c r="B102" s="60"/>
      <c r="C102" s="60"/>
      <c r="D102" s="60"/>
      <c r="E102" s="60"/>
      <c r="F102" s="60"/>
      <c r="G102" s="60"/>
      <c r="H102" s="60"/>
    </row>
    <row r="103" spans="1:8">
      <c r="A103" s="60"/>
      <c r="B103" s="60"/>
      <c r="C103" s="60"/>
      <c r="D103" s="60"/>
      <c r="E103" s="60"/>
      <c r="F103" s="60"/>
      <c r="G103" s="60"/>
      <c r="H103" s="60"/>
    </row>
    <row r="104" spans="1:8">
      <c r="A104" s="60"/>
      <c r="B104" s="60"/>
      <c r="C104" s="60"/>
      <c r="D104" s="60"/>
      <c r="E104" s="60"/>
      <c r="F104" s="60"/>
      <c r="G104" s="60"/>
      <c r="H104" s="60"/>
    </row>
    <row r="105" spans="1:8">
      <c r="A105" s="60"/>
      <c r="B105" s="60"/>
      <c r="C105" s="60"/>
      <c r="D105" s="60"/>
      <c r="E105" s="60"/>
      <c r="F105" s="60"/>
      <c r="G105" s="60"/>
      <c r="H105" s="60"/>
    </row>
    <row r="106" spans="1:8">
      <c r="A106" s="60"/>
      <c r="B106" s="60"/>
      <c r="C106" s="60"/>
      <c r="D106" s="60"/>
      <c r="E106" s="60"/>
      <c r="F106" s="60"/>
      <c r="G106" s="60"/>
      <c r="H106" s="60"/>
    </row>
    <row r="107" spans="1:8">
      <c r="A107" s="60"/>
      <c r="B107" s="60"/>
      <c r="C107" s="60"/>
      <c r="D107" s="60"/>
      <c r="E107" s="60"/>
      <c r="F107" s="60"/>
      <c r="G107" s="60"/>
      <c r="H107" s="60"/>
    </row>
    <row r="108" spans="1:8">
      <c r="A108" s="60"/>
      <c r="B108" s="60"/>
      <c r="C108" s="60"/>
      <c r="D108" s="60"/>
      <c r="E108" s="60"/>
      <c r="F108" s="60"/>
      <c r="G108" s="60"/>
      <c r="H108" s="60"/>
    </row>
    <row r="109" spans="1:8">
      <c r="A109" s="60"/>
      <c r="B109" s="60"/>
      <c r="C109" s="60"/>
      <c r="D109" s="60"/>
      <c r="E109" s="60"/>
      <c r="F109" s="60"/>
      <c r="G109" s="60"/>
      <c r="H109" s="60"/>
    </row>
    <row r="110" spans="1:8">
      <c r="A110" s="60"/>
      <c r="B110" s="60"/>
      <c r="C110" s="60"/>
      <c r="D110" s="60"/>
      <c r="E110" s="60"/>
      <c r="F110" s="60"/>
      <c r="G110" s="60"/>
      <c r="H110" s="60"/>
    </row>
    <row r="111" spans="1:8">
      <c r="A111" s="60"/>
      <c r="B111" s="60"/>
      <c r="C111" s="60"/>
      <c r="D111" s="60"/>
      <c r="E111" s="60"/>
      <c r="F111" s="60"/>
      <c r="G111" s="60"/>
      <c r="H111" s="60"/>
    </row>
    <row r="112" spans="1:8">
      <c r="A112" s="60"/>
      <c r="B112" s="60"/>
      <c r="C112" s="60"/>
      <c r="D112" s="60"/>
      <c r="E112" s="60"/>
      <c r="F112" s="60"/>
      <c r="G112" s="60"/>
      <c r="H112" s="60"/>
    </row>
    <row r="113" spans="1:8">
      <c r="A113" s="60"/>
      <c r="B113" s="60"/>
      <c r="C113" s="60"/>
      <c r="D113" s="60"/>
      <c r="E113" s="60"/>
      <c r="F113" s="60"/>
      <c r="G113" s="60"/>
      <c r="H113" s="60"/>
    </row>
    <row r="114" spans="1:8">
      <c r="A114" s="60"/>
      <c r="B114" s="60"/>
      <c r="C114" s="60"/>
      <c r="D114" s="60"/>
      <c r="E114" s="60"/>
      <c r="F114" s="60"/>
      <c r="G114" s="60"/>
      <c r="H114" s="60"/>
    </row>
    <row r="115" spans="1:8">
      <c r="A115" s="60"/>
      <c r="B115" s="60"/>
      <c r="C115" s="60"/>
      <c r="D115" s="60"/>
      <c r="E115" s="60"/>
      <c r="F115" s="60"/>
      <c r="G115" s="60"/>
      <c r="H115" s="60"/>
    </row>
    <row r="116" spans="1:8">
      <c r="A116" s="60"/>
      <c r="B116" s="60"/>
      <c r="C116" s="60"/>
      <c r="D116" s="60"/>
      <c r="E116" s="60"/>
      <c r="F116" s="60"/>
    </row>
  </sheetData>
  <sheetProtection algorithmName="SHA-512" hashValue="GWvYL5qO6DdO8HkaT+APQfIicrpcL5NVFGV6a+nFX2pycy31kXWL/j/IVVIlZuVocIk1QoccElK/7rTQLYbL/g==" saltValue="HBhWIHrP5bMWg8/iIp5/4g==" spinCount="100000" sheet="1" objects="1" scenarios="1"/>
  <mergeCells count="21">
    <mergeCell ref="A21:N21"/>
    <mergeCell ref="G23:G24"/>
    <mergeCell ref="C22:D22"/>
    <mergeCell ref="M22:N22"/>
    <mergeCell ref="C23:C24"/>
    <mergeCell ref="D23:D24"/>
    <mergeCell ref="E23:E24"/>
    <mergeCell ref="F23:F24"/>
    <mergeCell ref="N23:N24"/>
    <mergeCell ref="H23:H24"/>
    <mergeCell ref="I23:I24"/>
    <mergeCell ref="J23:J24"/>
    <mergeCell ref="K23:K24"/>
    <mergeCell ref="L23:L24"/>
    <mergeCell ref="M23:M24"/>
    <mergeCell ref="A2:P2"/>
    <mergeCell ref="A10:C11"/>
    <mergeCell ref="A12:C13"/>
    <mergeCell ref="A14:C15"/>
    <mergeCell ref="A16:C17"/>
    <mergeCell ref="F5:F7"/>
  </mergeCells>
  <dataValidations count="1">
    <dataValidation type="list" allowBlank="1" showInputMessage="1" showErrorMessage="1" sqref="F8:F9" xr:uid="{B61F9F6E-21FB-334D-8EB5-4C4C70B0608C}">
      <formula1>"Yes,No,In Part,-"</formula1>
    </dataValidation>
  </dataValidations>
  <printOptions horizontalCentered="1"/>
  <pageMargins left="1" right="0.62" top="0.75" bottom="0.42" header="0.3" footer="0.24"/>
  <pageSetup scale="50" orientation="landscape"/>
  <headerFooter>
    <oddFooter>&amp;C&amp;"-,Regular"&amp;10&amp;A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Q114"/>
  <sheetViews>
    <sheetView workbookViewId="0">
      <selection sqref="A1:M1"/>
    </sheetView>
  </sheetViews>
  <sheetFormatPr defaultColWidth="13.6640625" defaultRowHeight="15"/>
  <cols>
    <col min="1" max="1" width="23" style="9" customWidth="1"/>
    <col min="2" max="2" width="14.5546875" style="9" customWidth="1"/>
    <col min="3" max="4" width="11.33203125" style="9" customWidth="1"/>
    <col min="5" max="5" width="12.44140625" style="9" customWidth="1"/>
    <col min="6" max="6" width="10.88671875" style="9" customWidth="1"/>
    <col min="7" max="7" width="11.44140625" style="9" customWidth="1"/>
    <col min="8" max="8" width="11.88671875" style="9" customWidth="1"/>
    <col min="9" max="9" width="2.6640625" style="60" customWidth="1"/>
    <col min="10" max="10" width="10.88671875" style="9" customWidth="1"/>
    <col min="11" max="11" width="10.109375" style="9" customWidth="1"/>
    <col min="12" max="12" width="9.33203125" style="9" customWidth="1"/>
    <col min="13" max="13" width="11.109375" style="9" customWidth="1"/>
    <col min="14" max="14" width="11.44140625" style="9" customWidth="1"/>
    <col min="15" max="15" width="0" style="9" hidden="1" customWidth="1"/>
    <col min="16" max="16384" width="13.6640625" style="9"/>
  </cols>
  <sheetData>
    <row r="1" spans="1:16" ht="19.5" thickBot="1">
      <c r="A1" s="2026" t="s">
        <v>615</v>
      </c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L1" s="2026"/>
      <c r="M1" s="2026"/>
      <c r="N1" s="409"/>
      <c r="O1" s="409"/>
      <c r="P1" s="409"/>
    </row>
    <row r="2" spans="1:16" ht="17.100000000000001" customHeight="1">
      <c r="A2" s="2018" t="s">
        <v>166</v>
      </c>
      <c r="B2" s="2019"/>
      <c r="C2" s="2019"/>
      <c r="D2" s="2019"/>
      <c r="E2" s="2019"/>
      <c r="F2" s="2019"/>
      <c r="G2" s="2019"/>
      <c r="H2" s="2020"/>
      <c r="I2" s="1237"/>
      <c r="J2" s="2027" t="s">
        <v>95</v>
      </c>
      <c r="K2" s="2028"/>
      <c r="L2" s="2028"/>
      <c r="M2" s="2029"/>
      <c r="O2" s="2012" t="s">
        <v>534</v>
      </c>
    </row>
    <row r="3" spans="1:16" ht="20.100000000000001" customHeight="1">
      <c r="A3" s="865"/>
      <c r="B3" s="1044"/>
      <c r="C3" s="1044"/>
      <c r="D3" s="2038" t="s">
        <v>93</v>
      </c>
      <c r="E3" s="1238"/>
      <c r="F3" s="1239">
        <v>0.97599999999999998</v>
      </c>
      <c r="G3" s="1240">
        <v>0</v>
      </c>
      <c r="H3" s="1241">
        <v>2.4000000000000021E-2</v>
      </c>
      <c r="I3" s="1242"/>
      <c r="J3" s="1243" t="s">
        <v>438</v>
      </c>
      <c r="K3" s="2036"/>
      <c r="L3" s="2036"/>
      <c r="M3" s="2037"/>
      <c r="O3" s="2013"/>
      <c r="P3" s="48"/>
    </row>
    <row r="4" spans="1:16" ht="30" customHeight="1">
      <c r="A4" s="1244" t="s">
        <v>155</v>
      </c>
      <c r="B4" s="1245"/>
      <c r="C4" s="1245"/>
      <c r="D4" s="2039"/>
      <c r="E4" s="1246" t="s">
        <v>554</v>
      </c>
      <c r="F4" s="1247" t="s">
        <v>556</v>
      </c>
      <c r="G4" s="1248" t="s">
        <v>555</v>
      </c>
      <c r="H4" s="1249" t="s">
        <v>557</v>
      </c>
      <c r="I4" s="1242"/>
      <c r="J4" s="1250" t="s">
        <v>96</v>
      </c>
      <c r="K4" s="339" t="s">
        <v>449</v>
      </c>
      <c r="L4" s="1190"/>
      <c r="M4" s="1251"/>
      <c r="P4" s="48"/>
    </row>
    <row r="5" spans="1:16">
      <c r="A5" s="1252" t="str">
        <f>IF(K3=0,"-",K3)</f>
        <v>-</v>
      </c>
      <c r="B5" s="1044"/>
      <c r="C5" s="1245"/>
      <c r="D5" s="295">
        <v>1</v>
      </c>
      <c r="E5" s="1253">
        <f>K6</f>
        <v>0</v>
      </c>
      <c r="F5" s="1253">
        <f>E5-G5-H5</f>
        <v>0</v>
      </c>
      <c r="G5" s="297"/>
      <c r="H5" s="404"/>
      <c r="I5" s="1254"/>
      <c r="J5" s="1250"/>
      <c r="K5" s="876" t="s">
        <v>440</v>
      </c>
      <c r="L5" s="1044"/>
      <c r="M5" s="1251"/>
      <c r="P5" s="48"/>
    </row>
    <row r="6" spans="1:16" ht="15.75" customHeight="1">
      <c r="A6" s="1252" t="str">
        <f>IF(K11=0,"-",K11)</f>
        <v>-</v>
      </c>
      <c r="B6" s="1044"/>
      <c r="C6" s="1245"/>
      <c r="D6" s="295">
        <v>1</v>
      </c>
      <c r="E6" s="1253">
        <f>K13</f>
        <v>0</v>
      </c>
      <c r="F6" s="1253">
        <f t="shared" ref="F6:F20" si="0">E6-G6-H6</f>
        <v>0</v>
      </c>
      <c r="G6" s="297"/>
      <c r="H6" s="404"/>
      <c r="I6" s="1254"/>
      <c r="J6" s="1255" t="s">
        <v>202</v>
      </c>
      <c r="K6" s="347"/>
      <c r="L6" s="1256" t="s">
        <v>245</v>
      </c>
      <c r="M6" s="298"/>
      <c r="O6" s="283">
        <f>('Source and Uses'!$K$6*('Source and Uses'!$L$9/12)*'Source and Uses'!$M$6*'Source and Uses'!$L$10)</f>
        <v>0</v>
      </c>
      <c r="P6" s="48"/>
    </row>
    <row r="7" spans="1:16" ht="15" customHeight="1">
      <c r="A7" s="1257" t="str">
        <f t="shared" ref="A7:B8" si="1">A40</f>
        <v>-</v>
      </c>
      <c r="B7" s="2024" t="str">
        <f t="shared" si="1"/>
        <v>Subordinate Hard Loan</v>
      </c>
      <c r="C7" s="2025"/>
      <c r="D7" s="295">
        <v>1</v>
      </c>
      <c r="E7" s="1253">
        <f>+E40*D7</f>
        <v>0</v>
      </c>
      <c r="F7" s="1253">
        <f t="shared" si="0"/>
        <v>0</v>
      </c>
      <c r="G7" s="297"/>
      <c r="H7" s="404"/>
      <c r="I7" s="1254"/>
      <c r="J7" s="2032" t="s">
        <v>559</v>
      </c>
      <c r="K7" s="2033"/>
      <c r="L7" s="1258" t="s">
        <v>558</v>
      </c>
      <c r="M7" s="298"/>
      <c r="O7" s="283">
        <f>('Source and Uses'!$K$6*('Source and Uses'!$L$9/12)*'Source and Uses'!$M$7*'Source and Uses'!$L$10)</f>
        <v>0</v>
      </c>
      <c r="P7" s="48"/>
    </row>
    <row r="8" spans="1:16">
      <c r="A8" s="1257" t="str">
        <f t="shared" si="1"/>
        <v>-</v>
      </c>
      <c r="B8" s="2024" t="str">
        <f t="shared" si="1"/>
        <v>Subordinate Hard Loan</v>
      </c>
      <c r="C8" s="2025"/>
      <c r="D8" s="295">
        <v>1</v>
      </c>
      <c r="E8" s="1253">
        <f>+E41*D8</f>
        <v>0</v>
      </c>
      <c r="F8" s="1253">
        <f t="shared" si="0"/>
        <v>0</v>
      </c>
      <c r="G8" s="297"/>
      <c r="H8" s="404">
        <v>0</v>
      </c>
      <c r="I8" s="1254"/>
      <c r="J8" s="2034"/>
      <c r="K8" s="2035"/>
      <c r="L8" s="1259" t="s">
        <v>421</v>
      </c>
      <c r="M8" s="1260">
        <f>M6-M7</f>
        <v>0</v>
      </c>
      <c r="O8" s="283">
        <f>('Source and Uses'!$K$6*('Source and Uses'!$L$9/12)*'Source and Uses'!$M$8*'Source and Uses'!$L$10)</f>
        <v>0</v>
      </c>
      <c r="P8" s="48"/>
    </row>
    <row r="9" spans="1:16">
      <c r="A9" s="1257" t="str">
        <f>A43</f>
        <v>Oakland City Loan(s)</v>
      </c>
      <c r="B9" s="2024" t="str">
        <f>B43</f>
        <v>Subordinate Soft Loan</v>
      </c>
      <c r="C9" s="2025"/>
      <c r="D9" s="295">
        <v>1</v>
      </c>
      <c r="E9" s="1253">
        <f>+E43*D9</f>
        <v>0</v>
      </c>
      <c r="F9" s="1253">
        <f t="shared" si="0"/>
        <v>0</v>
      </c>
      <c r="G9" s="297"/>
      <c r="H9" s="404"/>
      <c r="I9" s="1254"/>
      <c r="J9" s="1261" t="s">
        <v>125</v>
      </c>
      <c r="K9" s="1262"/>
      <c r="L9" s="299"/>
      <c r="M9" s="1263"/>
      <c r="O9" s="283"/>
      <c r="P9" s="48"/>
    </row>
    <row r="10" spans="1:16" ht="15.75" thickBot="1">
      <c r="A10" s="1257" t="str">
        <f>A44</f>
        <v>-</v>
      </c>
      <c r="B10" s="2024" t="str">
        <f>B44</f>
        <v>Subordinate Soft Loan</v>
      </c>
      <c r="C10" s="2025"/>
      <c r="D10" s="295">
        <v>1</v>
      </c>
      <c r="E10" s="1264">
        <f>E44*D10</f>
        <v>0</v>
      </c>
      <c r="F10" s="1253">
        <f t="shared" si="0"/>
        <v>0</v>
      </c>
      <c r="G10" s="296"/>
      <c r="H10" s="403"/>
      <c r="I10" s="1254"/>
      <c r="J10" s="1265" t="s">
        <v>426</v>
      </c>
      <c r="K10" s="371"/>
      <c r="L10" s="300"/>
      <c r="M10" s="1128"/>
      <c r="O10" s="283"/>
      <c r="P10" s="48"/>
    </row>
    <row r="11" spans="1:16">
      <c r="A11" s="1257" t="str">
        <f>A47</f>
        <v>-</v>
      </c>
      <c r="B11" s="2024" t="str">
        <f>B47</f>
        <v>Subordinate Soft Loan</v>
      </c>
      <c r="C11" s="2025"/>
      <c r="D11" s="295"/>
      <c r="E11" s="1266"/>
      <c r="F11" s="1253">
        <f t="shared" si="0"/>
        <v>0</v>
      </c>
      <c r="G11" s="297"/>
      <c r="H11" s="404"/>
      <c r="I11" s="1254"/>
      <c r="J11" s="1267" t="s">
        <v>439</v>
      </c>
      <c r="K11" s="802"/>
      <c r="L11" s="803"/>
      <c r="M11" s="804"/>
      <c r="O11" s="283"/>
      <c r="P11" s="48"/>
    </row>
    <row r="12" spans="1:16">
      <c r="A12" s="1257" t="str">
        <f>A48</f>
        <v>-</v>
      </c>
      <c r="B12" s="2024" t="str">
        <f>B48</f>
        <v>Subordinate Soft Loan</v>
      </c>
      <c r="C12" s="2025"/>
      <c r="D12" s="295"/>
      <c r="E12" s="1266"/>
      <c r="F12" s="1253"/>
      <c r="G12" s="297"/>
      <c r="H12" s="404"/>
      <c r="I12" s="1254"/>
      <c r="J12" s="1268" t="s">
        <v>96</v>
      </c>
      <c r="K12" s="1269" t="s">
        <v>156</v>
      </c>
      <c r="L12" s="1044"/>
      <c r="M12" s="1270"/>
      <c r="O12" s="283"/>
      <c r="P12" s="48"/>
    </row>
    <row r="13" spans="1:16" ht="15.75">
      <c r="A13" s="1257" t="str">
        <f>A49</f>
        <v>Interest Income</v>
      </c>
      <c r="B13" s="922"/>
      <c r="C13" s="922"/>
      <c r="D13" s="295"/>
      <c r="E13" s="1266"/>
      <c r="F13" s="1253"/>
      <c r="G13" s="297"/>
      <c r="H13" s="404"/>
      <c r="I13" s="1254"/>
      <c r="J13" s="1255" t="s">
        <v>202</v>
      </c>
      <c r="K13" s="366"/>
      <c r="L13" s="1256" t="s">
        <v>245</v>
      </c>
      <c r="M13" s="298">
        <v>0</v>
      </c>
      <c r="O13" s="283">
        <f>+('Source and Uses'!$K$13*('Source and Uses'!$L$16/12)*'Source and Uses'!$M$13*'Source and Uses'!$L$17)</f>
        <v>0</v>
      </c>
      <c r="P13" s="48"/>
    </row>
    <row r="14" spans="1:16" ht="15" customHeight="1">
      <c r="A14" s="1257" t="str">
        <f>A50</f>
        <v>GP Equity</v>
      </c>
      <c r="B14" s="922"/>
      <c r="C14" s="922"/>
      <c r="D14" s="295"/>
      <c r="E14" s="1266"/>
      <c r="F14" s="1253"/>
      <c r="G14" s="297"/>
      <c r="H14" s="404"/>
      <c r="I14" s="1093"/>
      <c r="J14" s="2032" t="s">
        <v>559</v>
      </c>
      <c r="K14" s="2033"/>
      <c r="L14" s="1258" t="s">
        <v>558</v>
      </c>
      <c r="M14" s="298">
        <v>0</v>
      </c>
      <c r="O14" s="283">
        <f>+('Source and Uses'!$K$13*('Source and Uses'!$L$16/12)*'Source and Uses'!$M$14*'Source and Uses'!$L$17)</f>
        <v>0</v>
      </c>
      <c r="P14" s="48"/>
    </row>
    <row r="15" spans="1:16" ht="15.75">
      <c r="A15" s="1257" t="s">
        <v>575</v>
      </c>
      <c r="B15" s="922"/>
      <c r="C15" s="922"/>
      <c r="D15" s="295"/>
      <c r="E15" s="1266"/>
      <c r="F15" s="1253">
        <f t="shared" si="0"/>
        <v>0</v>
      </c>
      <c r="G15" s="297"/>
      <c r="H15" s="404"/>
      <c r="I15" s="1254"/>
      <c r="J15" s="2034"/>
      <c r="K15" s="2035"/>
      <c r="L15" s="1259" t="s">
        <v>421</v>
      </c>
      <c r="M15" s="1260">
        <f>M13-M14</f>
        <v>0</v>
      </c>
      <c r="O15" s="283">
        <f>+('Source and Uses'!$K$13*('Source and Uses'!$L$16/12)*'Source and Uses'!$M$15*'Source and Uses'!$L$17)</f>
        <v>0</v>
      </c>
      <c r="P15" s="48"/>
    </row>
    <row r="16" spans="1:16">
      <c r="A16" s="1257" t="s">
        <v>565</v>
      </c>
      <c r="B16" s="1245"/>
      <c r="C16" s="1245"/>
      <c r="D16" s="363"/>
      <c r="E16" s="1264">
        <f>K20</f>
        <v>0</v>
      </c>
      <c r="F16" s="1253">
        <f t="shared" si="0"/>
        <v>0</v>
      </c>
      <c r="G16" s="297"/>
      <c r="H16" s="404"/>
      <c r="I16" s="1254"/>
      <c r="J16" s="1261" t="s">
        <v>125</v>
      </c>
      <c r="K16" s="1262"/>
      <c r="L16" s="299"/>
      <c r="M16" s="1263"/>
      <c r="O16" s="283"/>
      <c r="P16" s="48"/>
    </row>
    <row r="17" spans="1:17" ht="15.75" thickBot="1">
      <c r="A17" s="1257" t="s">
        <v>481</v>
      </c>
      <c r="B17" s="1245"/>
      <c r="C17" s="1245"/>
      <c r="D17" s="363">
        <v>0.15</v>
      </c>
      <c r="E17" s="1271">
        <f>+D17*E51</f>
        <v>0</v>
      </c>
      <c r="F17" s="1253">
        <f t="shared" si="0"/>
        <v>0</v>
      </c>
      <c r="G17" s="370"/>
      <c r="H17" s="405"/>
      <c r="I17" s="1254"/>
      <c r="J17" s="1265" t="s">
        <v>426</v>
      </c>
      <c r="K17" s="371"/>
      <c r="L17" s="300"/>
      <c r="M17" s="1128"/>
      <c r="O17" s="283"/>
      <c r="P17" s="48"/>
    </row>
    <row r="18" spans="1:17" ht="15" customHeight="1" thickBot="1">
      <c r="A18" s="1257" t="s">
        <v>563</v>
      </c>
      <c r="B18" s="2014" t="str">
        <f>B50</f>
        <v>Contributed Developer Fee</v>
      </c>
      <c r="C18" s="2014"/>
      <c r="D18" s="364"/>
      <c r="E18" s="1272">
        <f>E50</f>
        <v>0</v>
      </c>
      <c r="F18" s="1253">
        <f t="shared" si="0"/>
        <v>0</v>
      </c>
      <c r="G18" s="370"/>
      <c r="H18" s="405"/>
      <c r="I18" s="1254"/>
      <c r="J18" s="1267" t="s">
        <v>597</v>
      </c>
      <c r="K18" s="802"/>
      <c r="L18" s="803"/>
      <c r="M18" s="804"/>
      <c r="O18" s="283"/>
      <c r="P18" s="48"/>
      <c r="Q18" s="365">
        <f>Q30</f>
        <v>0</v>
      </c>
    </row>
    <row r="19" spans="1:17" ht="14.25" customHeight="1" thickBot="1">
      <c r="A19" s="1273" t="s">
        <v>505</v>
      </c>
      <c r="B19" s="1245"/>
      <c r="C19" s="1029"/>
      <c r="D19" s="1274"/>
      <c r="E19" s="1275">
        <f>E22-E20-SUM(E5:E18)</f>
        <v>0</v>
      </c>
      <c r="F19" s="1276">
        <f t="shared" si="0"/>
        <v>0</v>
      </c>
      <c r="G19" s="370"/>
      <c r="H19" s="405"/>
      <c r="I19" s="1277"/>
      <c r="J19" s="1268" t="s">
        <v>96</v>
      </c>
      <c r="K19" s="1269" t="s">
        <v>124</v>
      </c>
      <c r="L19" s="2030"/>
      <c r="M19" s="2031"/>
      <c r="O19" s="283"/>
      <c r="P19" s="48"/>
    </row>
    <row r="20" spans="1:17" ht="15.75">
      <c r="A20" s="1278" t="s">
        <v>501</v>
      </c>
      <c r="B20" s="1279"/>
      <c r="C20" s="1280"/>
      <c r="D20" s="1281"/>
      <c r="E20" s="1282">
        <f>SUM(M36:M42)</f>
        <v>0</v>
      </c>
      <c r="F20" s="1266">
        <f t="shared" si="0"/>
        <v>0</v>
      </c>
      <c r="G20" s="1361"/>
      <c r="H20" s="1362"/>
      <c r="I20" s="1277"/>
      <c r="J20" s="1283" t="s">
        <v>202</v>
      </c>
      <c r="K20" s="366"/>
      <c r="L20" s="1256" t="s">
        <v>245</v>
      </c>
      <c r="M20" s="298"/>
      <c r="O20" s="283">
        <f>+('Source and Uses'!$K$20*('Source and Uses'!$L$23/12)*'Source and Uses'!$M$20*'Source and Uses'!$L$24)</f>
        <v>0</v>
      </c>
      <c r="P20" s="48"/>
    </row>
    <row r="21" spans="1:17" ht="15" customHeight="1">
      <c r="A21" s="1104" t="s">
        <v>576</v>
      </c>
      <c r="B21" s="1284">
        <f>B22-SUM(B5:B20)</f>
        <v>0</v>
      </c>
      <c r="C21" s="1285"/>
      <c r="D21" s="1286"/>
      <c r="E21" s="1284">
        <f>E22-SUM(E5:E20)</f>
        <v>0</v>
      </c>
      <c r="F21" s="1266">
        <f>E21-G21-H21</f>
        <v>0</v>
      </c>
      <c r="G21" s="922"/>
      <c r="H21" s="1287"/>
      <c r="I21" s="1288"/>
      <c r="J21" s="2032" t="s">
        <v>559</v>
      </c>
      <c r="K21" s="2033"/>
      <c r="L21" s="1258" t="s">
        <v>558</v>
      </c>
      <c r="M21" s="298"/>
      <c r="O21" s="283">
        <f>+('Source and Uses'!$K$20*('Source and Uses'!$L$23/12)*'Source and Uses'!$M$21*'Source and Uses'!$L$24)</f>
        <v>0</v>
      </c>
      <c r="P21" s="48"/>
    </row>
    <row r="22" spans="1:17" ht="15.75" thickBot="1">
      <c r="A22" s="1289" t="s">
        <v>159</v>
      </c>
      <c r="B22" s="1279"/>
      <c r="C22" s="1290"/>
      <c r="D22" s="1291"/>
      <c r="E22" s="1292">
        <f>E35</f>
        <v>0</v>
      </c>
      <c r="F22" s="1292">
        <f>SUM(F5:F21)</f>
        <v>0</v>
      </c>
      <c r="G22" s="1293">
        <f>SUM(G5:G21)</f>
        <v>0</v>
      </c>
      <c r="H22" s="1294">
        <f>SUM(H5:H21)</f>
        <v>0</v>
      </c>
      <c r="I22" s="1288"/>
      <c r="J22" s="2034"/>
      <c r="K22" s="2035"/>
      <c r="L22" s="1259" t="s">
        <v>421</v>
      </c>
      <c r="M22" s="1260">
        <f>M20-M21</f>
        <v>0</v>
      </c>
      <c r="O22" s="283">
        <f>+('Source and Uses'!$K$20*('Source and Uses'!$L$23/12)*'Source and Uses'!$M$22*'Source and Uses'!$L$24)</f>
        <v>0</v>
      </c>
      <c r="P22" s="48"/>
    </row>
    <row r="23" spans="1:17" ht="15.75" thickTop="1">
      <c r="A23" s="1257"/>
      <c r="B23" s="1245"/>
      <c r="C23" s="1245"/>
      <c r="D23" s="1295"/>
      <c r="E23" s="1296"/>
      <c r="F23" s="1296"/>
      <c r="G23" s="1296"/>
      <c r="H23" s="1295"/>
      <c r="I23" s="1288"/>
      <c r="J23" s="1297" t="s">
        <v>125</v>
      </c>
      <c r="K23" s="1298"/>
      <c r="L23" s="299"/>
      <c r="M23" s="1263"/>
      <c r="P23" s="48"/>
    </row>
    <row r="24" spans="1:17" ht="15.75" thickBot="1">
      <c r="A24" s="1244" t="s">
        <v>160</v>
      </c>
      <c r="B24" s="1245"/>
      <c r="C24" s="1245"/>
      <c r="D24" s="1295"/>
      <c r="E24" s="1296"/>
      <c r="F24" s="1296"/>
      <c r="G24" s="1296"/>
      <c r="H24" s="1295"/>
      <c r="I24" s="1288"/>
      <c r="J24" s="1299" t="s">
        <v>426</v>
      </c>
      <c r="K24" s="1300"/>
      <c r="L24" s="300"/>
      <c r="M24" s="1128"/>
      <c r="P24" s="48"/>
    </row>
    <row r="25" spans="1:17" ht="15.75" thickBot="1">
      <c r="A25" s="1301" t="str">
        <f t="shared" ref="A25:A31" si="2">A56</f>
        <v>Acquisition Costs</v>
      </c>
      <c r="B25" s="1245"/>
      <c r="C25" s="1245"/>
      <c r="D25" s="301">
        <v>1</v>
      </c>
      <c r="E25" s="1302">
        <f t="shared" ref="E25:E31" si="3">+D25*E56</f>
        <v>0</v>
      </c>
      <c r="F25" s="1253">
        <f t="shared" ref="F25:F34" si="4">E25-G25-H25</f>
        <v>0</v>
      </c>
      <c r="G25" s="297"/>
      <c r="H25" s="404"/>
      <c r="I25" s="1288"/>
      <c r="J25" s="877"/>
      <c r="K25" s="876"/>
      <c r="L25" s="876"/>
      <c r="M25" s="876"/>
      <c r="O25" s="48"/>
      <c r="P25" s="48"/>
    </row>
    <row r="26" spans="1:17">
      <c r="A26" s="1301" t="str">
        <f t="shared" si="2"/>
        <v>Off-Site Improvements and Relocation</v>
      </c>
      <c r="B26" s="1245"/>
      <c r="C26" s="1245"/>
      <c r="D26" s="301">
        <v>1</v>
      </c>
      <c r="E26" s="1302">
        <f t="shared" si="3"/>
        <v>0</v>
      </c>
      <c r="F26" s="1253">
        <f t="shared" si="4"/>
        <v>0</v>
      </c>
      <c r="G26" s="297"/>
      <c r="H26" s="404"/>
      <c r="I26" s="1288"/>
      <c r="J26" s="2040" t="s">
        <v>2</v>
      </c>
      <c r="K26" s="2041"/>
      <c r="L26" s="1303"/>
      <c r="M26" s="1303"/>
      <c r="O26" s="59"/>
      <c r="P26" s="50"/>
    </row>
    <row r="27" spans="1:17">
      <c r="A27" s="1301" t="str">
        <f t="shared" si="2"/>
        <v>Hard Construction Costs</v>
      </c>
      <c r="B27" s="1245"/>
      <c r="C27" s="1245"/>
      <c r="D27" s="301">
        <v>1</v>
      </c>
      <c r="E27" s="1302">
        <f t="shared" si="3"/>
        <v>0</v>
      </c>
      <c r="F27" s="1253">
        <f t="shared" si="4"/>
        <v>0</v>
      </c>
      <c r="G27" s="297"/>
      <c r="H27" s="404"/>
      <c r="I27" s="1288"/>
      <c r="J27" s="2042"/>
      <c r="K27" s="2043"/>
      <c r="L27" s="1304"/>
      <c r="M27" s="876"/>
      <c r="O27" s="49"/>
      <c r="P27" s="48"/>
    </row>
    <row r="28" spans="1:17" ht="15" customHeight="1">
      <c r="A28" s="1301" t="str">
        <f t="shared" si="2"/>
        <v>Soft Costs</v>
      </c>
      <c r="B28" s="1245"/>
      <c r="C28" s="1245"/>
      <c r="D28" s="301">
        <v>1</v>
      </c>
      <c r="E28" s="1302">
        <f t="shared" si="3"/>
        <v>0</v>
      </c>
      <c r="F28" s="1253">
        <f t="shared" si="4"/>
        <v>0</v>
      </c>
      <c r="G28" s="297"/>
      <c r="H28" s="404"/>
      <c r="I28" s="1288"/>
      <c r="J28" s="2044"/>
      <c r="K28" s="2045"/>
      <c r="L28" s="1304"/>
      <c r="M28" s="876"/>
      <c r="O28" s="49"/>
      <c r="P28" s="51"/>
    </row>
    <row r="29" spans="1:17">
      <c r="A29" s="1301" t="str">
        <f t="shared" si="2"/>
        <v>Financing  and Carry Costs</v>
      </c>
      <c r="B29" s="1245"/>
      <c r="C29" s="1245"/>
      <c r="D29" s="301">
        <v>0.75</v>
      </c>
      <c r="E29" s="1302">
        <f t="shared" si="3"/>
        <v>0</v>
      </c>
      <c r="F29" s="1253">
        <f t="shared" si="4"/>
        <v>0</v>
      </c>
      <c r="G29" s="297"/>
      <c r="H29" s="404"/>
      <c r="I29" s="1288"/>
      <c r="J29" s="1305">
        <f>' Cash Flow'!F6</f>
        <v>1904</v>
      </c>
      <c r="K29" s="1306">
        <f>IFERROR(Amort1!R15,0)</f>
        <v>0</v>
      </c>
      <c r="L29" s="876"/>
      <c r="M29" s="876"/>
      <c r="O29" s="48"/>
      <c r="P29" s="48"/>
    </row>
    <row r="30" spans="1:17">
      <c r="A30" s="1301" t="str">
        <f t="shared" si="2"/>
        <v>Syndication Costs</v>
      </c>
      <c r="B30" s="1245"/>
      <c r="C30" s="1245"/>
      <c r="D30" s="301">
        <v>0.5</v>
      </c>
      <c r="E30" s="1302">
        <f t="shared" si="3"/>
        <v>0</v>
      </c>
      <c r="F30" s="1253">
        <f t="shared" si="4"/>
        <v>0</v>
      </c>
      <c r="G30" s="297"/>
      <c r="H30" s="1307"/>
      <c r="I30" s="1288"/>
      <c r="J30" s="1305">
        <f>J29+1</f>
        <v>1905</v>
      </c>
      <c r="K30" s="1308">
        <f>Amort1!R16</f>
        <v>0</v>
      </c>
      <c r="L30" s="876"/>
      <c r="M30" s="876"/>
      <c r="O30" s="48"/>
      <c r="P30" s="48"/>
    </row>
    <row r="31" spans="1:17">
      <c r="A31" s="1301" t="str">
        <f t="shared" si="2"/>
        <v>Reserves</v>
      </c>
      <c r="B31" s="1245"/>
      <c r="C31" s="1245"/>
      <c r="D31" s="301">
        <v>1</v>
      </c>
      <c r="E31" s="1302">
        <f t="shared" si="3"/>
        <v>0</v>
      </c>
      <c r="F31" s="1253">
        <f t="shared" si="4"/>
        <v>0</v>
      </c>
      <c r="G31" s="297"/>
      <c r="H31" s="1307"/>
      <c r="I31" s="1309"/>
      <c r="J31" s="1305">
        <f t="shared" ref="J31:J32" si="5">J30+1</f>
        <v>1906</v>
      </c>
      <c r="K31" s="1308">
        <f>Amort1!R17</f>
        <v>0</v>
      </c>
      <c r="L31" s="876"/>
      <c r="M31" s="876"/>
    </row>
    <row r="32" spans="1:17">
      <c r="A32" s="1257" t="str">
        <f>+A63</f>
        <v>Developer Fees / Costs</v>
      </c>
      <c r="B32" s="1245" t="s">
        <v>503</v>
      </c>
      <c r="C32" s="1245"/>
      <c r="D32" s="301">
        <v>0.5</v>
      </c>
      <c r="E32" s="1302">
        <f>+D32*C63</f>
        <v>0</v>
      </c>
      <c r="F32" s="1253">
        <f t="shared" si="4"/>
        <v>0</v>
      </c>
      <c r="G32" s="297"/>
      <c r="H32" s="404"/>
      <c r="I32" s="1309"/>
      <c r="J32" s="1305">
        <f t="shared" si="5"/>
        <v>1907</v>
      </c>
      <c r="K32" s="1308">
        <f>Amort1!R18</f>
        <v>0</v>
      </c>
      <c r="L32" s="876"/>
      <c r="M32" s="876"/>
    </row>
    <row r="33" spans="1:14" ht="15.75" thickBot="1">
      <c r="A33" s="1257" t="s">
        <v>564</v>
      </c>
      <c r="B33" s="1245"/>
      <c r="C33" s="1245"/>
      <c r="D33" s="1310"/>
      <c r="E33" s="1311">
        <f>E18</f>
        <v>0</v>
      </c>
      <c r="F33" s="1311">
        <f t="shared" ref="F33:G33" si="6">F18</f>
        <v>0</v>
      </c>
      <c r="G33" s="1363">
        <f t="shared" si="6"/>
        <v>0</v>
      </c>
      <c r="H33" s="404"/>
      <c r="I33" s="1309"/>
      <c r="J33" s="1312" t="s">
        <v>344</v>
      </c>
      <c r="K33" s="1313">
        <f>SUM(K29:K32)</f>
        <v>0</v>
      </c>
      <c r="L33" s="876"/>
      <c r="M33" s="876"/>
    </row>
    <row r="34" spans="1:14" ht="15.75" thickBot="1">
      <c r="A34" s="1257" t="s">
        <v>500</v>
      </c>
      <c r="B34" s="1245"/>
      <c r="C34" s="1245"/>
      <c r="D34" s="1314"/>
      <c r="E34" s="1315">
        <f>E35-SUM(E25:E33)</f>
        <v>0</v>
      </c>
      <c r="F34" s="1315">
        <f t="shared" si="4"/>
        <v>0</v>
      </c>
      <c r="G34" s="1363"/>
      <c r="H34" s="404"/>
      <c r="I34" s="1309"/>
      <c r="J34" s="877"/>
      <c r="K34" s="1316"/>
      <c r="L34" s="876"/>
      <c r="M34" s="876"/>
    </row>
    <row r="35" spans="1:14" ht="15.75" thickBot="1">
      <c r="A35" s="1273" t="s">
        <v>347</v>
      </c>
      <c r="B35" s="1245"/>
      <c r="C35" s="1245"/>
      <c r="D35" s="1317"/>
      <c r="E35" s="1318">
        <f>E54</f>
        <v>0</v>
      </c>
      <c r="F35" s="1318">
        <f>SUM(F25:F34)</f>
        <v>0</v>
      </c>
      <c r="G35" s="1318">
        <f>SUM(G25:G34)</f>
        <v>0</v>
      </c>
      <c r="H35" s="1318">
        <f>SUM(H25:H34)</f>
        <v>0</v>
      </c>
      <c r="I35" s="1309"/>
      <c r="J35" s="2021" t="s">
        <v>502</v>
      </c>
      <c r="K35" s="2022"/>
      <c r="L35" s="2022"/>
      <c r="M35" s="2023"/>
    </row>
    <row r="36" spans="1:14" ht="15.95" customHeight="1" thickTop="1">
      <c r="A36" s="1319"/>
      <c r="B36" s="1320"/>
      <c r="C36" s="1320"/>
      <c r="D36" s="1159"/>
      <c r="E36" s="1321"/>
      <c r="F36" s="1321"/>
      <c r="G36" s="1321"/>
      <c r="H36" s="1321"/>
      <c r="I36" s="1309"/>
      <c r="J36" s="1257" t="str">
        <f>A56</f>
        <v>Acquisition Costs</v>
      </c>
      <c r="K36" s="1322"/>
      <c r="L36" s="1044"/>
      <c r="M36" s="1323">
        <f t="shared" ref="M36:M43" si="7">E56-E25</f>
        <v>0</v>
      </c>
    </row>
    <row r="37" spans="1:14">
      <c r="A37" s="2015" t="s">
        <v>165</v>
      </c>
      <c r="B37" s="2016"/>
      <c r="C37" s="2016"/>
      <c r="D37" s="2016"/>
      <c r="E37" s="2016"/>
      <c r="F37" s="2016"/>
      <c r="G37" s="2016"/>
      <c r="H37" s="2017"/>
      <c r="I37" s="1309"/>
      <c r="J37" s="1257" t="str">
        <f>A57</f>
        <v>Off-Site Improvements and Relocation</v>
      </c>
      <c r="K37" s="1322"/>
      <c r="L37" s="1044"/>
      <c r="M37" s="1323">
        <f t="shared" si="7"/>
        <v>0</v>
      </c>
    </row>
    <row r="38" spans="1:14">
      <c r="A38" s="1324" t="s">
        <v>155</v>
      </c>
      <c r="B38" s="1325"/>
      <c r="C38" s="1325"/>
      <c r="D38" s="1325"/>
      <c r="E38" s="1326"/>
      <c r="F38" s="1326"/>
      <c r="G38" s="1326"/>
      <c r="H38" s="1327"/>
      <c r="I38" s="1309"/>
      <c r="J38" s="1257" t="str">
        <f>A58</f>
        <v>Hard Construction Costs</v>
      </c>
      <c r="K38" s="1322"/>
      <c r="L38" s="1044"/>
      <c r="M38" s="1323">
        <f t="shared" si="7"/>
        <v>0</v>
      </c>
    </row>
    <row r="39" spans="1:14">
      <c r="A39" s="1328" t="str">
        <f>IF('Stabilized Ops &amp; Debt'!K18=0,"-",'Stabilized Ops &amp; Debt'!K18)</f>
        <v>-</v>
      </c>
      <c r="B39" s="1325" t="s">
        <v>723</v>
      </c>
      <c r="C39" s="1325"/>
      <c r="D39" s="1325"/>
      <c r="E39" s="1329">
        <f>+'Stabilized Ops &amp; Debt'!K19</f>
        <v>0</v>
      </c>
      <c r="F39" s="1253">
        <f t="shared" ref="F39:F51" si="8">E39-G39-H39</f>
        <v>0</v>
      </c>
      <c r="G39" s="302"/>
      <c r="H39" s="406"/>
      <c r="I39" s="1309"/>
      <c r="J39" s="1257" t="str">
        <f>A59</f>
        <v>Soft Costs</v>
      </c>
      <c r="K39" s="1322"/>
      <c r="L39" s="1044"/>
      <c r="M39" s="1323">
        <f t="shared" si="7"/>
        <v>0</v>
      </c>
    </row>
    <row r="40" spans="1:14">
      <c r="A40" s="1328" t="str">
        <f>IF(+'Stabilized Ops &amp; Debt'!K27=0,"-",'Stabilized Ops &amp; Debt'!K27)</f>
        <v>-</v>
      </c>
      <c r="B40" s="1325" t="s">
        <v>754</v>
      </c>
      <c r="C40" s="1325"/>
      <c r="D40" s="1325"/>
      <c r="E40" s="1330">
        <f>+'Stabilized Ops &amp; Debt'!K28</f>
        <v>0</v>
      </c>
      <c r="F40" s="1253">
        <f t="shared" si="8"/>
        <v>0</v>
      </c>
      <c r="G40" s="302"/>
      <c r="H40" s="1331">
        <f>H7</f>
        <v>0</v>
      </c>
      <c r="I40" s="1309"/>
      <c r="J40" s="1257" t="str">
        <f>A60</f>
        <v>Financing  and Carry Costs</v>
      </c>
      <c r="K40" s="1322"/>
      <c r="L40" s="1044"/>
      <c r="M40" s="1323">
        <f t="shared" si="7"/>
        <v>0</v>
      </c>
    </row>
    <row r="41" spans="1:14" ht="14.1" customHeight="1">
      <c r="A41" s="1332" t="str">
        <f>IF(+'Stabilized Ops &amp; Debt'!K34=0,"-",'Stabilized Ops &amp; Debt'!K34)</f>
        <v>-</v>
      </c>
      <c r="B41" s="1325" t="s">
        <v>754</v>
      </c>
      <c r="C41" s="1325"/>
      <c r="D41" s="1325"/>
      <c r="E41" s="1329">
        <f>+'Stabilized Ops &amp; Debt'!K35</f>
        <v>0</v>
      </c>
      <c r="F41" s="1253">
        <f t="shared" si="8"/>
        <v>0</v>
      </c>
      <c r="G41" s="302"/>
      <c r="H41" s="1331">
        <f>H8</f>
        <v>0</v>
      </c>
      <c r="I41" s="1309"/>
      <c r="J41" s="1257" t="str">
        <f t="shared" ref="J41:J43" si="9">A61</f>
        <v>Syndication Costs</v>
      </c>
      <c r="K41" s="1322"/>
      <c r="L41" s="1044"/>
      <c r="M41" s="1323">
        <f t="shared" si="7"/>
        <v>0</v>
      </c>
    </row>
    <row r="42" spans="1:14">
      <c r="A42" s="1332" t="str">
        <f>IF(+'Stabilized Ops &amp; Debt'!K41=0,"-",'Stabilized Ops &amp; Debt'!K41)</f>
        <v>-</v>
      </c>
      <c r="B42" s="1325" t="s">
        <v>754</v>
      </c>
      <c r="C42" s="1325"/>
      <c r="D42" s="1325"/>
      <c r="E42" s="1329">
        <f>'Stabilized Ops &amp; Debt'!K42</f>
        <v>0</v>
      </c>
      <c r="F42" s="1253"/>
      <c r="G42" s="302"/>
      <c r="H42" s="1331"/>
      <c r="I42" s="1309"/>
      <c r="J42" s="1257" t="str">
        <f t="shared" si="9"/>
        <v>Reserves</v>
      </c>
      <c r="K42" s="1322"/>
      <c r="L42" s="1044"/>
      <c r="M42" s="1323">
        <f t="shared" si="7"/>
        <v>0</v>
      </c>
    </row>
    <row r="43" spans="1:14">
      <c r="A43" s="1333" t="str">
        <f>+'Stabilized Ops &amp; Debt'!K54</f>
        <v>Oakland City Loan(s)</v>
      </c>
      <c r="B43" s="1325" t="s">
        <v>755</v>
      </c>
      <c r="C43" s="1325"/>
      <c r="D43" s="1325"/>
      <c r="E43" s="1329">
        <f>'Stabilized Ops &amp; Debt'!K55</f>
        <v>0</v>
      </c>
      <c r="F43" s="1253">
        <f t="shared" si="8"/>
        <v>0</v>
      </c>
      <c r="G43" s="302"/>
      <c r="H43" s="1331">
        <f>H9</f>
        <v>0</v>
      </c>
      <c r="I43" s="1309"/>
      <c r="J43" s="1257" t="str">
        <f t="shared" si="9"/>
        <v>Developer Fees / Costs</v>
      </c>
      <c r="K43" s="1334"/>
      <c r="L43" s="1044"/>
      <c r="M43" s="1323">
        <f t="shared" si="7"/>
        <v>0</v>
      </c>
    </row>
    <row r="44" spans="1:14" ht="15.75" thickBot="1">
      <c r="A44" s="1335" t="str">
        <f>IF('Stabilized Ops &amp; Debt'!K59=0,"-",'Stabilized Ops &amp; Debt'!K59)</f>
        <v>-</v>
      </c>
      <c r="B44" s="1325" t="s">
        <v>755</v>
      </c>
      <c r="C44" s="1336"/>
      <c r="D44" s="1337"/>
      <c r="E44" s="1338">
        <f>'Stabilized Ops &amp; Debt'!K60</f>
        <v>0</v>
      </c>
      <c r="F44" s="1253">
        <f t="shared" si="8"/>
        <v>0</v>
      </c>
      <c r="G44" s="302"/>
      <c r="H44" s="1331">
        <f>H10</f>
        <v>0</v>
      </c>
      <c r="I44" s="1309"/>
      <c r="J44" s="1339" t="s">
        <v>114</v>
      </c>
      <c r="K44" s="1340"/>
      <c r="L44" s="1087"/>
      <c r="M44" s="1341">
        <f>SUM(M36:M43)</f>
        <v>0</v>
      </c>
    </row>
    <row r="45" spans="1:14" ht="15.75" thickBot="1">
      <c r="A45" s="1335" t="str">
        <f>IF('Stabilized Ops &amp; Debt'!K64=0,"-",'Stabilized Ops &amp; Debt'!K64)</f>
        <v>-</v>
      </c>
      <c r="B45" s="1325" t="s">
        <v>755</v>
      </c>
      <c r="C45" s="1336"/>
      <c r="D45" s="1337"/>
      <c r="E45" s="1338">
        <f>'Stabilized Ops &amp; Debt'!K65</f>
        <v>0</v>
      </c>
      <c r="F45" s="1253"/>
      <c r="G45" s="302"/>
      <c r="H45" s="1331"/>
      <c r="I45" s="1309"/>
      <c r="J45" s="876"/>
      <c r="K45" s="876"/>
      <c r="L45" s="876"/>
      <c r="M45" s="1342"/>
    </row>
    <row r="46" spans="1:14">
      <c r="A46" s="1335" t="str">
        <f>IF('Stabilized Ops &amp; Debt'!K69=0,"-",'Stabilized Ops &amp; Debt'!K69)</f>
        <v>-</v>
      </c>
      <c r="B46" s="1325" t="s">
        <v>755</v>
      </c>
      <c r="C46" s="1336"/>
      <c r="D46" s="1337"/>
      <c r="E46" s="1338">
        <f>'Stabilized Ops &amp; Debt'!K70</f>
        <v>0</v>
      </c>
      <c r="F46" s="1253"/>
      <c r="G46" s="302"/>
      <c r="H46" s="1331"/>
      <c r="I46" s="1309"/>
      <c r="J46" s="2021" t="s">
        <v>504</v>
      </c>
      <c r="K46" s="2022"/>
      <c r="L46" s="2022"/>
      <c r="M46" s="2023"/>
    </row>
    <row r="47" spans="1:14">
      <c r="A47" s="1335" t="str">
        <f>IF('Stabilized Ops &amp; Debt'!K74=0,"-",'Stabilized Ops &amp; Debt'!K74)</f>
        <v>-</v>
      </c>
      <c r="B47" s="1325" t="s">
        <v>755</v>
      </c>
      <c r="C47" s="1336"/>
      <c r="D47" s="1337"/>
      <c r="E47" s="1338">
        <f>'Stabilized Ops &amp; Debt'!K75</f>
        <v>0</v>
      </c>
      <c r="F47" s="1253">
        <f t="shared" si="8"/>
        <v>0</v>
      </c>
      <c r="G47" s="302"/>
      <c r="H47" s="406"/>
      <c r="I47" s="1343"/>
      <c r="J47" s="1257" t="s">
        <v>577</v>
      </c>
      <c r="K47" s="1322"/>
      <c r="L47" s="1044"/>
      <c r="M47" s="1323">
        <f>E32</f>
        <v>0</v>
      </c>
      <c r="N47" s="52"/>
    </row>
    <row r="48" spans="1:14">
      <c r="A48" s="1335" t="str">
        <f>IF('Stabilized Ops &amp; Debt'!K79=0,"-",'Stabilized Ops &amp; Debt'!K79)</f>
        <v>-</v>
      </c>
      <c r="B48" s="1325" t="s">
        <v>755</v>
      </c>
      <c r="C48" s="1336"/>
      <c r="D48" s="1337"/>
      <c r="E48" s="1338">
        <f>'Stabilized Ops &amp; Debt'!K80</f>
        <v>0</v>
      </c>
      <c r="F48" s="1253">
        <f t="shared" si="8"/>
        <v>0</v>
      </c>
      <c r="G48" s="302"/>
      <c r="H48" s="406"/>
      <c r="I48" s="1343"/>
      <c r="J48" s="1257" t="s">
        <v>578</v>
      </c>
      <c r="K48" s="1322"/>
      <c r="L48" s="1044"/>
      <c r="M48" s="1323">
        <f>C63-E32</f>
        <v>0</v>
      </c>
      <c r="N48" s="52"/>
    </row>
    <row r="49" spans="1:13" ht="15" customHeight="1">
      <c r="A49" s="1301" t="s">
        <v>157</v>
      </c>
      <c r="B49" s="1325"/>
      <c r="C49" s="1325"/>
      <c r="D49" s="1325"/>
      <c r="E49" s="302">
        <v>0</v>
      </c>
      <c r="F49" s="1253">
        <f t="shared" si="8"/>
        <v>0</v>
      </c>
      <c r="G49" s="302"/>
      <c r="H49" s="406"/>
      <c r="I49" s="1343"/>
      <c r="J49" s="1257" t="s">
        <v>579</v>
      </c>
      <c r="K49" s="1322"/>
      <c r="L49" s="1044"/>
      <c r="M49" s="1323">
        <f>E63-C63-M50</f>
        <v>0</v>
      </c>
    </row>
    <row r="50" spans="1:13">
      <c r="A50" s="1301" t="s">
        <v>158</v>
      </c>
      <c r="B50" s="2014" t="s">
        <v>564</v>
      </c>
      <c r="C50" s="2014"/>
      <c r="D50" s="1325"/>
      <c r="E50" s="370"/>
      <c r="F50" s="1253">
        <f t="shared" si="8"/>
        <v>0</v>
      </c>
      <c r="G50" s="338"/>
      <c r="H50" s="1364"/>
      <c r="I50" s="1343"/>
      <c r="J50" s="1257" t="s">
        <v>580</v>
      </c>
      <c r="K50" s="1322"/>
      <c r="L50" s="1044"/>
      <c r="M50" s="1323">
        <f>E50</f>
        <v>0</v>
      </c>
    </row>
    <row r="51" spans="1:13" ht="18.75" customHeight="1" thickBot="1">
      <c r="A51" s="1301" t="s">
        <v>481</v>
      </c>
      <c r="B51" s="1325"/>
      <c r="C51" s="1325"/>
      <c r="D51" s="1325"/>
      <c r="E51" s="1330">
        <f>'TC Analysis'!K49</f>
        <v>0</v>
      </c>
      <c r="F51" s="1253">
        <f t="shared" si="8"/>
        <v>0</v>
      </c>
      <c r="G51" s="302"/>
      <c r="H51" s="406"/>
      <c r="I51" s="1343"/>
      <c r="J51" s="1339" t="s">
        <v>114</v>
      </c>
      <c r="K51" s="1344"/>
      <c r="L51" s="1087"/>
      <c r="M51" s="1341">
        <f>SUM(M47:M50)</f>
        <v>0</v>
      </c>
    </row>
    <row r="52" spans="1:13" ht="15.75" thickBot="1">
      <c r="A52" s="1301" t="s">
        <v>163</v>
      </c>
      <c r="B52" s="1325"/>
      <c r="C52" s="1325"/>
      <c r="D52" s="1325"/>
      <c r="E52" s="1345"/>
      <c r="F52" s="1329"/>
      <c r="G52" s="302"/>
      <c r="H52" s="406"/>
      <c r="I52" s="1343"/>
      <c r="J52" s="1245"/>
      <c r="K52" s="1322"/>
      <c r="L52" s="1044"/>
      <c r="M52" s="330"/>
    </row>
    <row r="53" spans="1:13" ht="16.5" thickBot="1">
      <c r="A53" s="1346" t="s">
        <v>505</v>
      </c>
      <c r="B53" s="1336"/>
      <c r="C53" s="1029"/>
      <c r="D53" s="1029"/>
      <c r="E53" s="1347">
        <f>E54-SUM(E39:E52)</f>
        <v>0</v>
      </c>
      <c r="F53" s="1347">
        <f>E53</f>
        <v>0</v>
      </c>
      <c r="G53" s="1348">
        <f>SUM(G39:G52)</f>
        <v>0</v>
      </c>
      <c r="H53" s="1349">
        <v>0</v>
      </c>
      <c r="I53" s="1343"/>
      <c r="J53" s="2021" t="s">
        <v>713</v>
      </c>
      <c r="K53" s="2022"/>
      <c r="L53" s="2022"/>
      <c r="M53" s="2023"/>
    </row>
    <row r="54" spans="1:13" ht="15.75" thickBot="1">
      <c r="A54" s="1350" t="s">
        <v>159</v>
      </c>
      <c r="B54" s="1325"/>
      <c r="C54" s="1351"/>
      <c r="D54" s="1325"/>
      <c r="E54" s="1352">
        <f>E64</f>
        <v>0</v>
      </c>
      <c r="F54" s="1353">
        <f>SUM(F39:F53)</f>
        <v>0</v>
      </c>
      <c r="G54" s="1353">
        <f>SUM(G39:G52)</f>
        <v>0</v>
      </c>
      <c r="H54" s="1354">
        <f>SUM(H39:H52)</f>
        <v>0</v>
      </c>
      <c r="I54" s="1343"/>
      <c r="J54" s="1257" t="s">
        <v>742</v>
      </c>
      <c r="K54" s="1322"/>
      <c r="L54" s="1044"/>
      <c r="M54" s="1323">
        <f>'Dev Costs'!L120</f>
        <v>0</v>
      </c>
    </row>
    <row r="55" spans="1:13" ht="15.75" thickTop="1">
      <c r="A55" s="1324" t="s">
        <v>160</v>
      </c>
      <c r="B55" s="1325"/>
      <c r="C55" s="1325"/>
      <c r="D55" s="1325"/>
      <c r="E55" s="982"/>
      <c r="F55" s="982"/>
      <c r="G55" s="982"/>
      <c r="H55" s="981"/>
      <c r="I55" s="1343"/>
      <c r="J55" s="1257" t="s">
        <v>747</v>
      </c>
      <c r="K55" s="1322"/>
      <c r="L55" s="1044"/>
      <c r="M55" s="1323">
        <f>'Dev Costs'!F21</f>
        <v>0</v>
      </c>
    </row>
    <row r="56" spans="1:13" ht="16.5" customHeight="1">
      <c r="A56" s="1301" t="s">
        <v>178</v>
      </c>
      <c r="B56" s="1325"/>
      <c r="C56" s="1325"/>
      <c r="D56" s="1325"/>
      <c r="E56" s="1329">
        <f>'Dev Costs'!F21</f>
        <v>0</v>
      </c>
      <c r="F56" s="1253">
        <f t="shared" ref="F56:F62" si="10">E56-G56-H56</f>
        <v>0</v>
      </c>
      <c r="G56" s="1329">
        <f>'Dev Costs'!J21</f>
        <v>0</v>
      </c>
      <c r="H56" s="1349">
        <f>'Dev Costs'!K21</f>
        <v>0</v>
      </c>
      <c r="I56" s="1343"/>
      <c r="J56" s="1257" t="s">
        <v>743</v>
      </c>
      <c r="K56" s="1322"/>
      <c r="L56" s="1044"/>
      <c r="M56" s="1323">
        <f>M54+M55</f>
        <v>0</v>
      </c>
    </row>
    <row r="57" spans="1:13" ht="15.75" customHeight="1">
      <c r="A57" s="1301" t="s">
        <v>571</v>
      </c>
      <c r="B57" s="1325"/>
      <c r="C57" s="1325"/>
      <c r="D57" s="1325"/>
      <c r="E57" s="1329">
        <f>'Dev Costs'!F27</f>
        <v>0</v>
      </c>
      <c r="F57" s="1253">
        <f t="shared" si="10"/>
        <v>0</v>
      </c>
      <c r="G57" s="1329">
        <f>'Dev Costs'!J27</f>
        <v>0</v>
      </c>
      <c r="H57" s="1349">
        <f>'Dev Costs'!K27</f>
        <v>0</v>
      </c>
      <c r="I57" s="1343"/>
      <c r="J57" s="1257" t="s">
        <v>744</v>
      </c>
      <c r="K57" s="1322"/>
      <c r="L57" s="1044"/>
      <c r="M57" s="1323">
        <f>K6+K20</f>
        <v>0</v>
      </c>
    </row>
    <row r="58" spans="1:13" ht="16.5" thickBot="1">
      <c r="A58" s="1301" t="s">
        <v>570</v>
      </c>
      <c r="B58" s="1325"/>
      <c r="C58" s="1325"/>
      <c r="D58" s="1325"/>
      <c r="E58" s="1329">
        <f>'Dev Costs'!F40</f>
        <v>0</v>
      </c>
      <c r="F58" s="1253">
        <f t="shared" si="10"/>
        <v>0</v>
      </c>
      <c r="G58" s="1329">
        <f>'Dev Costs'!J40</f>
        <v>0</v>
      </c>
      <c r="H58" s="1349">
        <f>'Dev Costs'!K40</f>
        <v>0</v>
      </c>
      <c r="I58" s="922"/>
      <c r="J58" s="1339" t="s">
        <v>745</v>
      </c>
      <c r="K58" s="1344"/>
      <c r="L58" s="1087"/>
      <c r="M58" s="1355">
        <f>IFERROR(M57/M56,0)</f>
        <v>0</v>
      </c>
    </row>
    <row r="59" spans="1:13" ht="15.75">
      <c r="A59" s="1301" t="s">
        <v>567</v>
      </c>
      <c r="B59" s="1325"/>
      <c r="C59" s="1325"/>
      <c r="D59" s="1325"/>
      <c r="E59" s="1329">
        <f>'Dev Costs'!F68</f>
        <v>0</v>
      </c>
      <c r="F59" s="1253">
        <f t="shared" si="10"/>
        <v>0</v>
      </c>
      <c r="G59" s="1329">
        <f>'Dev Costs'!J68</f>
        <v>0</v>
      </c>
      <c r="H59" s="1349">
        <f>'Dev Costs'!K68</f>
        <v>0</v>
      </c>
      <c r="I59" s="922"/>
      <c r="J59" s="922"/>
      <c r="K59" s="876"/>
      <c r="L59" s="876"/>
      <c r="M59" s="876"/>
    </row>
    <row r="60" spans="1:13" ht="15.75">
      <c r="A60" s="1301" t="s">
        <v>574</v>
      </c>
      <c r="B60" s="1325"/>
      <c r="C60" s="1325"/>
      <c r="D60" s="1325"/>
      <c r="E60" s="1329">
        <f>'Dev Costs'!F90</f>
        <v>0</v>
      </c>
      <c r="F60" s="1253">
        <f t="shared" si="10"/>
        <v>0</v>
      </c>
      <c r="G60" s="1329">
        <f>'Dev Costs'!J90</f>
        <v>0</v>
      </c>
      <c r="H60" s="1349">
        <f>'Dev Costs'!K90</f>
        <v>0</v>
      </c>
      <c r="I60" s="922"/>
      <c r="J60" s="922"/>
      <c r="K60" s="876"/>
      <c r="L60" s="876"/>
      <c r="M60" s="876"/>
    </row>
    <row r="61" spans="1:13" ht="15.75">
      <c r="A61" s="1301" t="s">
        <v>568</v>
      </c>
      <c r="B61" s="1325"/>
      <c r="C61" s="1325"/>
      <c r="D61" s="1325"/>
      <c r="E61" s="1329">
        <f>'Dev Costs'!F102</f>
        <v>0</v>
      </c>
      <c r="F61" s="1253">
        <f t="shared" si="10"/>
        <v>0</v>
      </c>
      <c r="G61" s="1329">
        <f>'Dev Costs'!J102</f>
        <v>0</v>
      </c>
      <c r="H61" s="1349">
        <f>'Dev Costs'!K102</f>
        <v>0</v>
      </c>
      <c r="I61" s="922"/>
      <c r="J61" s="922"/>
      <c r="K61" s="876"/>
      <c r="L61" s="876"/>
      <c r="M61" s="876"/>
    </row>
    <row r="62" spans="1:13" ht="15.75">
      <c r="A62" s="1301" t="s">
        <v>162</v>
      </c>
      <c r="B62" s="1325"/>
      <c r="C62" s="1325"/>
      <c r="D62" s="1325"/>
      <c r="E62" s="1329">
        <f>'Dev Costs'!F112</f>
        <v>0</v>
      </c>
      <c r="F62" s="1253">
        <f t="shared" si="10"/>
        <v>0</v>
      </c>
      <c r="G62" s="1329">
        <f>'Dev Costs'!J112</f>
        <v>0</v>
      </c>
      <c r="H62" s="1349">
        <f>'Dev Costs'!K112</f>
        <v>0</v>
      </c>
      <c r="I62" s="922"/>
      <c r="J62" s="922"/>
      <c r="K62" s="876"/>
      <c r="L62" s="876"/>
      <c r="M62" s="876"/>
    </row>
    <row r="63" spans="1:13" ht="15.95" customHeight="1">
      <c r="A63" s="1301" t="s">
        <v>161</v>
      </c>
      <c r="B63" s="1356" t="s">
        <v>169</v>
      </c>
      <c r="C63" s="1357">
        <f>E63-IF(E53&gt;0,E53,0)-E50</f>
        <v>0</v>
      </c>
      <c r="D63" s="1357"/>
      <c r="E63" s="1329">
        <f>'Dev Costs'!F119</f>
        <v>0</v>
      </c>
      <c r="F63" s="1329">
        <f>E63-G63-H63</f>
        <v>0</v>
      </c>
      <c r="G63" s="1329">
        <f>'Dev Costs'!J119</f>
        <v>0</v>
      </c>
      <c r="H63" s="1349">
        <f>'Dev Costs'!K119</f>
        <v>0</v>
      </c>
      <c r="I63" s="922"/>
      <c r="J63" s="876"/>
      <c r="K63" s="876"/>
      <c r="L63" s="876"/>
      <c r="M63" s="876"/>
    </row>
    <row r="64" spans="1:13" ht="15.95" customHeight="1" thickBot="1">
      <c r="A64" s="1350" t="s">
        <v>347</v>
      </c>
      <c r="B64" s="1325"/>
      <c r="C64" s="1325"/>
      <c r="D64" s="1325"/>
      <c r="E64" s="1353">
        <f>'Dev Costs'!F120</f>
        <v>0</v>
      </c>
      <c r="F64" s="1353">
        <f>SUM(F56:F63)</f>
        <v>0</v>
      </c>
      <c r="G64" s="1353">
        <f t="shared" ref="G64:H64" si="11">SUM(G56:G63)</f>
        <v>0</v>
      </c>
      <c r="H64" s="1354">
        <f t="shared" si="11"/>
        <v>0</v>
      </c>
      <c r="I64" s="922"/>
      <c r="J64" s="876"/>
      <c r="K64" s="876"/>
      <c r="L64" s="876"/>
      <c r="M64" s="876"/>
    </row>
    <row r="65" spans="1:14" ht="18" customHeight="1" thickTop="1" thickBot="1">
      <c r="A65" s="1358"/>
      <c r="B65" s="1359"/>
      <c r="C65" s="1359"/>
      <c r="D65" s="1359"/>
      <c r="E65" s="1360"/>
      <c r="F65" s="1360"/>
      <c r="G65" s="1360"/>
      <c r="H65" s="1011"/>
      <c r="I65" s="1343"/>
      <c r="J65" s="876"/>
      <c r="K65" s="876"/>
      <c r="L65" s="876"/>
      <c r="M65" s="876"/>
    </row>
    <row r="66" spans="1:14" ht="15.95" customHeight="1">
      <c r="A66"/>
      <c r="B66"/>
      <c r="C66"/>
      <c r="D66"/>
      <c r="E66"/>
      <c r="F66"/>
      <c r="G66"/>
      <c r="H66"/>
    </row>
    <row r="67" spans="1:14" ht="15.95" customHeight="1">
      <c r="K67" s="53"/>
      <c r="N67" s="40"/>
    </row>
    <row r="68" spans="1:14" ht="15.95" customHeight="1">
      <c r="E68" s="101"/>
      <c r="H68" s="101"/>
      <c r="K68" s="53"/>
      <c r="N68" s="53"/>
    </row>
    <row r="69" spans="1:14">
      <c r="J69" s="55"/>
    </row>
    <row r="70" spans="1:14">
      <c r="C70" s="55"/>
      <c r="D70" s="55"/>
      <c r="E70" s="55"/>
      <c r="F70" s="55"/>
      <c r="G70" s="55"/>
      <c r="H70" s="55"/>
      <c r="J70" s="55"/>
    </row>
    <row r="71" spans="1:14">
      <c r="C71" s="55"/>
      <c r="D71" s="55"/>
      <c r="E71" s="55"/>
      <c r="F71" s="55"/>
      <c r="G71" s="55"/>
      <c r="H71" s="55"/>
      <c r="K71" s="7"/>
    </row>
    <row r="72" spans="1:14">
      <c r="K72" s="7"/>
      <c r="L72" s="7"/>
      <c r="M72" s="7"/>
      <c r="N72" s="7"/>
    </row>
    <row r="73" spans="1:14">
      <c r="B73" s="12"/>
      <c r="K73" s="7"/>
      <c r="L73" s="7"/>
      <c r="M73" s="7"/>
      <c r="N73" s="7"/>
    </row>
    <row r="74" spans="1:14">
      <c r="K74" s="7"/>
      <c r="L74" s="7"/>
      <c r="M74" s="7"/>
      <c r="N74" s="7"/>
    </row>
    <row r="75" spans="1:14" ht="9.9499999999999993" customHeight="1">
      <c r="K75" s="7"/>
      <c r="L75" s="7"/>
      <c r="M75" s="7"/>
      <c r="N75" s="7"/>
    </row>
    <row r="76" spans="1:14">
      <c r="K76" s="7"/>
      <c r="L76" s="7"/>
      <c r="M76" s="7"/>
      <c r="N76" s="7"/>
    </row>
    <row r="77" spans="1:14">
      <c r="K77" s="7"/>
      <c r="L77" s="7"/>
      <c r="M77" s="7"/>
      <c r="N77" s="7"/>
    </row>
    <row r="78" spans="1:14">
      <c r="K78" s="8"/>
      <c r="L78" s="7"/>
      <c r="M78" s="7"/>
      <c r="N78" s="7"/>
    </row>
    <row r="79" spans="1:14">
      <c r="B79" s="7"/>
      <c r="K79" s="54"/>
      <c r="L79" s="8"/>
      <c r="M79" s="8"/>
      <c r="N79" s="8"/>
    </row>
    <row r="80" spans="1:14">
      <c r="L80" s="54"/>
      <c r="M80" s="54"/>
      <c r="N80" s="54"/>
    </row>
    <row r="81" spans="1:15" ht="9" customHeight="1">
      <c r="B81" s="55"/>
    </row>
    <row r="82" spans="1:15">
      <c r="B82" s="55"/>
      <c r="I82" s="125"/>
      <c r="K82" s="7"/>
    </row>
    <row r="83" spans="1:15" ht="14.1" customHeight="1">
      <c r="A83" s="56"/>
      <c r="I83" s="125"/>
      <c r="K83" s="7"/>
      <c r="L83" s="7"/>
      <c r="M83" s="7"/>
      <c r="N83" s="7"/>
    </row>
    <row r="84" spans="1:15">
      <c r="I84" s="125"/>
      <c r="K84" s="7"/>
      <c r="L84" s="7"/>
      <c r="M84" s="7"/>
      <c r="N84" s="7"/>
    </row>
    <row r="85" spans="1:15">
      <c r="I85" s="125"/>
      <c r="K85" s="7"/>
      <c r="L85" s="7"/>
      <c r="M85" s="7"/>
      <c r="N85" s="7"/>
    </row>
    <row r="86" spans="1:15">
      <c r="I86" s="125"/>
      <c r="K86" s="7"/>
      <c r="L86" s="7"/>
      <c r="M86" s="7"/>
      <c r="N86" s="7"/>
    </row>
    <row r="87" spans="1:15">
      <c r="J87" s="16"/>
      <c r="K87" s="7"/>
      <c r="L87" s="7"/>
      <c r="M87" s="7"/>
      <c r="N87" s="7"/>
    </row>
    <row r="88" spans="1:15">
      <c r="C88" s="16"/>
      <c r="D88" s="16"/>
      <c r="E88" s="16"/>
      <c r="F88" s="16"/>
      <c r="G88" s="16"/>
      <c r="H88" s="16"/>
      <c r="J88" s="16"/>
      <c r="K88" s="7"/>
      <c r="L88" s="7"/>
      <c r="M88" s="7"/>
      <c r="N88" s="7"/>
    </row>
    <row r="89" spans="1:15">
      <c r="C89" s="16"/>
      <c r="D89" s="16"/>
      <c r="E89" s="16"/>
      <c r="F89" s="16"/>
      <c r="G89" s="16"/>
      <c r="H89" s="16"/>
      <c r="J89" s="16"/>
      <c r="K89" s="8"/>
      <c r="L89" s="7"/>
      <c r="M89" s="7"/>
      <c r="N89" s="7"/>
    </row>
    <row r="90" spans="1:15">
      <c r="C90" s="16"/>
      <c r="D90" s="16"/>
      <c r="E90" s="16"/>
      <c r="F90" s="16"/>
      <c r="G90" s="16"/>
      <c r="H90" s="16"/>
      <c r="J90" s="16"/>
      <c r="K90" s="54"/>
      <c r="L90" s="8"/>
      <c r="M90" s="8"/>
      <c r="N90" s="8"/>
    </row>
    <row r="91" spans="1:15">
      <c r="A91" s="16"/>
      <c r="C91" s="16"/>
      <c r="D91" s="16"/>
      <c r="E91" s="16"/>
      <c r="F91" s="16"/>
      <c r="G91" s="16"/>
      <c r="H91" s="16"/>
      <c r="J91" s="16"/>
      <c r="K91" s="54"/>
      <c r="L91" s="54"/>
      <c r="M91" s="54"/>
      <c r="N91" s="54"/>
    </row>
    <row r="92" spans="1:15">
      <c r="A92" s="3"/>
      <c r="C92" s="16"/>
      <c r="D92" s="16"/>
      <c r="E92" s="16"/>
      <c r="F92" s="16"/>
      <c r="G92" s="16"/>
      <c r="H92" s="16"/>
      <c r="K92" s="54"/>
      <c r="L92" s="54"/>
      <c r="M92" s="54"/>
      <c r="N92" s="54"/>
      <c r="O92" s="7"/>
    </row>
    <row r="93" spans="1:15">
      <c r="A93" s="3"/>
      <c r="L93" s="54"/>
      <c r="M93" s="54"/>
      <c r="N93" s="54"/>
    </row>
    <row r="94" spans="1:15">
      <c r="A94" s="3"/>
    </row>
    <row r="95" spans="1:15">
      <c r="A95" s="3"/>
      <c r="I95" s="126"/>
      <c r="K95" s="7"/>
    </row>
    <row r="96" spans="1:15">
      <c r="A96" s="3"/>
      <c r="I96" s="126"/>
      <c r="K96" s="7"/>
      <c r="L96" s="7"/>
      <c r="M96" s="7"/>
      <c r="N96" s="7"/>
    </row>
    <row r="97" spans="1:14">
      <c r="A97" s="3"/>
      <c r="I97" s="126"/>
      <c r="K97" s="7"/>
      <c r="L97" s="7"/>
      <c r="M97" s="7"/>
      <c r="N97" s="7"/>
    </row>
    <row r="98" spans="1:14">
      <c r="A98" s="3"/>
      <c r="K98" s="7"/>
      <c r="L98" s="7"/>
      <c r="M98" s="7"/>
      <c r="N98" s="7"/>
    </row>
    <row r="99" spans="1:14">
      <c r="A99" s="56"/>
      <c r="B99" s="16"/>
      <c r="K99" s="7"/>
      <c r="L99" s="7"/>
      <c r="M99" s="7"/>
      <c r="N99" s="7"/>
    </row>
    <row r="100" spans="1:14">
      <c r="A100" s="56"/>
      <c r="B100" s="16"/>
      <c r="J100" s="57"/>
      <c r="K100" s="7"/>
      <c r="L100" s="7"/>
      <c r="M100" s="7"/>
      <c r="N100" s="7"/>
    </row>
    <row r="101" spans="1:14">
      <c r="A101" s="56"/>
      <c r="B101" s="16"/>
      <c r="C101" s="57"/>
      <c r="D101" s="57"/>
      <c r="E101" s="57"/>
      <c r="F101" s="57"/>
      <c r="G101" s="57"/>
      <c r="H101" s="57"/>
      <c r="J101" s="57"/>
      <c r="K101" s="8"/>
      <c r="L101" s="7"/>
      <c r="M101" s="7"/>
      <c r="N101" s="7"/>
    </row>
    <row r="102" spans="1:14">
      <c r="A102" s="56"/>
      <c r="B102" s="16"/>
      <c r="C102" s="57"/>
      <c r="D102" s="57"/>
      <c r="E102" s="57"/>
      <c r="F102" s="57"/>
      <c r="G102" s="57"/>
      <c r="H102" s="57"/>
      <c r="J102" s="57"/>
      <c r="K102" s="54"/>
      <c r="L102" s="8"/>
      <c r="M102" s="8"/>
      <c r="N102" s="8"/>
    </row>
    <row r="103" spans="1:14">
      <c r="A103" s="56"/>
      <c r="B103" s="16"/>
      <c r="C103" s="57"/>
      <c r="D103" s="57"/>
      <c r="E103" s="57"/>
      <c r="F103" s="57"/>
      <c r="G103" s="57"/>
      <c r="H103" s="57"/>
      <c r="K103" s="54"/>
      <c r="L103" s="54"/>
      <c r="M103" s="54"/>
      <c r="N103" s="54"/>
    </row>
    <row r="104" spans="1:14">
      <c r="K104" s="54"/>
      <c r="L104" s="54"/>
      <c r="M104" s="54"/>
      <c r="N104" s="54"/>
    </row>
    <row r="105" spans="1:14">
      <c r="A105" s="56"/>
      <c r="K105" s="54"/>
      <c r="L105" s="54"/>
      <c r="M105" s="54"/>
    </row>
    <row r="106" spans="1:14">
      <c r="A106" s="56"/>
      <c r="K106" s="54"/>
      <c r="L106" s="54"/>
      <c r="M106" s="54"/>
    </row>
    <row r="107" spans="1:14">
      <c r="A107" s="56"/>
      <c r="L107" s="54"/>
      <c r="M107" s="54"/>
    </row>
    <row r="111" spans="1:14">
      <c r="A111" s="2"/>
      <c r="K111" s="7"/>
    </row>
    <row r="112" spans="1:14">
      <c r="A112" s="3"/>
      <c r="B112" s="57"/>
      <c r="K112" s="7"/>
      <c r="L112" s="7"/>
      <c r="M112" s="7"/>
    </row>
    <row r="113" spans="1:13">
      <c r="A113" s="58"/>
      <c r="B113" s="57"/>
      <c r="L113" s="7"/>
      <c r="M113" s="7"/>
    </row>
    <row r="114" spans="1:13">
      <c r="A114" s="58"/>
      <c r="B114" s="57"/>
    </row>
  </sheetData>
  <sheetProtection algorithmName="SHA-512" hashValue="o0yKz22nqdkbDehAsDNfHcLyVv5d/I4+TXv17njgmmdyscqXmKFNAv51iroTbnEfwJhs+p9lmNKXfOeSKGQVOg==" saltValue="dkADxuNv1gnTCsTPwlq1xw==" spinCount="100000" sheet="1" objects="1" scenarios="1"/>
  <customSheetViews>
    <customSheetView guid="{1E06907C-2281-4617-B0F2-1AE7DC994915}" fitToPage="1" hiddenRows="1" topLeftCell="A2">
      <selection activeCell="B36" sqref="B36"/>
      <pageMargins left="0.7" right="0.7" top="0.75" bottom="0.75" header="0.3" footer="0.3"/>
      <headerFooter alignWithMargins="0"/>
    </customSheetView>
    <customSheetView guid="{51561219-1382-4CE8-929B-1B7C97EAD663}" fitToPage="1" hiddenRows="1" topLeftCell="A2">
      <selection activeCell="B36" sqref="B36"/>
      <pageMargins left="0.7" right="0.7" top="0.75" bottom="0.75" header="0.3" footer="0.3"/>
      <headerFooter alignWithMargins="0"/>
    </customSheetView>
  </customSheetViews>
  <mergeCells count="26">
    <mergeCell ref="J53:M53"/>
    <mergeCell ref="A1:M1"/>
    <mergeCell ref="J46:M46"/>
    <mergeCell ref="J2:M2"/>
    <mergeCell ref="B10:C10"/>
    <mergeCell ref="B11:C11"/>
    <mergeCell ref="L19:M19"/>
    <mergeCell ref="J7:K7"/>
    <mergeCell ref="J8:K8"/>
    <mergeCell ref="J14:K14"/>
    <mergeCell ref="K3:M3"/>
    <mergeCell ref="D3:D4"/>
    <mergeCell ref="J26:K28"/>
    <mergeCell ref="J15:K15"/>
    <mergeCell ref="J21:K21"/>
    <mergeCell ref="J22:K22"/>
    <mergeCell ref="O2:O3"/>
    <mergeCell ref="B18:C18"/>
    <mergeCell ref="B50:C50"/>
    <mergeCell ref="A37:H37"/>
    <mergeCell ref="A2:H2"/>
    <mergeCell ref="J35:M35"/>
    <mergeCell ref="B7:C7"/>
    <mergeCell ref="B8:C8"/>
    <mergeCell ref="B9:C9"/>
    <mergeCell ref="B12:C12"/>
  </mergeCells>
  <phoneticPr fontId="12" type="noConversion"/>
  <conditionalFormatting sqref="J20 J13 J6:K6">
    <cfRule type="expression" dxfId="5" priority="20">
      <formula>$K$4="other (explain)"</formula>
    </cfRule>
  </conditionalFormatting>
  <conditionalFormatting sqref="L12:M12 L4:M5 L19">
    <cfRule type="expression" dxfId="4" priority="9">
      <formula>$K$12="Other (explain)"</formula>
    </cfRule>
  </conditionalFormatting>
  <conditionalFormatting sqref="J20">
    <cfRule type="expression" dxfId="3" priority="7">
      <formula>$K$19="Other (explain)"</formula>
    </cfRule>
  </conditionalFormatting>
  <dataValidations disablePrompts="1" count="1">
    <dataValidation type="list" allowBlank="1" showInputMessage="1" showErrorMessage="1" sqref="K19 K12" xr:uid="{00000000-0002-0000-0100-000000000000}">
      <formula1>"-,Construction Loan,Equity bridge,Other (explain)"</formula1>
    </dataValidation>
  </dataValidations>
  <pageMargins left="0.6" right="0.62" top="0.75" bottom="0.42" header="0.3" footer="0.24"/>
  <pageSetup scale="49" orientation="portrait" verticalDpi="4294967292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>
    <tabColor rgb="FF00B050"/>
    <pageSetUpPr fitToPage="1"/>
  </sheetPr>
  <dimension ref="A3:AT86"/>
  <sheetViews>
    <sheetView tabSelected="1" workbookViewId="0">
      <selection activeCell="A7" sqref="A7"/>
    </sheetView>
  </sheetViews>
  <sheetFormatPr defaultColWidth="8.6640625" defaultRowHeight="15.75"/>
  <cols>
    <col min="1" max="1" width="6.6640625" style="1" customWidth="1"/>
    <col min="2" max="2" width="5.6640625" style="1" customWidth="1"/>
    <col min="3" max="3" width="6.88671875" customWidth="1"/>
    <col min="4" max="4" width="8.109375" customWidth="1"/>
    <col min="5" max="5" width="8.5546875" customWidth="1"/>
    <col min="6" max="6" width="7.33203125" customWidth="1"/>
    <col min="7" max="7" width="8.5546875" customWidth="1"/>
    <col min="8" max="8" width="6.44140625" customWidth="1"/>
    <col min="9" max="9" width="7.44140625" customWidth="1"/>
    <col min="10" max="10" width="7.88671875" customWidth="1"/>
    <col min="11" max="11" width="7.5546875" customWidth="1"/>
    <col min="12" max="12" width="8.6640625" customWidth="1"/>
    <col min="13" max="13" width="7.33203125" customWidth="1"/>
    <col min="14" max="14" width="9.88671875" customWidth="1"/>
    <col min="15" max="16" width="9.44140625" customWidth="1"/>
    <col min="17" max="17" width="8.88671875" style="9" customWidth="1"/>
    <col min="18" max="18" width="9.33203125" style="9" customWidth="1"/>
    <col min="19" max="19" width="8.5546875" style="9" customWidth="1"/>
    <col min="20" max="21" width="9" bestFit="1" customWidth="1"/>
    <col min="23" max="23" width="13.6640625" bestFit="1" customWidth="1"/>
    <col min="24" max="24" width="7.44140625" customWidth="1"/>
    <col min="25" max="25" width="7.44140625" style="13" customWidth="1"/>
    <col min="26" max="26" width="7" bestFit="1" customWidth="1"/>
    <col min="27" max="28" width="5.5546875" bestFit="1" customWidth="1"/>
    <col min="29" max="29" width="5.88671875" style="15" bestFit="1" customWidth="1"/>
    <col min="30" max="30" width="5" style="15" bestFit="1" customWidth="1"/>
    <col min="31" max="31" width="8.109375" style="15" bestFit="1" customWidth="1"/>
    <col min="32" max="32" width="6.44140625" style="15" bestFit="1" customWidth="1"/>
    <col min="33" max="33" width="9.6640625" style="15" bestFit="1" customWidth="1"/>
    <col min="34" max="34" width="11.109375" style="15" bestFit="1" customWidth="1"/>
    <col min="35" max="35" width="6.44140625" style="15" bestFit="1" customWidth="1"/>
    <col min="36" max="36" width="10" style="15" bestFit="1" customWidth="1"/>
    <col min="37" max="37" width="13.6640625" bestFit="1" customWidth="1"/>
    <col min="38" max="38" width="10.88671875" bestFit="1" customWidth="1"/>
    <col min="39" max="39" width="9.33203125" bestFit="1" customWidth="1"/>
    <col min="40" max="40" width="10.88671875" bestFit="1" customWidth="1"/>
    <col min="41" max="41" width="9.44140625" bestFit="1" customWidth="1"/>
    <col min="42" max="42" width="11.44140625" bestFit="1" customWidth="1"/>
    <col min="43" max="43" width="5.88671875" bestFit="1" customWidth="1"/>
    <col min="44" max="44" width="6.88671875" bestFit="1" customWidth="1"/>
    <col min="45" max="45" width="3.6640625" bestFit="1" customWidth="1"/>
    <col min="46" max="46" width="9.6640625" bestFit="1" customWidth="1"/>
  </cols>
  <sheetData>
    <row r="3" spans="1:44" ht="18.75">
      <c r="A3" s="2072" t="s">
        <v>419</v>
      </c>
      <c r="B3" s="2072"/>
      <c r="C3" s="2072"/>
      <c r="D3" s="2072"/>
      <c r="E3" s="2072"/>
      <c r="F3" s="2072"/>
      <c r="G3" s="2072"/>
      <c r="H3" s="2072"/>
      <c r="I3" s="2072"/>
      <c r="J3" s="2072"/>
      <c r="K3" s="2072"/>
      <c r="L3" s="2072"/>
      <c r="M3" s="2072"/>
      <c r="N3" s="2072"/>
      <c r="O3" s="2072"/>
      <c r="P3" s="2072"/>
      <c r="Q3" s="2072"/>
      <c r="R3" s="2072"/>
      <c r="S3" s="2073"/>
      <c r="T3" s="2073"/>
      <c r="U3" s="2073"/>
      <c r="V3" s="2073"/>
      <c r="W3" s="922"/>
      <c r="X3" s="922"/>
      <c r="Y3" s="1365"/>
      <c r="Z3" s="922"/>
      <c r="AA3" s="922"/>
      <c r="AB3" s="922"/>
      <c r="AC3" s="1366"/>
      <c r="AD3" s="1366"/>
      <c r="AE3" s="1366"/>
      <c r="AF3" s="1366"/>
      <c r="AG3" s="1366"/>
      <c r="AH3" s="1366"/>
      <c r="AI3" s="1366"/>
      <c r="AJ3" s="1366"/>
      <c r="AK3" s="922"/>
      <c r="AL3" s="922"/>
      <c r="AM3" s="922"/>
      <c r="AN3" s="922"/>
      <c r="AO3" s="922"/>
      <c r="AP3" s="922"/>
      <c r="AQ3" s="922"/>
    </row>
    <row r="4" spans="1:44" ht="15.95" customHeight="1">
      <c r="A4" s="1952" t="s">
        <v>259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953"/>
      <c r="N4" s="1953"/>
      <c r="O4" s="1953"/>
      <c r="P4" s="1953"/>
      <c r="Q4" s="1953"/>
      <c r="R4" s="1973"/>
      <c r="S4" s="1952" t="s">
        <v>75</v>
      </c>
      <c r="T4" s="1953"/>
      <c r="U4" s="1953"/>
      <c r="V4" s="1953"/>
      <c r="W4" s="1953"/>
      <c r="X4" s="1973"/>
      <c r="Y4" s="1365"/>
      <c r="Z4" s="922"/>
      <c r="AA4" s="922"/>
      <c r="AB4" s="922"/>
      <c r="AC4" s="1366"/>
      <c r="AD4" s="1366"/>
      <c r="AE4" s="1366"/>
      <c r="AF4" s="1366"/>
      <c r="AG4" s="1366"/>
      <c r="AH4" s="1366"/>
      <c r="AI4" s="1366"/>
      <c r="AJ4" s="1366"/>
      <c r="AK4" s="922"/>
      <c r="AL4" s="1367"/>
      <c r="AM4" s="1367"/>
      <c r="AN4" s="1367"/>
      <c r="AO4" s="922"/>
      <c r="AP4" s="922"/>
      <c r="AQ4" s="922"/>
    </row>
    <row r="5" spans="1:44" ht="34.5" customHeight="1">
      <c r="A5" s="2054" t="s">
        <v>271</v>
      </c>
      <c r="B5" s="2054" t="s">
        <v>270</v>
      </c>
      <c r="C5" s="2074" t="s">
        <v>359</v>
      </c>
      <c r="D5" s="2074" t="s">
        <v>264</v>
      </c>
      <c r="E5" s="2079" t="s">
        <v>514</v>
      </c>
      <c r="F5" s="2054" t="s">
        <v>1422</v>
      </c>
      <c r="G5" s="2054" t="s">
        <v>1421</v>
      </c>
      <c r="H5" s="2079" t="s">
        <v>1411</v>
      </c>
      <c r="I5" s="2079" t="s">
        <v>618</v>
      </c>
      <c r="J5" s="2079" t="s">
        <v>1413</v>
      </c>
      <c r="K5" s="2079" t="s">
        <v>775</v>
      </c>
      <c r="L5" s="2078" t="s">
        <v>1415</v>
      </c>
      <c r="M5" s="2054" t="s">
        <v>235</v>
      </c>
      <c r="N5" s="2054" t="s">
        <v>614</v>
      </c>
      <c r="O5" s="2054" t="s">
        <v>611</v>
      </c>
      <c r="P5" s="2079" t="s">
        <v>612</v>
      </c>
      <c r="Q5" s="2054" t="s">
        <v>613</v>
      </c>
      <c r="R5" s="2054" t="s">
        <v>269</v>
      </c>
      <c r="S5" s="2054" t="s">
        <v>128</v>
      </c>
      <c r="T5" s="2078" t="s">
        <v>272</v>
      </c>
      <c r="U5" s="2077" t="s">
        <v>38</v>
      </c>
      <c r="V5" s="2077" t="s">
        <v>14</v>
      </c>
      <c r="W5" s="2076" t="s">
        <v>16</v>
      </c>
      <c r="X5" s="2076" t="s">
        <v>15</v>
      </c>
      <c r="Y5" s="922"/>
      <c r="Z5" s="922"/>
      <c r="AA5" s="922"/>
      <c r="AB5" s="876"/>
      <c r="AC5" s="876"/>
      <c r="AD5" s="1365"/>
      <c r="AE5" s="1365"/>
      <c r="AF5" s="1367"/>
      <c r="AG5" s="1367"/>
      <c r="AH5" s="1367"/>
      <c r="AI5" s="1367"/>
      <c r="AJ5" s="1367"/>
      <c r="AK5" s="1367"/>
      <c r="AL5" s="1367"/>
      <c r="AM5" s="1367"/>
      <c r="AN5" s="1367"/>
      <c r="AO5" s="1367"/>
      <c r="AP5" s="1367"/>
      <c r="AQ5" s="922"/>
    </row>
    <row r="6" spans="1:44" ht="24.95" customHeight="1">
      <c r="A6" s="2054"/>
      <c r="B6" s="2054"/>
      <c r="C6" s="2075"/>
      <c r="D6" s="2075"/>
      <c r="E6" s="2080"/>
      <c r="F6" s="2054"/>
      <c r="G6" s="2054"/>
      <c r="H6" s="2080"/>
      <c r="I6" s="2080"/>
      <c r="J6" s="2080"/>
      <c r="K6" s="2080"/>
      <c r="L6" s="2078"/>
      <c r="M6" s="2054"/>
      <c r="N6" s="2054"/>
      <c r="O6" s="2054"/>
      <c r="P6" s="2080"/>
      <c r="Q6" s="2054"/>
      <c r="R6" s="2054"/>
      <c r="S6" s="2054"/>
      <c r="T6" s="2078"/>
      <c r="U6" s="2077"/>
      <c r="V6" s="2077"/>
      <c r="W6" s="2076"/>
      <c r="X6" s="2076"/>
      <c r="Y6" s="922"/>
      <c r="Z6" s="1366" t="s">
        <v>119</v>
      </c>
      <c r="AA6" s="1366" t="s">
        <v>818</v>
      </c>
      <c r="AB6" s="1366" t="s">
        <v>644</v>
      </c>
      <c r="AC6" s="1366" t="s">
        <v>645</v>
      </c>
      <c r="AD6" s="1366" t="s">
        <v>818</v>
      </c>
      <c r="AE6" s="1368" t="s">
        <v>817</v>
      </c>
      <c r="AF6" s="1369" t="s">
        <v>649</v>
      </c>
      <c r="AG6" s="1369" t="s">
        <v>619</v>
      </c>
      <c r="AH6" s="1369" t="s">
        <v>646</v>
      </c>
      <c r="AI6" s="1369" t="s">
        <v>1414</v>
      </c>
      <c r="AJ6" s="1369" t="s">
        <v>775</v>
      </c>
      <c r="AK6" s="1369" t="s">
        <v>648</v>
      </c>
      <c r="AL6" s="1369" t="s">
        <v>1416</v>
      </c>
      <c r="AM6" s="1369" t="s">
        <v>1417</v>
      </c>
      <c r="AN6" s="1369" t="s">
        <v>1418</v>
      </c>
      <c r="AO6" s="1369" t="s">
        <v>651</v>
      </c>
      <c r="AP6" s="1369" t="s">
        <v>650</v>
      </c>
      <c r="AQ6" s="1369" t="s">
        <v>1419</v>
      </c>
      <c r="AR6" s="833" t="s">
        <v>1420</v>
      </c>
    </row>
    <row r="7" spans="1:44" ht="20.25" customHeight="1">
      <c r="A7" s="350" t="s">
        <v>267</v>
      </c>
      <c r="B7" s="862" t="s">
        <v>164</v>
      </c>
      <c r="C7" s="375"/>
      <c r="D7" s="805"/>
      <c r="E7" s="375"/>
      <c r="F7" s="293" t="s">
        <v>164</v>
      </c>
      <c r="G7" s="293" t="s">
        <v>164</v>
      </c>
      <c r="H7" s="293" t="s">
        <v>164</v>
      </c>
      <c r="I7" s="293" t="s">
        <v>164</v>
      </c>
      <c r="J7" s="293" t="s">
        <v>164</v>
      </c>
      <c r="K7" s="293" t="s">
        <v>164</v>
      </c>
      <c r="L7" s="1370">
        <f>IF(A7=0,LOOKUP(B7,'Max Rents &amp; Pmt Stds'!$C$15:$C$28,'Max Rents &amp; Pmt Stds'!$E$15:$E$28),IF(A7=1,LOOKUP(B7,'Max Rents &amp; Pmt Stds'!$C$15:$C$28,'Max Rents &amp; Pmt Stds'!$F$15:$F$28),IF(A7=2,LOOKUP(B7,'Max Rents &amp; Pmt Stds'!$C$15:$C$28,'Max Rents &amp; Pmt Stds'!$G$15:$G$28),IF(A7=3,LOOKUP(B7,'Max Rents &amp; Pmt Stds'!$C$15:$C$28,'Max Rents &amp; Pmt Stds'!$H$15:$H$28),IF(A7=4,LOOKUP(B7,'Max Rents &amp; Pmt Stds'!$C$15:$C$28,'Max Rents &amp; Pmt Stds'!$I$15:$I$28),0)))))</f>
        <v>0</v>
      </c>
      <c r="M7" s="1371">
        <f>IF(A7="SRO",'Project Info'!R$42,0)+IF(A7=0,'Project Info'!R$43,0)+IF(A7=1,'Project Info'!R$44,0)+IF(A7=2,'Project Info'!R$45,0)+IF(A7=3,'Project Info'!R$46,0)+IF(A7=4,'Project Info'!R$47,0)</f>
        <v>0</v>
      </c>
      <c r="N7" s="1372">
        <f t="shared" ref="N7:N37" si="0">+L7-M7</f>
        <v>0</v>
      </c>
      <c r="O7" s="1371">
        <f>IF(AND($A7=0,$G7="YES"),'Max Rents &amp; Pmt Stds'!$L$12,IF(AND(Rents!$A7=0,Rents!$G7="NO"),0,IF(AND($A7=1,$G7="YES"),'Max Rents &amp; Pmt Stds'!$M$12,IF(AND(Rents!$A7=1,Rents!$G7="NO"),0,IF(AND($A7=2,$G7="YES"),'Max Rents &amp; Pmt Stds'!$N$12,IF(AND(Rents!$A7=2,Rents!$G7="NO"),0,IF(AND($A7=3,$G7="YES"),'Max Rents &amp; Pmt Stds'!$O$12,IF(AND(Rents!$A7=3,Rents!$G7="NO"),0,IF(AND($A7=4,$G7="YES"),'Max Rents &amp; Pmt Stds'!$P$12,IF(AND(Rents!$A7=4,Rents!$G7="NO"),0,IF(AND($A7="SRO",G7="YES"),0,IF(AND(Rents!$A7="SRO",Rents!$G7="NO"),0,0))))))))))))</f>
        <v>0</v>
      </c>
      <c r="P7" s="1371">
        <f>IF(O7=0,0,O7-M7)</f>
        <v>0</v>
      </c>
      <c r="Q7" s="375"/>
      <c r="R7" s="1373">
        <f t="shared" ref="R7:R37" si="1">IF(O7&gt;0,P7,IF(Q7&gt;0,Q7,N7))*C7*12</f>
        <v>0</v>
      </c>
      <c r="S7" s="1373">
        <f t="shared" ref="S7:S17" si="2">+N7*C7*12</f>
        <v>0</v>
      </c>
      <c r="T7" s="1373">
        <f>+R7-S7</f>
        <v>0</v>
      </c>
      <c r="U7" s="806"/>
      <c r="V7" s="779"/>
      <c r="W7" s="1374" t="str">
        <f>IFERROR(+$Q7/U7,"-")</f>
        <v>-</v>
      </c>
      <c r="X7" s="1374" t="str">
        <f>IFERROR(+$Q7/V7,"-")</f>
        <v>-</v>
      </c>
      <c r="Y7" s="922"/>
      <c r="Z7" s="1375">
        <f t="shared" ref="Z7:Z37" si="3">C7</f>
        <v>0</v>
      </c>
      <c r="AA7" s="1375">
        <f t="shared" ref="AA7:AA37" si="4">E7</f>
        <v>0</v>
      </c>
      <c r="AB7" s="1375">
        <f>Z7*AA7</f>
        <v>0</v>
      </c>
      <c r="AC7" s="1366">
        <f t="shared" ref="AC7:AC37" si="5">IF(F7="Yes",C7,0)</f>
        <v>0</v>
      </c>
      <c r="AD7" s="1366">
        <f t="shared" ref="AD7:AD37" si="6">IF($F$7="Yes",E7,0)</f>
        <v>0</v>
      </c>
      <c r="AE7" s="1375">
        <f>+AD7*AC7</f>
        <v>0</v>
      </c>
      <c r="AF7" s="1366">
        <f t="shared" ref="AF7:AF37" si="7">IF(G7="yes",C7,0)</f>
        <v>0</v>
      </c>
      <c r="AG7" s="1366">
        <f>IF($H7="yes",$C7,0)</f>
        <v>0</v>
      </c>
      <c r="AH7" s="1366">
        <f>IF($I7="yes",$C7,0)</f>
        <v>0</v>
      </c>
      <c r="AI7" s="1366">
        <f>IF($J7="yes",$C7,0)</f>
        <v>0</v>
      </c>
      <c r="AJ7" s="1366">
        <f>IF($K7="yes",$C7,0)</f>
        <v>0</v>
      </c>
      <c r="AK7" s="1376">
        <f t="shared" ref="AK7:AK37" si="8">IF($H7="yes",$S7,0)</f>
        <v>0</v>
      </c>
      <c r="AL7" s="1376">
        <f t="shared" ref="AL7:AL37" si="9">IF($I7="yes",$S7,0)</f>
        <v>0</v>
      </c>
      <c r="AM7" s="1376">
        <f t="shared" ref="AM7:AM37" si="10">IF($J7="yes",$S7,0)</f>
        <v>0</v>
      </c>
      <c r="AN7" s="1376">
        <f>S7-AK7-AL7-AM7</f>
        <v>0</v>
      </c>
      <c r="AO7" s="1376">
        <f t="shared" ref="AO7:AO37" si="11">IF($H7="yes",$T7,0)</f>
        <v>0</v>
      </c>
      <c r="AP7" s="1376">
        <f t="shared" ref="AP7:AP37" si="12">IF($I7="yes",$T7,0)</f>
        <v>0</v>
      </c>
      <c r="AQ7" s="1376">
        <f t="shared" ref="AQ7:AQ37" si="13">IF($J7="yes",$T7,0)</f>
        <v>0</v>
      </c>
      <c r="AR7" s="461">
        <f>T7-AO7-AP7-AQ7</f>
        <v>0</v>
      </c>
    </row>
    <row r="8" spans="1:44" ht="20.25" customHeight="1">
      <c r="A8" s="350" t="s">
        <v>267</v>
      </c>
      <c r="B8" s="862" t="s">
        <v>164</v>
      </c>
      <c r="C8" s="375"/>
      <c r="D8" s="805"/>
      <c r="E8" s="375"/>
      <c r="F8" s="293" t="s">
        <v>164</v>
      </c>
      <c r="G8" s="293" t="s">
        <v>164</v>
      </c>
      <c r="H8" s="293" t="s">
        <v>164</v>
      </c>
      <c r="I8" s="293" t="s">
        <v>164</v>
      </c>
      <c r="J8" s="293" t="s">
        <v>164</v>
      </c>
      <c r="K8" s="293" t="s">
        <v>164</v>
      </c>
      <c r="L8" s="1370">
        <f>IF(A8=0,LOOKUP(B8,'Max Rents &amp; Pmt Stds'!$C$15:$C$28,'Max Rents &amp; Pmt Stds'!$E$15:$E$28),IF(A8=1,LOOKUP(B8,'Max Rents &amp; Pmt Stds'!$C$15:$C$28,'Max Rents &amp; Pmt Stds'!$F$15:$F$28),IF(A8=2,LOOKUP(B8,'Max Rents &amp; Pmt Stds'!$C$15:$C$28,'Max Rents &amp; Pmt Stds'!$G$15:$G$28),IF(A8=3,LOOKUP(B8,'Max Rents &amp; Pmt Stds'!$C$15:$C$28,'Max Rents &amp; Pmt Stds'!$H$15:$H$28),IF(A8=4,LOOKUP(B8,'Max Rents &amp; Pmt Stds'!$C$15:$C$28,'Max Rents &amp; Pmt Stds'!$I$15:$I$28),0)))))</f>
        <v>0</v>
      </c>
      <c r="M8" s="1371">
        <f>IF(A8="SRO",'Project Info'!R$42,0)+IF(A8=0,'Project Info'!R$43,0)+IF(A8=1,'Project Info'!R$44,0)+IF(A8=2,'Project Info'!R$45,0)+IF(A8=3,'Project Info'!R$46,0)+IF(A8=4,'Project Info'!R$47,0)</f>
        <v>0</v>
      </c>
      <c r="N8" s="1372">
        <f t="shared" si="0"/>
        <v>0</v>
      </c>
      <c r="O8" s="1371">
        <f>IF(AND($A8=0,$G8="YES"),'Max Rents &amp; Pmt Stds'!$L$12,IF(AND(Rents!$A8=0,Rents!$G8="NO"),0,IF(AND($A8=1,$G8="YES"),'Max Rents &amp; Pmt Stds'!$M$12,IF(AND(Rents!$A8=1,Rents!$G8="NO"),0,IF(AND($A8=2,$G8="YES"),'Max Rents &amp; Pmt Stds'!$N$12,IF(AND(Rents!$A8=2,Rents!$G8="NO"),0,IF(AND($A8=3,$G8="YES"),'Max Rents &amp; Pmt Stds'!$O$12,IF(AND(Rents!$A8=3,Rents!$G8="NO"),0,IF(AND($A8=4,$G8="YES"),'Max Rents &amp; Pmt Stds'!$P$12,IF(AND(Rents!$A8=4,Rents!$G8="NO"),0,IF(AND($A8="SRO",G8="YES"),0,IF(AND(Rents!$A8="SRO",Rents!$G8="NO"),0,0))))))))))))</f>
        <v>0</v>
      </c>
      <c r="P8" s="1371">
        <f t="shared" ref="P8:P17" si="14">IF(O8=0,0,O8-M8)</f>
        <v>0</v>
      </c>
      <c r="Q8" s="375"/>
      <c r="R8" s="1373">
        <f t="shared" si="1"/>
        <v>0</v>
      </c>
      <c r="S8" s="1373">
        <f t="shared" si="2"/>
        <v>0</v>
      </c>
      <c r="T8" s="1373">
        <f t="shared" ref="T8:T37" si="15">+R8-S8</f>
        <v>0</v>
      </c>
      <c r="U8" s="806"/>
      <c r="V8" s="779"/>
      <c r="W8" s="1374" t="str">
        <f>IFERROR(+Q8/U8,"-")</f>
        <v>-</v>
      </c>
      <c r="X8" s="1374" t="str">
        <f t="shared" ref="X8:X37" si="16">IFERROR(+$Q8/V8,"-")</f>
        <v>-</v>
      </c>
      <c r="Y8" s="922"/>
      <c r="Z8" s="1375">
        <f t="shared" si="3"/>
        <v>0</v>
      </c>
      <c r="AA8" s="1375">
        <f t="shared" si="4"/>
        <v>0</v>
      </c>
      <c r="AB8" s="1375">
        <f t="shared" ref="AB8:AB37" si="17">Z8*AA8</f>
        <v>0</v>
      </c>
      <c r="AC8" s="1366">
        <f t="shared" si="5"/>
        <v>0</v>
      </c>
      <c r="AD8" s="1366">
        <f t="shared" si="6"/>
        <v>0</v>
      </c>
      <c r="AE8" s="1375">
        <f t="shared" ref="AE8:AE12" si="18">+AD8*AC8</f>
        <v>0</v>
      </c>
      <c r="AF8" s="1366">
        <f t="shared" si="7"/>
        <v>0</v>
      </c>
      <c r="AG8" s="1366">
        <f t="shared" ref="AG8:AG37" si="19">IF(H8="yes",C8,0)</f>
        <v>0</v>
      </c>
      <c r="AH8" s="1366">
        <f t="shared" ref="AH8:AH37" si="20">IF($I8="yes",$C8,0)</f>
        <v>0</v>
      </c>
      <c r="AI8" s="1366">
        <f t="shared" ref="AI8:AI37" si="21">IF($J8="yes",$C8,0)</f>
        <v>0</v>
      </c>
      <c r="AJ8" s="1366">
        <f t="shared" ref="AJ8:AJ37" si="22">IF($K8="yes",$C8,0)</f>
        <v>0</v>
      </c>
      <c r="AK8" s="1376">
        <f t="shared" si="8"/>
        <v>0</v>
      </c>
      <c r="AL8" s="1376">
        <f t="shared" si="9"/>
        <v>0</v>
      </c>
      <c r="AM8" s="1376">
        <f t="shared" si="10"/>
        <v>0</v>
      </c>
      <c r="AN8" s="1376">
        <f t="shared" ref="AN8:AN37" si="23">S8-AK8-AL8-AM8</f>
        <v>0</v>
      </c>
      <c r="AO8" s="1376">
        <f t="shared" si="11"/>
        <v>0</v>
      </c>
      <c r="AP8" s="1376">
        <f t="shared" si="12"/>
        <v>0</v>
      </c>
      <c r="AQ8" s="1376">
        <f t="shared" si="13"/>
        <v>0</v>
      </c>
      <c r="AR8" s="461">
        <f t="shared" ref="AR8:AR37" si="24">T8-AO8-AP8-AQ8</f>
        <v>0</v>
      </c>
    </row>
    <row r="9" spans="1:44" ht="20.25" customHeight="1">
      <c r="A9" s="350" t="s">
        <v>267</v>
      </c>
      <c r="B9" s="862" t="s">
        <v>164</v>
      </c>
      <c r="C9" s="375"/>
      <c r="D9" s="805"/>
      <c r="E9" s="375"/>
      <c r="F9" s="293" t="s">
        <v>164</v>
      </c>
      <c r="G9" s="293" t="s">
        <v>164</v>
      </c>
      <c r="H9" s="293" t="s">
        <v>164</v>
      </c>
      <c r="I9" s="293" t="s">
        <v>164</v>
      </c>
      <c r="J9" s="293" t="s">
        <v>164</v>
      </c>
      <c r="K9" s="293" t="s">
        <v>164</v>
      </c>
      <c r="L9" s="1370">
        <f>IF(A9=0,LOOKUP(B9,'Max Rents &amp; Pmt Stds'!$C$15:$C$28,'Max Rents &amp; Pmt Stds'!$E$15:$E$28),IF(A9=1,LOOKUP(B9,'Max Rents &amp; Pmt Stds'!$C$15:$C$28,'Max Rents &amp; Pmt Stds'!$F$15:$F$28),IF(A9=2,LOOKUP(B9,'Max Rents &amp; Pmt Stds'!$C$15:$C$28,'Max Rents &amp; Pmt Stds'!$G$15:$G$28),IF(A9=3,LOOKUP(B9,'Max Rents &amp; Pmt Stds'!$C$15:$C$28,'Max Rents &amp; Pmt Stds'!$H$15:$H$28),IF(A9=4,LOOKUP(B9,'Max Rents &amp; Pmt Stds'!$C$15:$C$28,'Max Rents &amp; Pmt Stds'!$I$15:$I$28),0)))))</f>
        <v>0</v>
      </c>
      <c r="M9" s="1371">
        <f>IF(A9="SRO",'Project Info'!R$42,0)+IF(A9=0,'Project Info'!R$43,0)+IF(A9=1,'Project Info'!R$44,0)+IF(A9=2,'Project Info'!R$45,0)+IF(A9=3,'Project Info'!R$46,0)+IF(A9=4,'Project Info'!R$47,0)</f>
        <v>0</v>
      </c>
      <c r="N9" s="1372">
        <f t="shared" si="0"/>
        <v>0</v>
      </c>
      <c r="O9" s="1371">
        <f>IF(AND($A9=0,$G9="YES"),'Max Rents &amp; Pmt Stds'!$L$12,IF(AND(Rents!$A9=0,Rents!$G9="NO"),0,IF(AND($A9=1,$G9="YES"),'Max Rents &amp; Pmt Stds'!$M$12,IF(AND(Rents!$A9=1,Rents!$G9="NO"),0,IF(AND($A9=2,$G9="YES"),'Max Rents &amp; Pmt Stds'!$N$12,IF(AND(Rents!$A9=2,Rents!$G9="NO"),0,IF(AND($A9=3,$G9="YES"),'Max Rents &amp; Pmt Stds'!$O$12,IF(AND(Rents!$A9=3,Rents!$G9="NO"),0,IF(AND($A9=4,$G9="YES"),'Max Rents &amp; Pmt Stds'!$P$12,IF(AND(Rents!$A9=4,Rents!$G9="NO"),0,IF(AND($A9="SRO",G9="YES"),0,IF(AND(Rents!$A9="SRO",Rents!$G9="NO"),0,0))))))))))))</f>
        <v>0</v>
      </c>
      <c r="P9" s="1371">
        <f t="shared" si="14"/>
        <v>0</v>
      </c>
      <c r="Q9" s="375"/>
      <c r="R9" s="1373">
        <f t="shared" si="1"/>
        <v>0</v>
      </c>
      <c r="S9" s="1373">
        <f t="shared" si="2"/>
        <v>0</v>
      </c>
      <c r="T9" s="1373">
        <f t="shared" si="15"/>
        <v>0</v>
      </c>
      <c r="U9" s="806"/>
      <c r="V9" s="779"/>
      <c r="W9" s="1374" t="str">
        <f>IFERROR(+Q9/U9,"-")</f>
        <v>-</v>
      </c>
      <c r="X9" s="1374" t="str">
        <f t="shared" si="16"/>
        <v>-</v>
      </c>
      <c r="Y9" s="922"/>
      <c r="Z9" s="1375">
        <f t="shared" si="3"/>
        <v>0</v>
      </c>
      <c r="AA9" s="1375">
        <f t="shared" si="4"/>
        <v>0</v>
      </c>
      <c r="AB9" s="1375">
        <f t="shared" si="17"/>
        <v>0</v>
      </c>
      <c r="AC9" s="1366">
        <f t="shared" si="5"/>
        <v>0</v>
      </c>
      <c r="AD9" s="1366">
        <f t="shared" si="6"/>
        <v>0</v>
      </c>
      <c r="AE9" s="1375">
        <f t="shared" si="18"/>
        <v>0</v>
      </c>
      <c r="AF9" s="1366">
        <f t="shared" si="7"/>
        <v>0</v>
      </c>
      <c r="AG9" s="1366">
        <f t="shared" si="19"/>
        <v>0</v>
      </c>
      <c r="AH9" s="1366">
        <f t="shared" si="20"/>
        <v>0</v>
      </c>
      <c r="AI9" s="1366">
        <f t="shared" si="21"/>
        <v>0</v>
      </c>
      <c r="AJ9" s="1366">
        <f t="shared" si="22"/>
        <v>0</v>
      </c>
      <c r="AK9" s="1376">
        <f t="shared" si="8"/>
        <v>0</v>
      </c>
      <c r="AL9" s="1376">
        <f t="shared" si="9"/>
        <v>0</v>
      </c>
      <c r="AM9" s="1376">
        <f t="shared" si="10"/>
        <v>0</v>
      </c>
      <c r="AN9" s="1376">
        <f t="shared" si="23"/>
        <v>0</v>
      </c>
      <c r="AO9" s="1376">
        <f t="shared" si="11"/>
        <v>0</v>
      </c>
      <c r="AP9" s="1376">
        <f t="shared" si="12"/>
        <v>0</v>
      </c>
      <c r="AQ9" s="1376">
        <f t="shared" si="13"/>
        <v>0</v>
      </c>
      <c r="AR9" s="461">
        <f t="shared" si="24"/>
        <v>0</v>
      </c>
    </row>
    <row r="10" spans="1:44" ht="20.25" customHeight="1">
      <c r="A10" s="350" t="s">
        <v>267</v>
      </c>
      <c r="B10" s="862" t="s">
        <v>164</v>
      </c>
      <c r="C10" s="375"/>
      <c r="D10" s="805"/>
      <c r="E10" s="375"/>
      <c r="F10" s="293" t="s">
        <v>164</v>
      </c>
      <c r="G10" s="293" t="s">
        <v>164</v>
      </c>
      <c r="H10" s="293" t="s">
        <v>164</v>
      </c>
      <c r="I10" s="293" t="s">
        <v>164</v>
      </c>
      <c r="J10" s="293" t="s">
        <v>164</v>
      </c>
      <c r="K10" s="293" t="s">
        <v>164</v>
      </c>
      <c r="L10" s="1370">
        <f>IF(A10=0,LOOKUP(B10,'Max Rents &amp; Pmt Stds'!$C$15:$C$28,'Max Rents &amp; Pmt Stds'!$E$15:$E$28),IF(A10=1,LOOKUP(B10,'Max Rents &amp; Pmt Stds'!$C$15:$C$28,'Max Rents &amp; Pmt Stds'!$F$15:$F$28),IF(A10=2,LOOKUP(B10,'Max Rents &amp; Pmt Stds'!$C$15:$C$28,'Max Rents &amp; Pmt Stds'!$G$15:$G$28),IF(A10=3,LOOKUP(B10,'Max Rents &amp; Pmt Stds'!$C$15:$C$28,'Max Rents &amp; Pmt Stds'!$H$15:$H$28),IF(A10=4,LOOKUP(B10,'Max Rents &amp; Pmt Stds'!$C$15:$C$28,'Max Rents &amp; Pmt Stds'!$I$15:$I$28),0)))))</f>
        <v>0</v>
      </c>
      <c r="M10" s="1371">
        <f>IF(A10="SRO",'Project Info'!R$42,0)+IF(A10=0,'Project Info'!R$43,0)+IF(A10=1,'Project Info'!R$44,0)+IF(A10=2,'Project Info'!R$45,0)+IF(A10=3,'Project Info'!R$46,0)+IF(A10=4,'Project Info'!R$47,0)</f>
        <v>0</v>
      </c>
      <c r="N10" s="1372">
        <f t="shared" si="0"/>
        <v>0</v>
      </c>
      <c r="O10" s="1371">
        <f>IF(AND($A10=0,$G10="YES"),'Max Rents &amp; Pmt Stds'!$L$12,IF(AND(Rents!$A10=0,Rents!$G10="NO"),0,IF(AND($A10=1,$G10="YES"),'Max Rents &amp; Pmt Stds'!$M$12,IF(AND(Rents!$A10=1,Rents!$G10="NO"),0,IF(AND($A10=2,$G10="YES"),'Max Rents &amp; Pmt Stds'!$N$12,IF(AND(Rents!$A10=2,Rents!$G10="NO"),0,IF(AND($A10=3,$G10="YES"),'Max Rents &amp; Pmt Stds'!$O$12,IF(AND(Rents!$A10=3,Rents!$G10="NO"),0,IF(AND($A10=4,$G10="YES"),'Max Rents &amp; Pmt Stds'!$P$12,IF(AND(Rents!$A10=4,Rents!$G10="NO"),0,IF(AND($A10="SRO",G10="YES"),0,IF(AND(Rents!$A10="SRO",Rents!$G10="NO"),0,0))))))))))))</f>
        <v>0</v>
      </c>
      <c r="P10" s="1371">
        <f t="shared" si="14"/>
        <v>0</v>
      </c>
      <c r="Q10" s="375"/>
      <c r="R10" s="1373">
        <f t="shared" si="1"/>
        <v>0</v>
      </c>
      <c r="S10" s="1373">
        <f t="shared" si="2"/>
        <v>0</v>
      </c>
      <c r="T10" s="1373">
        <f t="shared" si="15"/>
        <v>0</v>
      </c>
      <c r="U10" s="806"/>
      <c r="V10" s="779"/>
      <c r="W10" s="1374" t="str">
        <f>IFERROR(+Q10/U10,"-")</f>
        <v>-</v>
      </c>
      <c r="X10" s="1374" t="str">
        <f t="shared" si="16"/>
        <v>-</v>
      </c>
      <c r="Y10" s="922"/>
      <c r="Z10" s="1375">
        <f t="shared" si="3"/>
        <v>0</v>
      </c>
      <c r="AA10" s="1375">
        <f t="shared" si="4"/>
        <v>0</v>
      </c>
      <c r="AB10" s="1375">
        <f t="shared" si="17"/>
        <v>0</v>
      </c>
      <c r="AC10" s="1366">
        <f t="shared" si="5"/>
        <v>0</v>
      </c>
      <c r="AD10" s="1366">
        <f t="shared" si="6"/>
        <v>0</v>
      </c>
      <c r="AE10" s="1375">
        <f t="shared" si="18"/>
        <v>0</v>
      </c>
      <c r="AF10" s="1366">
        <f t="shared" si="7"/>
        <v>0</v>
      </c>
      <c r="AG10" s="1366">
        <f t="shared" si="19"/>
        <v>0</v>
      </c>
      <c r="AH10" s="1366">
        <f t="shared" si="20"/>
        <v>0</v>
      </c>
      <c r="AI10" s="1366">
        <f t="shared" si="21"/>
        <v>0</v>
      </c>
      <c r="AJ10" s="1366">
        <f t="shared" si="22"/>
        <v>0</v>
      </c>
      <c r="AK10" s="1376">
        <f t="shared" si="8"/>
        <v>0</v>
      </c>
      <c r="AL10" s="1376">
        <f t="shared" si="9"/>
        <v>0</v>
      </c>
      <c r="AM10" s="1376">
        <f t="shared" si="10"/>
        <v>0</v>
      </c>
      <c r="AN10" s="1376">
        <f t="shared" si="23"/>
        <v>0</v>
      </c>
      <c r="AO10" s="1376">
        <f t="shared" si="11"/>
        <v>0</v>
      </c>
      <c r="AP10" s="1376">
        <f t="shared" si="12"/>
        <v>0</v>
      </c>
      <c r="AQ10" s="1376">
        <f t="shared" si="13"/>
        <v>0</v>
      </c>
      <c r="AR10" s="461">
        <f t="shared" si="24"/>
        <v>0</v>
      </c>
    </row>
    <row r="11" spans="1:44" ht="20.25" customHeight="1">
      <c r="A11" s="350" t="s">
        <v>267</v>
      </c>
      <c r="B11" s="862" t="s">
        <v>164</v>
      </c>
      <c r="C11" s="375"/>
      <c r="D11" s="805"/>
      <c r="E11" s="375"/>
      <c r="F11" s="293" t="s">
        <v>164</v>
      </c>
      <c r="G11" s="293" t="s">
        <v>164</v>
      </c>
      <c r="H11" s="293" t="s">
        <v>164</v>
      </c>
      <c r="I11" s="293" t="s">
        <v>164</v>
      </c>
      <c r="J11" s="293" t="s">
        <v>164</v>
      </c>
      <c r="K11" s="293" t="s">
        <v>164</v>
      </c>
      <c r="L11" s="1370">
        <f>IF(A11=0,LOOKUP(B11,'Max Rents &amp; Pmt Stds'!$C$15:$C$28,'Max Rents &amp; Pmt Stds'!$E$15:$E$28),IF(A11=1,LOOKUP(B11,'Max Rents &amp; Pmt Stds'!$C$15:$C$28,'Max Rents &amp; Pmt Stds'!$F$15:$F$28),IF(A11=2,LOOKUP(B11,'Max Rents &amp; Pmt Stds'!$C$15:$C$28,'Max Rents &amp; Pmt Stds'!$G$15:$G$28),IF(A11=3,LOOKUP(B11,'Max Rents &amp; Pmt Stds'!$C$15:$C$28,'Max Rents &amp; Pmt Stds'!$H$15:$H$28),IF(A11=4,LOOKUP(B11,'Max Rents &amp; Pmt Stds'!$C$15:$C$28,'Max Rents &amp; Pmt Stds'!$I$15:$I$28),0)))))</f>
        <v>0</v>
      </c>
      <c r="M11" s="1371">
        <f>IF(A11="SRO",'Project Info'!R$42,0)+IF(A11=0,'Project Info'!R$43,0)+IF(A11=1,'Project Info'!R$44,0)+IF(A11=2,'Project Info'!R$45,0)+IF(A11=3,'Project Info'!R$46,0)+IF(A11=4,'Project Info'!R$47,0)</f>
        <v>0</v>
      </c>
      <c r="N11" s="1372">
        <f t="shared" si="0"/>
        <v>0</v>
      </c>
      <c r="O11" s="1371">
        <f>IF(AND($A11=0,$G11="YES"),'Max Rents &amp; Pmt Stds'!$L$12,IF(AND(Rents!$A11=0,Rents!$G11="NO"),0,IF(AND($A11=1,$G11="YES"),'Max Rents &amp; Pmt Stds'!$M$12,IF(AND(Rents!$A11=1,Rents!$G11="NO"),0,IF(AND($A11=2,$G11="YES"),'Max Rents &amp; Pmt Stds'!$N$12,IF(AND(Rents!$A11=2,Rents!$G11="NO"),0,IF(AND($A11=3,$G11="YES"),'Max Rents &amp; Pmt Stds'!$O$12,IF(AND(Rents!$A11=3,Rents!$G11="NO"),0,IF(AND($A11=4,$G11="YES"),'Max Rents &amp; Pmt Stds'!$P$12,IF(AND(Rents!$A11=4,Rents!$G11="NO"),0,IF(AND($A11="SRO",G11="YES"),0,IF(AND(Rents!$A11="SRO",Rents!$G11="NO"),0,0))))))))))))</f>
        <v>0</v>
      </c>
      <c r="P11" s="1371">
        <f t="shared" si="14"/>
        <v>0</v>
      </c>
      <c r="Q11" s="375"/>
      <c r="R11" s="1373">
        <f t="shared" si="1"/>
        <v>0</v>
      </c>
      <c r="S11" s="1373">
        <f t="shared" si="2"/>
        <v>0</v>
      </c>
      <c r="T11" s="1373">
        <f t="shared" si="15"/>
        <v>0</v>
      </c>
      <c r="U11" s="806"/>
      <c r="V11" s="779"/>
      <c r="W11" s="1374" t="str">
        <f>IFERROR(+Q11/U11,"-")</f>
        <v>-</v>
      </c>
      <c r="X11" s="1374" t="str">
        <f t="shared" si="16"/>
        <v>-</v>
      </c>
      <c r="Y11" s="922"/>
      <c r="Z11" s="1375">
        <f t="shared" si="3"/>
        <v>0</v>
      </c>
      <c r="AA11" s="1375">
        <f t="shared" si="4"/>
        <v>0</v>
      </c>
      <c r="AB11" s="1375">
        <f t="shared" si="17"/>
        <v>0</v>
      </c>
      <c r="AC11" s="1366">
        <f t="shared" si="5"/>
        <v>0</v>
      </c>
      <c r="AD11" s="1366">
        <f t="shared" si="6"/>
        <v>0</v>
      </c>
      <c r="AE11" s="1375">
        <f t="shared" si="18"/>
        <v>0</v>
      </c>
      <c r="AF11" s="1366">
        <f t="shared" si="7"/>
        <v>0</v>
      </c>
      <c r="AG11" s="1366">
        <f t="shared" si="19"/>
        <v>0</v>
      </c>
      <c r="AH11" s="1366">
        <f t="shared" si="20"/>
        <v>0</v>
      </c>
      <c r="AI11" s="1366">
        <f t="shared" si="21"/>
        <v>0</v>
      </c>
      <c r="AJ11" s="1366">
        <f t="shared" si="22"/>
        <v>0</v>
      </c>
      <c r="AK11" s="1376">
        <f t="shared" si="8"/>
        <v>0</v>
      </c>
      <c r="AL11" s="1376">
        <f t="shared" si="9"/>
        <v>0</v>
      </c>
      <c r="AM11" s="1376">
        <f t="shared" si="10"/>
        <v>0</v>
      </c>
      <c r="AN11" s="1376">
        <f t="shared" si="23"/>
        <v>0</v>
      </c>
      <c r="AO11" s="1376">
        <f t="shared" si="11"/>
        <v>0</v>
      </c>
      <c r="AP11" s="1376">
        <f t="shared" si="12"/>
        <v>0</v>
      </c>
      <c r="AQ11" s="1376">
        <f t="shared" si="13"/>
        <v>0</v>
      </c>
      <c r="AR11" s="461">
        <f t="shared" si="24"/>
        <v>0</v>
      </c>
    </row>
    <row r="12" spans="1:44">
      <c r="A12" s="350" t="s">
        <v>267</v>
      </c>
      <c r="B12" s="862" t="s">
        <v>164</v>
      </c>
      <c r="C12" s="375"/>
      <c r="D12" s="805"/>
      <c r="E12" s="375"/>
      <c r="F12" s="293" t="s">
        <v>164</v>
      </c>
      <c r="G12" s="293" t="s">
        <v>164</v>
      </c>
      <c r="H12" s="293" t="s">
        <v>164</v>
      </c>
      <c r="I12" s="293" t="s">
        <v>164</v>
      </c>
      <c r="J12" s="293" t="s">
        <v>164</v>
      </c>
      <c r="K12" s="293" t="s">
        <v>164</v>
      </c>
      <c r="L12" s="1370">
        <f>IF(A12=0,LOOKUP(B12,'Max Rents &amp; Pmt Stds'!$C$15:$C$28,'Max Rents &amp; Pmt Stds'!$E$15:$E$28),IF(A12=1,LOOKUP(B12,'Max Rents &amp; Pmt Stds'!$C$15:$C$28,'Max Rents &amp; Pmt Stds'!$F$15:$F$28),IF(A12=2,LOOKUP(B12,'Max Rents &amp; Pmt Stds'!$C$15:$C$28,'Max Rents &amp; Pmt Stds'!$G$15:$G$28),IF(A12=3,LOOKUP(B12,'Max Rents &amp; Pmt Stds'!$C$15:$C$28,'Max Rents &amp; Pmt Stds'!$H$15:$H$28),IF(A12=4,LOOKUP(B12,'Max Rents &amp; Pmt Stds'!$C$15:$C$28,'Max Rents &amp; Pmt Stds'!$I$15:$I$28),0)))))</f>
        <v>0</v>
      </c>
      <c r="M12" s="1371">
        <f>IF(A12="SRO",'Project Info'!R$42,0)+IF(A12=0,'Project Info'!R$43,0)+IF(A12=1,'Project Info'!R$44,0)+IF(A12=2,'Project Info'!R$45,0)+IF(A12=3,'Project Info'!R$46,0)+IF(A12=4,'Project Info'!R$47,0)</f>
        <v>0</v>
      </c>
      <c r="N12" s="1372">
        <f t="shared" si="0"/>
        <v>0</v>
      </c>
      <c r="O12" s="1371">
        <f>IF(AND($A12=0,$G12="YES"),'Max Rents &amp; Pmt Stds'!$L$12,IF(AND(Rents!$A12=0,Rents!$G12="NO"),0,IF(AND($A12=1,$G12="YES"),'Max Rents &amp; Pmt Stds'!$M$12,IF(AND(Rents!$A12=1,Rents!$G12="NO"),0,IF(AND($A12=2,$G12="YES"),'Max Rents &amp; Pmt Stds'!$N$12,IF(AND(Rents!$A12=2,Rents!$G12="NO"),0,IF(AND($A12=3,$G12="YES"),'Max Rents &amp; Pmt Stds'!$O$12,IF(AND(Rents!$A12=3,Rents!$G12="NO"),0,IF(AND($A12=4,$G12="YES"),'Max Rents &amp; Pmt Stds'!$P$12,IF(AND(Rents!$A12=4,Rents!$G12="NO"),0,IF(AND($A12="SRO",G12="YES"),0,IF(AND(Rents!$A12="SRO",Rents!$G12="NO"),0,0))))))))))))</f>
        <v>0</v>
      </c>
      <c r="P12" s="1371">
        <f t="shared" si="14"/>
        <v>0</v>
      </c>
      <c r="Q12" s="375"/>
      <c r="R12" s="1373">
        <f t="shared" si="1"/>
        <v>0</v>
      </c>
      <c r="S12" s="1373">
        <f t="shared" si="2"/>
        <v>0</v>
      </c>
      <c r="T12" s="1373">
        <f t="shared" si="15"/>
        <v>0</v>
      </c>
      <c r="U12" s="806"/>
      <c r="V12" s="779"/>
      <c r="W12" s="1374" t="str">
        <f>IFERROR(+Q12/U12,"-")</f>
        <v>-</v>
      </c>
      <c r="X12" s="1374" t="str">
        <f t="shared" si="16"/>
        <v>-</v>
      </c>
      <c r="Y12" s="922"/>
      <c r="Z12" s="1375">
        <f t="shared" si="3"/>
        <v>0</v>
      </c>
      <c r="AA12" s="1375">
        <f t="shared" si="4"/>
        <v>0</v>
      </c>
      <c r="AB12" s="1375">
        <f t="shared" si="17"/>
        <v>0</v>
      </c>
      <c r="AC12" s="1366">
        <f t="shared" si="5"/>
        <v>0</v>
      </c>
      <c r="AD12" s="1366">
        <f t="shared" si="6"/>
        <v>0</v>
      </c>
      <c r="AE12" s="1375">
        <f t="shared" si="18"/>
        <v>0</v>
      </c>
      <c r="AF12" s="1366">
        <f t="shared" si="7"/>
        <v>0</v>
      </c>
      <c r="AG12" s="1366">
        <f t="shared" si="19"/>
        <v>0</v>
      </c>
      <c r="AH12" s="1366">
        <f t="shared" si="20"/>
        <v>0</v>
      </c>
      <c r="AI12" s="1366">
        <f t="shared" si="21"/>
        <v>0</v>
      </c>
      <c r="AJ12" s="1366">
        <f t="shared" si="22"/>
        <v>0</v>
      </c>
      <c r="AK12" s="1376">
        <f t="shared" si="8"/>
        <v>0</v>
      </c>
      <c r="AL12" s="1376">
        <f t="shared" si="9"/>
        <v>0</v>
      </c>
      <c r="AM12" s="1376">
        <f t="shared" si="10"/>
        <v>0</v>
      </c>
      <c r="AN12" s="1376">
        <f t="shared" si="23"/>
        <v>0</v>
      </c>
      <c r="AO12" s="1376">
        <f t="shared" si="11"/>
        <v>0</v>
      </c>
      <c r="AP12" s="1376">
        <f t="shared" si="12"/>
        <v>0</v>
      </c>
      <c r="AQ12" s="1376">
        <f t="shared" si="13"/>
        <v>0</v>
      </c>
      <c r="AR12" s="461">
        <f t="shared" si="24"/>
        <v>0</v>
      </c>
    </row>
    <row r="13" spans="1:44">
      <c r="A13" s="350" t="s">
        <v>267</v>
      </c>
      <c r="B13" s="862" t="s">
        <v>164</v>
      </c>
      <c r="C13" s="375"/>
      <c r="D13" s="805"/>
      <c r="E13" s="375"/>
      <c r="F13" s="293" t="s">
        <v>164</v>
      </c>
      <c r="G13" s="293" t="s">
        <v>164</v>
      </c>
      <c r="H13" s="293" t="s">
        <v>164</v>
      </c>
      <c r="I13" s="293" t="s">
        <v>164</v>
      </c>
      <c r="J13" s="293" t="s">
        <v>164</v>
      </c>
      <c r="K13" s="293" t="s">
        <v>164</v>
      </c>
      <c r="L13" s="1370">
        <f>IF(A13=0,LOOKUP(B13,'Max Rents &amp; Pmt Stds'!$C$15:$C$28,'Max Rents &amp; Pmt Stds'!$E$15:$E$28),IF(A13=1,LOOKUP(B13,'Max Rents &amp; Pmt Stds'!$C$15:$C$28,'Max Rents &amp; Pmt Stds'!$F$15:$F$28),IF(A13=2,LOOKUP(B13,'Max Rents &amp; Pmt Stds'!$C$15:$C$28,'Max Rents &amp; Pmt Stds'!$G$15:$G$28),IF(A13=3,LOOKUP(B13,'Max Rents &amp; Pmt Stds'!$C$15:$C$28,'Max Rents &amp; Pmt Stds'!$H$15:$H$28),IF(A13=4,LOOKUP(B13,'Max Rents &amp; Pmt Stds'!$C$15:$C$28,'Max Rents &amp; Pmt Stds'!$I$15:$I$28),0)))))</f>
        <v>0</v>
      </c>
      <c r="M13" s="1371">
        <f>IF(A13="SRO",'Project Info'!R$42,0)+IF(A13=0,'Project Info'!R$43,0)+IF(A13=1,'Project Info'!R$44,0)+IF(A13=2,'Project Info'!R$45,0)+IF(A13=3,'Project Info'!R$46,0)+IF(A13=4,'Project Info'!R$47,0)</f>
        <v>0</v>
      </c>
      <c r="N13" s="1372">
        <f t="shared" si="0"/>
        <v>0</v>
      </c>
      <c r="O13" s="1371">
        <f>IF(AND($A13=0,$G13="YES"),'Max Rents &amp; Pmt Stds'!$L$12,IF(AND(Rents!$A13=0,Rents!$G13="NO"),0,IF(AND($A13=1,$G13="YES"),'Max Rents &amp; Pmt Stds'!$M$12,IF(AND(Rents!$A13=1,Rents!$G13="NO"),0,IF(AND($A13=2,$G13="YES"),'Max Rents &amp; Pmt Stds'!$N$12,IF(AND(Rents!$A13=2,Rents!$G13="NO"),0,IF(AND($A13=3,$G13="YES"),'Max Rents &amp; Pmt Stds'!$O$12,IF(AND(Rents!$A13=3,Rents!$G13="NO"),0,IF(AND($A13=4,$G13="YES"),'Max Rents &amp; Pmt Stds'!$P$12,IF(AND(Rents!$A13=4,Rents!$G13="NO"),0,IF(AND($A13="SRO",G13="YES"),0,IF(AND(Rents!$A13="SRO",Rents!$G13="NO"),0,0))))))))))))</f>
        <v>0</v>
      </c>
      <c r="P13" s="1371">
        <f t="shared" si="14"/>
        <v>0</v>
      </c>
      <c r="Q13" s="375"/>
      <c r="R13" s="1373">
        <f t="shared" si="1"/>
        <v>0</v>
      </c>
      <c r="S13" s="1373">
        <f t="shared" si="2"/>
        <v>0</v>
      </c>
      <c r="T13" s="1373">
        <f t="shared" si="15"/>
        <v>0</v>
      </c>
      <c r="U13" s="807"/>
      <c r="V13" s="808"/>
      <c r="W13" s="1374" t="str">
        <f t="shared" ref="W13:W37" si="25">IFERROR(+O13/U13,"-")</f>
        <v>-</v>
      </c>
      <c r="X13" s="1374" t="str">
        <f t="shared" si="16"/>
        <v>-</v>
      </c>
      <c r="Y13" s="922"/>
      <c r="Z13" s="1375">
        <f t="shared" si="3"/>
        <v>0</v>
      </c>
      <c r="AA13" s="1375">
        <f t="shared" si="4"/>
        <v>0</v>
      </c>
      <c r="AB13" s="1375">
        <f t="shared" si="17"/>
        <v>0</v>
      </c>
      <c r="AC13" s="1366">
        <f t="shared" si="5"/>
        <v>0</v>
      </c>
      <c r="AD13" s="1366">
        <f t="shared" si="6"/>
        <v>0</v>
      </c>
      <c r="AE13" s="1375">
        <f t="shared" ref="AE13:AE37" si="26">+AD13*AC13</f>
        <v>0</v>
      </c>
      <c r="AF13" s="1366">
        <f t="shared" si="7"/>
        <v>0</v>
      </c>
      <c r="AG13" s="1366">
        <f t="shared" si="19"/>
        <v>0</v>
      </c>
      <c r="AH13" s="1366">
        <f t="shared" si="20"/>
        <v>0</v>
      </c>
      <c r="AI13" s="1366">
        <f t="shared" si="21"/>
        <v>0</v>
      </c>
      <c r="AJ13" s="1366">
        <f t="shared" si="22"/>
        <v>0</v>
      </c>
      <c r="AK13" s="1376">
        <f t="shared" si="8"/>
        <v>0</v>
      </c>
      <c r="AL13" s="1376">
        <f t="shared" si="9"/>
        <v>0</v>
      </c>
      <c r="AM13" s="1376">
        <f t="shared" si="10"/>
        <v>0</v>
      </c>
      <c r="AN13" s="1376">
        <f t="shared" si="23"/>
        <v>0</v>
      </c>
      <c r="AO13" s="1376">
        <f t="shared" si="11"/>
        <v>0</v>
      </c>
      <c r="AP13" s="1376">
        <f t="shared" si="12"/>
        <v>0</v>
      </c>
      <c r="AQ13" s="1376">
        <f t="shared" si="13"/>
        <v>0</v>
      </c>
      <c r="AR13" s="461">
        <f t="shared" si="24"/>
        <v>0</v>
      </c>
    </row>
    <row r="14" spans="1:44">
      <c r="A14" s="350" t="s">
        <v>267</v>
      </c>
      <c r="B14" s="862" t="s">
        <v>164</v>
      </c>
      <c r="C14" s="375"/>
      <c r="D14" s="805"/>
      <c r="E14" s="375"/>
      <c r="F14" s="293" t="s">
        <v>164</v>
      </c>
      <c r="G14" s="293" t="s">
        <v>164</v>
      </c>
      <c r="H14" s="293" t="s">
        <v>164</v>
      </c>
      <c r="I14" s="293" t="s">
        <v>164</v>
      </c>
      <c r="J14" s="293" t="s">
        <v>164</v>
      </c>
      <c r="K14" s="293" t="s">
        <v>164</v>
      </c>
      <c r="L14" s="1370">
        <f>IF(A14=0,LOOKUP(B14,'Max Rents &amp; Pmt Stds'!$C$15:$C$28,'Max Rents &amp; Pmt Stds'!$E$15:$E$28),IF(A14=1,LOOKUP(B14,'Max Rents &amp; Pmt Stds'!$C$15:$C$28,'Max Rents &amp; Pmt Stds'!$F$15:$F$28),IF(A14=2,LOOKUP(B14,'Max Rents &amp; Pmt Stds'!$C$15:$C$28,'Max Rents &amp; Pmt Stds'!$G$15:$G$28),IF(A14=3,LOOKUP(B14,'Max Rents &amp; Pmt Stds'!$C$15:$C$28,'Max Rents &amp; Pmt Stds'!$H$15:$H$28),IF(A14=4,LOOKUP(B14,'Max Rents &amp; Pmt Stds'!$C$15:$C$28,'Max Rents &amp; Pmt Stds'!$I$15:$I$28),0)))))</f>
        <v>0</v>
      </c>
      <c r="M14" s="1371">
        <f>IF(A14="SRO",'Project Info'!R$42,0)+IF(A14=0,'Project Info'!R$43,0)+IF(A14=1,'Project Info'!R$44,0)+IF(A14=2,'Project Info'!R$45,0)+IF(A14=3,'Project Info'!R$46,0)+IF(A14=4,'Project Info'!R$47,0)</f>
        <v>0</v>
      </c>
      <c r="N14" s="1372">
        <f t="shared" si="0"/>
        <v>0</v>
      </c>
      <c r="O14" s="1371">
        <f>IF(AND($A14=0,$G14="YES"),'Max Rents &amp; Pmt Stds'!$L$12,IF(AND(Rents!$A14=0,Rents!$G14="NO"),0,IF(AND($A14=1,$G14="YES"),'Max Rents &amp; Pmt Stds'!$M$12,IF(AND(Rents!$A14=1,Rents!$G14="NO"),0,IF(AND($A14=2,$G14="YES"),'Max Rents &amp; Pmt Stds'!$N$12,IF(AND(Rents!$A14=2,Rents!$G14="NO"),0,IF(AND($A14=3,$G14="YES"),'Max Rents &amp; Pmt Stds'!$O$12,IF(AND(Rents!$A14=3,Rents!$G14="NO"),0,IF(AND($A14=4,$G14="YES"),'Max Rents &amp; Pmt Stds'!$P$12,IF(AND(Rents!$A14=4,Rents!$G14="NO"),0,IF(AND($A14="SRO",G14="YES"),0,IF(AND(Rents!$A14="SRO",Rents!$G14="NO"),0,0))))))))))))</f>
        <v>0</v>
      </c>
      <c r="P14" s="1371">
        <f t="shared" si="14"/>
        <v>0</v>
      </c>
      <c r="Q14" s="375"/>
      <c r="R14" s="1373">
        <f t="shared" si="1"/>
        <v>0</v>
      </c>
      <c r="S14" s="1373">
        <f t="shared" si="2"/>
        <v>0</v>
      </c>
      <c r="T14" s="1373">
        <f t="shared" si="15"/>
        <v>0</v>
      </c>
      <c r="U14" s="807"/>
      <c r="V14" s="808"/>
      <c r="W14" s="1374" t="str">
        <f t="shared" si="25"/>
        <v>-</v>
      </c>
      <c r="X14" s="1374" t="str">
        <f t="shared" si="16"/>
        <v>-</v>
      </c>
      <c r="Y14" s="922"/>
      <c r="Z14" s="1375">
        <f t="shared" si="3"/>
        <v>0</v>
      </c>
      <c r="AA14" s="1375">
        <f t="shared" si="4"/>
        <v>0</v>
      </c>
      <c r="AB14" s="1375">
        <f t="shared" si="17"/>
        <v>0</v>
      </c>
      <c r="AC14" s="1366">
        <f t="shared" si="5"/>
        <v>0</v>
      </c>
      <c r="AD14" s="1366">
        <f t="shared" si="6"/>
        <v>0</v>
      </c>
      <c r="AE14" s="1375">
        <f t="shared" si="26"/>
        <v>0</v>
      </c>
      <c r="AF14" s="1366">
        <f t="shared" si="7"/>
        <v>0</v>
      </c>
      <c r="AG14" s="1366">
        <f t="shared" si="19"/>
        <v>0</v>
      </c>
      <c r="AH14" s="1366">
        <f t="shared" si="20"/>
        <v>0</v>
      </c>
      <c r="AI14" s="1366">
        <f t="shared" si="21"/>
        <v>0</v>
      </c>
      <c r="AJ14" s="1366">
        <f t="shared" si="22"/>
        <v>0</v>
      </c>
      <c r="AK14" s="1376">
        <f t="shared" si="8"/>
        <v>0</v>
      </c>
      <c r="AL14" s="1376">
        <f t="shared" si="9"/>
        <v>0</v>
      </c>
      <c r="AM14" s="1376">
        <f t="shared" si="10"/>
        <v>0</v>
      </c>
      <c r="AN14" s="1376">
        <f t="shared" si="23"/>
        <v>0</v>
      </c>
      <c r="AO14" s="1376">
        <f t="shared" si="11"/>
        <v>0</v>
      </c>
      <c r="AP14" s="1376">
        <f t="shared" si="12"/>
        <v>0</v>
      </c>
      <c r="AQ14" s="1376">
        <f t="shared" si="13"/>
        <v>0</v>
      </c>
      <c r="AR14" s="461">
        <f t="shared" si="24"/>
        <v>0</v>
      </c>
    </row>
    <row r="15" spans="1:44">
      <c r="A15" s="350" t="s">
        <v>267</v>
      </c>
      <c r="B15" s="862" t="s">
        <v>164</v>
      </c>
      <c r="C15" s="375"/>
      <c r="D15" s="805"/>
      <c r="E15" s="375"/>
      <c r="F15" s="293" t="s">
        <v>164</v>
      </c>
      <c r="G15" s="293" t="s">
        <v>164</v>
      </c>
      <c r="H15" s="293" t="s">
        <v>164</v>
      </c>
      <c r="I15" s="293" t="s">
        <v>164</v>
      </c>
      <c r="J15" s="293" t="s">
        <v>164</v>
      </c>
      <c r="K15" s="293" t="s">
        <v>164</v>
      </c>
      <c r="L15" s="1370">
        <f>IF(A15=0,LOOKUP(B15,'Max Rents &amp; Pmt Stds'!$C$15:$C$28,'Max Rents &amp; Pmt Stds'!$E$15:$E$28),IF(A15=1,LOOKUP(B15,'Max Rents &amp; Pmt Stds'!$C$15:$C$28,'Max Rents &amp; Pmt Stds'!$F$15:$F$28),IF(A15=2,LOOKUP(B15,'Max Rents &amp; Pmt Stds'!$C$15:$C$28,'Max Rents &amp; Pmt Stds'!$G$15:$G$28),IF(A15=3,LOOKUP(B15,'Max Rents &amp; Pmt Stds'!$C$15:$C$28,'Max Rents &amp; Pmt Stds'!$H$15:$H$28),IF(A15=4,LOOKUP(B15,'Max Rents &amp; Pmt Stds'!$C$15:$C$28,'Max Rents &amp; Pmt Stds'!$I$15:$I$28),IF(A15="SRO",LOOKUP(B15,'Max Rents &amp; Pmt Stds'!$C$15:$C$28,'Max Rents &amp; Pmt Stds'!$E$15:$E$28),0))))))</f>
        <v>0</v>
      </c>
      <c r="M15" s="1371">
        <f>IF(A15="SRO",'Project Info'!R$42,0)+IF(A15=0,'Project Info'!R$43,0)+IF(A15=1,'Project Info'!R$44,0)+IF(A15=2,'Project Info'!R$45,0)+IF(A15=3,'Project Info'!R$46,0)+IF(A15=4,'Project Info'!R$47,0)</f>
        <v>0</v>
      </c>
      <c r="N15" s="1372">
        <f t="shared" si="0"/>
        <v>0</v>
      </c>
      <c r="O15" s="1371">
        <f>IF(AND($A15=0,$G15="YES"),'Max Rents &amp; Pmt Stds'!$L$12,IF(AND(Rents!$A15=0,Rents!$G15="NO"),0,IF(AND($A15=1,$G15="YES"),'Max Rents &amp; Pmt Stds'!$M$12,IF(AND(Rents!$A15=1,Rents!$G15="NO"),0,IF(AND($A15=2,$G15="YES"),'Max Rents &amp; Pmt Stds'!$N$12,IF(AND(Rents!$A15=2,Rents!$G15="NO"),0,IF(AND($A15=3,$G15="YES"),'Max Rents &amp; Pmt Stds'!$O$12,IF(AND(Rents!$A15=3,Rents!$G15="NO"),0,IF(AND($A15=4,$G15="YES"),'Max Rents &amp; Pmt Stds'!$P$12,IF(AND(Rents!$A15=4,Rents!$G15="NO"),0,IF(AND($A15="SRO",G15="YES"),0,IF(AND(Rents!$A15="SRO",Rents!$G15="NO"),0,0))))))))))))</f>
        <v>0</v>
      </c>
      <c r="P15" s="1371">
        <f t="shared" si="14"/>
        <v>0</v>
      </c>
      <c r="Q15" s="375"/>
      <c r="R15" s="1373">
        <f t="shared" si="1"/>
        <v>0</v>
      </c>
      <c r="S15" s="1373">
        <f t="shared" si="2"/>
        <v>0</v>
      </c>
      <c r="T15" s="1373">
        <f t="shared" si="15"/>
        <v>0</v>
      </c>
      <c r="U15" s="807"/>
      <c r="V15" s="808"/>
      <c r="W15" s="1374" t="str">
        <f t="shared" si="25"/>
        <v>-</v>
      </c>
      <c r="X15" s="1374" t="str">
        <f t="shared" si="16"/>
        <v>-</v>
      </c>
      <c r="Y15" s="922"/>
      <c r="Z15" s="1375">
        <f t="shared" si="3"/>
        <v>0</v>
      </c>
      <c r="AA15" s="1375">
        <f t="shared" si="4"/>
        <v>0</v>
      </c>
      <c r="AB15" s="1375">
        <f t="shared" si="17"/>
        <v>0</v>
      </c>
      <c r="AC15" s="1366">
        <f t="shared" si="5"/>
        <v>0</v>
      </c>
      <c r="AD15" s="1366">
        <f t="shared" si="6"/>
        <v>0</v>
      </c>
      <c r="AE15" s="1375">
        <f t="shared" si="26"/>
        <v>0</v>
      </c>
      <c r="AF15" s="1366">
        <f t="shared" si="7"/>
        <v>0</v>
      </c>
      <c r="AG15" s="1366">
        <f t="shared" si="19"/>
        <v>0</v>
      </c>
      <c r="AH15" s="1366">
        <f t="shared" si="20"/>
        <v>0</v>
      </c>
      <c r="AI15" s="1366">
        <f t="shared" si="21"/>
        <v>0</v>
      </c>
      <c r="AJ15" s="1366">
        <f t="shared" si="22"/>
        <v>0</v>
      </c>
      <c r="AK15" s="1376">
        <f t="shared" si="8"/>
        <v>0</v>
      </c>
      <c r="AL15" s="1376">
        <f t="shared" si="9"/>
        <v>0</v>
      </c>
      <c r="AM15" s="1376">
        <f t="shared" si="10"/>
        <v>0</v>
      </c>
      <c r="AN15" s="1376">
        <f t="shared" si="23"/>
        <v>0</v>
      </c>
      <c r="AO15" s="1376">
        <f t="shared" si="11"/>
        <v>0</v>
      </c>
      <c r="AP15" s="1376">
        <f t="shared" si="12"/>
        <v>0</v>
      </c>
      <c r="AQ15" s="1376">
        <f t="shared" si="13"/>
        <v>0</v>
      </c>
      <c r="AR15" s="461">
        <f t="shared" si="24"/>
        <v>0</v>
      </c>
    </row>
    <row r="16" spans="1:44">
      <c r="A16" s="350" t="s">
        <v>267</v>
      </c>
      <c r="B16" s="862" t="s">
        <v>164</v>
      </c>
      <c r="C16" s="375"/>
      <c r="D16" s="805"/>
      <c r="E16" s="375"/>
      <c r="F16" s="293" t="s">
        <v>164</v>
      </c>
      <c r="G16" s="293" t="s">
        <v>164</v>
      </c>
      <c r="H16" s="293" t="s">
        <v>164</v>
      </c>
      <c r="I16" s="293" t="s">
        <v>164</v>
      </c>
      <c r="J16" s="293" t="s">
        <v>164</v>
      </c>
      <c r="K16" s="293" t="s">
        <v>164</v>
      </c>
      <c r="L16" s="1370">
        <f>IF(A16=0,LOOKUP(B16,'Max Rents &amp; Pmt Stds'!$C$15:$C$28,'Max Rents &amp; Pmt Stds'!$E$15:$E$28),IF(A16=1,LOOKUP(B16,'Max Rents &amp; Pmt Stds'!$C$15:$C$28,'Max Rents &amp; Pmt Stds'!$F$15:$F$28),IF(A16=2,LOOKUP(B16,'Max Rents &amp; Pmt Stds'!$C$15:$C$28,'Max Rents &amp; Pmt Stds'!$G$15:$G$28),IF(A16=3,LOOKUP(B16,'Max Rents &amp; Pmt Stds'!$C$15:$C$28,'Max Rents &amp; Pmt Stds'!$H$15:$H$28),IF(A16=4,LOOKUP(B16,'Max Rents &amp; Pmt Stds'!$C$15:$C$28,'Max Rents &amp; Pmt Stds'!$I$15:$I$28),0)))))</f>
        <v>0</v>
      </c>
      <c r="M16" s="1371">
        <f>IF(A16="SRO",'Project Info'!R$42,0)+IF(A16=0,'Project Info'!R$43,0)+IF(A16=1,'Project Info'!R$44,0)+IF(A16=2,'Project Info'!R$45,0)+IF(A16=3,'Project Info'!R$46,0)+IF(A16=4,'Project Info'!R$47,0)</f>
        <v>0</v>
      </c>
      <c r="N16" s="1372">
        <f t="shared" si="0"/>
        <v>0</v>
      </c>
      <c r="O16" s="1371">
        <f>IF(AND($A16=0,$G16="YES"),'Max Rents &amp; Pmt Stds'!$L$12,IF(AND(Rents!$A16=0,Rents!$G16="NO"),0,IF(AND($A16=1,$G16="YES"),'Max Rents &amp; Pmt Stds'!$M$12,IF(AND(Rents!$A16=1,Rents!$G16="NO"),0,IF(AND($A16=2,$G16="YES"),'Max Rents &amp; Pmt Stds'!$N$12,IF(AND(Rents!$A16=2,Rents!$G16="NO"),0,IF(AND($A16=3,$G16="YES"),'Max Rents &amp; Pmt Stds'!$O$12,IF(AND(Rents!$A16=3,Rents!$G16="NO"),0,IF(AND($A16=4,$G16="YES"),'Max Rents &amp; Pmt Stds'!$P$12,IF(AND(Rents!$A16=4,Rents!$G16="NO"),0,IF(AND($A16="SRO",G16="YES"),0,IF(AND(Rents!$A16="SRO",Rents!$G16="NO"),0,0))))))))))))</f>
        <v>0</v>
      </c>
      <c r="P16" s="1371">
        <f t="shared" si="14"/>
        <v>0</v>
      </c>
      <c r="Q16" s="375"/>
      <c r="R16" s="1373">
        <f t="shared" si="1"/>
        <v>0</v>
      </c>
      <c r="S16" s="1373">
        <f t="shared" si="2"/>
        <v>0</v>
      </c>
      <c r="T16" s="1373">
        <f t="shared" si="15"/>
        <v>0</v>
      </c>
      <c r="U16" s="807"/>
      <c r="V16" s="808"/>
      <c r="W16" s="1374" t="str">
        <f t="shared" si="25"/>
        <v>-</v>
      </c>
      <c r="X16" s="1374" t="str">
        <f t="shared" si="16"/>
        <v>-</v>
      </c>
      <c r="Y16" s="922"/>
      <c r="Z16" s="1375">
        <f t="shared" si="3"/>
        <v>0</v>
      </c>
      <c r="AA16" s="1375">
        <f t="shared" si="4"/>
        <v>0</v>
      </c>
      <c r="AB16" s="1375">
        <f t="shared" si="17"/>
        <v>0</v>
      </c>
      <c r="AC16" s="1366">
        <f t="shared" si="5"/>
        <v>0</v>
      </c>
      <c r="AD16" s="1366">
        <f t="shared" si="6"/>
        <v>0</v>
      </c>
      <c r="AE16" s="1375">
        <f t="shared" si="26"/>
        <v>0</v>
      </c>
      <c r="AF16" s="1366">
        <f t="shared" si="7"/>
        <v>0</v>
      </c>
      <c r="AG16" s="1366">
        <f t="shared" si="19"/>
        <v>0</v>
      </c>
      <c r="AH16" s="1366">
        <f t="shared" si="20"/>
        <v>0</v>
      </c>
      <c r="AI16" s="1366">
        <f t="shared" si="21"/>
        <v>0</v>
      </c>
      <c r="AJ16" s="1366">
        <f t="shared" si="22"/>
        <v>0</v>
      </c>
      <c r="AK16" s="1376">
        <f t="shared" si="8"/>
        <v>0</v>
      </c>
      <c r="AL16" s="1376">
        <f t="shared" si="9"/>
        <v>0</v>
      </c>
      <c r="AM16" s="1376">
        <f t="shared" si="10"/>
        <v>0</v>
      </c>
      <c r="AN16" s="1376">
        <f t="shared" si="23"/>
        <v>0</v>
      </c>
      <c r="AO16" s="1376">
        <f t="shared" si="11"/>
        <v>0</v>
      </c>
      <c r="AP16" s="1376">
        <f t="shared" si="12"/>
        <v>0</v>
      </c>
      <c r="AQ16" s="1376">
        <f t="shared" si="13"/>
        <v>0</v>
      </c>
      <c r="AR16" s="461">
        <f t="shared" si="24"/>
        <v>0</v>
      </c>
    </row>
    <row r="17" spans="1:44">
      <c r="A17" s="350" t="s">
        <v>267</v>
      </c>
      <c r="B17" s="862" t="s">
        <v>164</v>
      </c>
      <c r="C17" s="375"/>
      <c r="D17" s="805"/>
      <c r="E17" s="375"/>
      <c r="F17" s="293" t="s">
        <v>164</v>
      </c>
      <c r="G17" s="293" t="s">
        <v>164</v>
      </c>
      <c r="H17" s="293" t="s">
        <v>164</v>
      </c>
      <c r="I17" s="293" t="s">
        <v>164</v>
      </c>
      <c r="J17" s="293" t="s">
        <v>164</v>
      </c>
      <c r="K17" s="293" t="s">
        <v>164</v>
      </c>
      <c r="L17" s="1370">
        <f>IF(A17=0,LOOKUP(B17,'Max Rents &amp; Pmt Stds'!$C$15:$C$28,'Max Rents &amp; Pmt Stds'!$E$15:$E$28),IF(A17=1,LOOKUP(B17,'Max Rents &amp; Pmt Stds'!$C$15:$C$28,'Max Rents &amp; Pmt Stds'!$F$15:$F$28),IF(A17=2,LOOKUP(B17,'Max Rents &amp; Pmt Stds'!$C$15:$C$28,'Max Rents &amp; Pmt Stds'!$G$15:$G$28),IF(A17=3,LOOKUP(B17,'Max Rents &amp; Pmt Stds'!$C$15:$C$28,'Max Rents &amp; Pmt Stds'!$H$15:$H$28),IF(A17=4,LOOKUP(B17,'Max Rents &amp; Pmt Stds'!$C$15:$C$28,'Max Rents &amp; Pmt Stds'!$I$15:$I$28),0)))))</f>
        <v>0</v>
      </c>
      <c r="M17" s="1371">
        <f>IF(A17="SRO",'Project Info'!R$42,0)+IF(A17=0,'Project Info'!R$43,0)+IF(A17=1,'Project Info'!R$44,0)+IF(A17=2,'Project Info'!R$45,0)+IF(A17=3,'Project Info'!R$46,0)+IF(A17=4,'Project Info'!R$47,0)</f>
        <v>0</v>
      </c>
      <c r="N17" s="1372">
        <f t="shared" si="0"/>
        <v>0</v>
      </c>
      <c r="O17" s="1371">
        <f>IF(AND($A17=0,$G17="YES"),'Max Rents &amp; Pmt Stds'!$L$12,IF(AND(Rents!$A17=0,Rents!$G17="NO"),0,IF(AND($A17=1,$G17="YES"),'Max Rents &amp; Pmt Stds'!$M$12,IF(AND(Rents!$A17=1,Rents!$G17="NO"),0,IF(AND($A17=2,$G17="YES"),'Max Rents &amp; Pmt Stds'!$N$12,IF(AND(Rents!$A17=2,Rents!$G17="NO"),0,IF(AND($A17=3,$G17="YES"),'Max Rents &amp; Pmt Stds'!$O$12,IF(AND(Rents!$A17=3,Rents!$G17="NO"),0,IF(AND($A17=4,$G17="YES"),'Max Rents &amp; Pmt Stds'!$P$12,IF(AND(Rents!$A17=4,Rents!$G17="NO"),0,IF(AND($A17="SRO",G17="YES"),0,IF(AND(Rents!$A17="SRO",Rents!$G17="NO"),0,0))))))))))))</f>
        <v>0</v>
      </c>
      <c r="P17" s="1371">
        <f t="shared" si="14"/>
        <v>0</v>
      </c>
      <c r="Q17" s="375"/>
      <c r="R17" s="1373">
        <f t="shared" si="1"/>
        <v>0</v>
      </c>
      <c r="S17" s="1373">
        <f t="shared" si="2"/>
        <v>0</v>
      </c>
      <c r="T17" s="1373">
        <f t="shared" si="15"/>
        <v>0</v>
      </c>
      <c r="U17" s="807"/>
      <c r="V17" s="808"/>
      <c r="W17" s="1374" t="str">
        <f t="shared" si="25"/>
        <v>-</v>
      </c>
      <c r="X17" s="1374" t="str">
        <f t="shared" si="16"/>
        <v>-</v>
      </c>
      <c r="Y17" s="922"/>
      <c r="Z17" s="1375">
        <f t="shared" si="3"/>
        <v>0</v>
      </c>
      <c r="AA17" s="1375">
        <f t="shared" si="4"/>
        <v>0</v>
      </c>
      <c r="AB17" s="1375">
        <f t="shared" si="17"/>
        <v>0</v>
      </c>
      <c r="AC17" s="1366">
        <f t="shared" si="5"/>
        <v>0</v>
      </c>
      <c r="AD17" s="1366">
        <f t="shared" si="6"/>
        <v>0</v>
      </c>
      <c r="AE17" s="1375">
        <f t="shared" si="26"/>
        <v>0</v>
      </c>
      <c r="AF17" s="1366">
        <f t="shared" si="7"/>
        <v>0</v>
      </c>
      <c r="AG17" s="1366">
        <f t="shared" si="19"/>
        <v>0</v>
      </c>
      <c r="AH17" s="1366">
        <f t="shared" si="20"/>
        <v>0</v>
      </c>
      <c r="AI17" s="1366">
        <f t="shared" si="21"/>
        <v>0</v>
      </c>
      <c r="AJ17" s="1366">
        <f t="shared" si="22"/>
        <v>0</v>
      </c>
      <c r="AK17" s="1376">
        <f t="shared" si="8"/>
        <v>0</v>
      </c>
      <c r="AL17" s="1376">
        <f t="shared" si="9"/>
        <v>0</v>
      </c>
      <c r="AM17" s="1376">
        <f t="shared" si="10"/>
        <v>0</v>
      </c>
      <c r="AN17" s="1376">
        <f t="shared" si="23"/>
        <v>0</v>
      </c>
      <c r="AO17" s="1376">
        <f t="shared" si="11"/>
        <v>0</v>
      </c>
      <c r="AP17" s="1376">
        <f t="shared" si="12"/>
        <v>0</v>
      </c>
      <c r="AQ17" s="1376">
        <f t="shared" si="13"/>
        <v>0</v>
      </c>
      <c r="AR17" s="461">
        <f t="shared" si="24"/>
        <v>0</v>
      </c>
    </row>
    <row r="18" spans="1:44">
      <c r="A18" s="350" t="s">
        <v>267</v>
      </c>
      <c r="B18" s="862" t="s">
        <v>164</v>
      </c>
      <c r="C18" s="375"/>
      <c r="D18" s="805"/>
      <c r="E18" s="375"/>
      <c r="F18" s="293" t="s">
        <v>164</v>
      </c>
      <c r="G18" s="293" t="s">
        <v>164</v>
      </c>
      <c r="H18" s="293" t="s">
        <v>164</v>
      </c>
      <c r="I18" s="293" t="s">
        <v>164</v>
      </c>
      <c r="J18" s="293" t="s">
        <v>164</v>
      </c>
      <c r="K18" s="293" t="s">
        <v>164</v>
      </c>
      <c r="L18" s="1370">
        <f>IF(A18=0,LOOKUP(B18,'Max Rents &amp; Pmt Stds'!$C$15:$C$28,'Max Rents &amp; Pmt Stds'!$E$15:$E$28),IF(A18=1,LOOKUP(B18,'Max Rents &amp; Pmt Stds'!$C$15:$C$28,'Max Rents &amp; Pmt Stds'!$F$15:$F$28),IF(A18=2,LOOKUP(B18,'Max Rents &amp; Pmt Stds'!$C$15:$C$28,'Max Rents &amp; Pmt Stds'!$G$15:$G$28),IF(A18=3,LOOKUP(B18,'Max Rents &amp; Pmt Stds'!$C$15:$C$28,'Max Rents &amp; Pmt Stds'!$H$15:$H$28),IF(A18=4,LOOKUP(B18,'Max Rents &amp; Pmt Stds'!$C$15:$C$28,'Max Rents &amp; Pmt Stds'!$I$15:$I$28),0)))))</f>
        <v>0</v>
      </c>
      <c r="M18" s="1371">
        <f>IF(A18="SRO",'Project Info'!R$42,0)+IF(A18=0,'Project Info'!R$43,0)+IF(A18=1,'Project Info'!R$44,0)+IF(A18=2,'Project Info'!R$45,0)+IF(A18=3,'Project Info'!R$46,0)+IF(A18=4,'Project Info'!R$47,0)</f>
        <v>0</v>
      </c>
      <c r="N18" s="1372">
        <f t="shared" si="0"/>
        <v>0</v>
      </c>
      <c r="O18" s="1371">
        <f>IF(AND($A18=0,$G18="YES"),'Max Rents &amp; Pmt Stds'!$L$12,IF(AND(Rents!$A18=0,Rents!$G18="NO"),0,IF(AND($A18=1,$G18="YES"),'Max Rents &amp; Pmt Stds'!$M$12,IF(AND(Rents!$A18=1,Rents!$G18="NO"),0,IF(AND($A18=2,$G18="YES"),'Max Rents &amp; Pmt Stds'!$N$12,IF(AND(Rents!$A18=2,Rents!$G18="NO"),0,IF(AND($A18=3,$G18="YES"),'Max Rents &amp; Pmt Stds'!$O$12,IF(AND(Rents!$A18=3,Rents!$G18="NO"),0,IF(AND($A18=4,$G18="YES"),'Max Rents &amp; Pmt Stds'!$P$12,IF(AND(Rents!$A18=4,Rents!$G18="NO"),0,IF(AND($A18="SRO",G18="YES"),0,IF(AND(Rents!$A18="SRO",Rents!$G18="NO"),0,0))))))))))))</f>
        <v>0</v>
      </c>
      <c r="P18" s="1371"/>
      <c r="Q18" s="375"/>
      <c r="R18" s="1373">
        <f t="shared" si="1"/>
        <v>0</v>
      </c>
      <c r="S18" s="1373">
        <f t="shared" ref="S18:S37" si="27">+Q18*C18*12</f>
        <v>0</v>
      </c>
      <c r="T18" s="1373">
        <f t="shared" si="15"/>
        <v>0</v>
      </c>
      <c r="U18" s="807"/>
      <c r="V18" s="808"/>
      <c r="W18" s="1374" t="str">
        <f t="shared" si="25"/>
        <v>-</v>
      </c>
      <c r="X18" s="1374" t="str">
        <f t="shared" si="16"/>
        <v>-</v>
      </c>
      <c r="Y18" s="922"/>
      <c r="Z18" s="1375">
        <f t="shared" si="3"/>
        <v>0</v>
      </c>
      <c r="AA18" s="1375">
        <f t="shared" si="4"/>
        <v>0</v>
      </c>
      <c r="AB18" s="1375">
        <f t="shared" si="17"/>
        <v>0</v>
      </c>
      <c r="AC18" s="1366">
        <f t="shared" si="5"/>
        <v>0</v>
      </c>
      <c r="AD18" s="1366">
        <f t="shared" si="6"/>
        <v>0</v>
      </c>
      <c r="AE18" s="1375">
        <f t="shared" si="26"/>
        <v>0</v>
      </c>
      <c r="AF18" s="1366">
        <f t="shared" si="7"/>
        <v>0</v>
      </c>
      <c r="AG18" s="1366">
        <f t="shared" si="19"/>
        <v>0</v>
      </c>
      <c r="AH18" s="1366">
        <f t="shared" si="20"/>
        <v>0</v>
      </c>
      <c r="AI18" s="1366">
        <f t="shared" si="21"/>
        <v>0</v>
      </c>
      <c r="AJ18" s="1366">
        <f t="shared" si="22"/>
        <v>0</v>
      </c>
      <c r="AK18" s="1376">
        <f t="shared" si="8"/>
        <v>0</v>
      </c>
      <c r="AL18" s="1376">
        <f t="shared" si="9"/>
        <v>0</v>
      </c>
      <c r="AM18" s="1376">
        <f t="shared" si="10"/>
        <v>0</v>
      </c>
      <c r="AN18" s="1376">
        <f t="shared" si="23"/>
        <v>0</v>
      </c>
      <c r="AO18" s="1376">
        <f t="shared" si="11"/>
        <v>0</v>
      </c>
      <c r="AP18" s="1376">
        <f t="shared" si="12"/>
        <v>0</v>
      </c>
      <c r="AQ18" s="1376">
        <f t="shared" si="13"/>
        <v>0</v>
      </c>
      <c r="AR18" s="461">
        <f t="shared" si="24"/>
        <v>0</v>
      </c>
    </row>
    <row r="19" spans="1:44">
      <c r="A19" s="350" t="s">
        <v>267</v>
      </c>
      <c r="B19" s="862" t="s">
        <v>164</v>
      </c>
      <c r="C19" s="375"/>
      <c r="D19" s="805"/>
      <c r="E19" s="375"/>
      <c r="F19" s="293" t="s">
        <v>164</v>
      </c>
      <c r="G19" s="293" t="s">
        <v>164</v>
      </c>
      <c r="H19" s="293" t="s">
        <v>164</v>
      </c>
      <c r="I19" s="293" t="s">
        <v>164</v>
      </c>
      <c r="J19" s="293" t="s">
        <v>164</v>
      </c>
      <c r="K19" s="293" t="s">
        <v>164</v>
      </c>
      <c r="L19" s="1370">
        <f>IF(A19=0,LOOKUP(B19,'Max Rents &amp; Pmt Stds'!$C$15:$C$28,'Max Rents &amp; Pmt Stds'!$E$15:$E$28),IF(A19=1,LOOKUP(B19,'Max Rents &amp; Pmt Stds'!$C$15:$C$28,'Max Rents &amp; Pmt Stds'!$F$15:$F$28),IF(A19=2,LOOKUP(B19,'Max Rents &amp; Pmt Stds'!$C$15:$C$28,'Max Rents &amp; Pmt Stds'!$G$15:$G$28),IF(A19=3,LOOKUP(B19,'Max Rents &amp; Pmt Stds'!$C$15:$C$28,'Max Rents &amp; Pmt Stds'!$H$15:$H$28),IF(A19=4,LOOKUP(B19,'Max Rents &amp; Pmt Stds'!$C$15:$C$28,'Max Rents &amp; Pmt Stds'!$I$15:$I$28),0)))))</f>
        <v>0</v>
      </c>
      <c r="M19" s="1371">
        <f>IF(A19="SRO",'Project Info'!R$42,0)+IF(A19=0,'Project Info'!R$43,0)+IF(A19=1,'Project Info'!R$44,0)+IF(A19=2,'Project Info'!R$45,0)+IF(A19=3,'Project Info'!R$46,0)+IF(A19=4,'Project Info'!R$47,0)</f>
        <v>0</v>
      </c>
      <c r="N19" s="1372">
        <f t="shared" si="0"/>
        <v>0</v>
      </c>
      <c r="O19" s="1371">
        <f>IF(AND($A19=0,$G19="YES"),'Max Rents &amp; Pmt Stds'!$L$12,IF(AND(Rents!$A19=0,Rents!$G19="NO"),0,IF(AND($A19=1,$G19="YES"),'Max Rents &amp; Pmt Stds'!$M$12,IF(AND(Rents!$A19=1,Rents!$G19="NO"),0,IF(AND($A19=2,$G19="YES"),'Max Rents &amp; Pmt Stds'!$N$12,IF(AND(Rents!$A19=2,Rents!$G19="NO"),0,IF(AND($A19=3,$G19="YES"),'Max Rents &amp; Pmt Stds'!$O$12,IF(AND(Rents!$A19=3,Rents!$G19="NO"),0,IF(AND($A19=4,$G19="YES"),'Max Rents &amp; Pmt Stds'!$P$12,IF(AND(Rents!$A19=4,Rents!$G19="NO"),0,IF(AND($A19="SRO",G19="YES"),0,IF(AND(Rents!$A19="SRO",Rents!$G19="NO"),0,0))))))))))))</f>
        <v>0</v>
      </c>
      <c r="P19" s="1371"/>
      <c r="Q19" s="375"/>
      <c r="R19" s="1373">
        <f t="shared" si="1"/>
        <v>0</v>
      </c>
      <c r="S19" s="1373">
        <f t="shared" si="27"/>
        <v>0</v>
      </c>
      <c r="T19" s="1373">
        <f t="shared" si="15"/>
        <v>0</v>
      </c>
      <c r="U19" s="807"/>
      <c r="V19" s="808"/>
      <c r="W19" s="1374" t="str">
        <f t="shared" si="25"/>
        <v>-</v>
      </c>
      <c r="X19" s="1374" t="str">
        <f t="shared" si="16"/>
        <v>-</v>
      </c>
      <c r="Y19" s="922"/>
      <c r="Z19" s="1375">
        <f t="shared" si="3"/>
        <v>0</v>
      </c>
      <c r="AA19" s="1375">
        <f t="shared" si="4"/>
        <v>0</v>
      </c>
      <c r="AB19" s="1375">
        <f t="shared" si="17"/>
        <v>0</v>
      </c>
      <c r="AC19" s="1366">
        <f t="shared" si="5"/>
        <v>0</v>
      </c>
      <c r="AD19" s="1366">
        <f t="shared" si="6"/>
        <v>0</v>
      </c>
      <c r="AE19" s="1375">
        <f t="shared" si="26"/>
        <v>0</v>
      </c>
      <c r="AF19" s="1366">
        <f t="shared" si="7"/>
        <v>0</v>
      </c>
      <c r="AG19" s="1366">
        <f t="shared" si="19"/>
        <v>0</v>
      </c>
      <c r="AH19" s="1366">
        <f t="shared" si="20"/>
        <v>0</v>
      </c>
      <c r="AI19" s="1366">
        <f t="shared" si="21"/>
        <v>0</v>
      </c>
      <c r="AJ19" s="1366">
        <f t="shared" si="22"/>
        <v>0</v>
      </c>
      <c r="AK19" s="1376">
        <f t="shared" si="8"/>
        <v>0</v>
      </c>
      <c r="AL19" s="1376">
        <f t="shared" si="9"/>
        <v>0</v>
      </c>
      <c r="AM19" s="1376">
        <f t="shared" si="10"/>
        <v>0</v>
      </c>
      <c r="AN19" s="1376">
        <f t="shared" si="23"/>
        <v>0</v>
      </c>
      <c r="AO19" s="1376">
        <f t="shared" si="11"/>
        <v>0</v>
      </c>
      <c r="AP19" s="1376">
        <f t="shared" si="12"/>
        <v>0</v>
      </c>
      <c r="AQ19" s="1376">
        <f t="shared" si="13"/>
        <v>0</v>
      </c>
      <c r="AR19" s="461">
        <f t="shared" si="24"/>
        <v>0</v>
      </c>
    </row>
    <row r="20" spans="1:44">
      <c r="A20" s="350" t="s">
        <v>267</v>
      </c>
      <c r="B20" s="862" t="s">
        <v>164</v>
      </c>
      <c r="C20" s="375"/>
      <c r="D20" s="805"/>
      <c r="E20" s="375"/>
      <c r="F20" s="293" t="s">
        <v>164</v>
      </c>
      <c r="G20" s="293" t="s">
        <v>164</v>
      </c>
      <c r="H20" s="293" t="s">
        <v>164</v>
      </c>
      <c r="I20" s="293" t="s">
        <v>164</v>
      </c>
      <c r="J20" s="293" t="s">
        <v>164</v>
      </c>
      <c r="K20" s="293" t="s">
        <v>164</v>
      </c>
      <c r="L20" s="1370">
        <f>IF(A20=0,LOOKUP(B20,'Max Rents &amp; Pmt Stds'!$C$15:$C$28,'Max Rents &amp; Pmt Stds'!$E$15:$E$28),IF(A20=1,LOOKUP(B20,'Max Rents &amp; Pmt Stds'!$C$15:$C$28,'Max Rents &amp; Pmt Stds'!$F$15:$F$28),IF(A20=2,LOOKUP(B20,'Max Rents &amp; Pmt Stds'!$C$15:$C$28,'Max Rents &amp; Pmt Stds'!$G$15:$G$28),IF(A20=3,LOOKUP(B20,'Max Rents &amp; Pmt Stds'!$C$15:$C$28,'Max Rents &amp; Pmt Stds'!$H$15:$H$28),IF(A20=4,LOOKUP(B20,'Max Rents &amp; Pmt Stds'!$C$15:$C$28,'Max Rents &amp; Pmt Stds'!$I$15:$I$28),0)))))</f>
        <v>0</v>
      </c>
      <c r="M20" s="1371">
        <f>IF(A20="SRO",'Project Info'!R$42,0)+IF(A20=0,'Project Info'!R$43,0)+IF(A20=1,'Project Info'!R$44,0)+IF(A20=2,'Project Info'!R$45,0)+IF(A20=3,'Project Info'!R$46,0)+IF(A20=4,'Project Info'!R$47,0)</f>
        <v>0</v>
      </c>
      <c r="N20" s="1372">
        <f t="shared" si="0"/>
        <v>0</v>
      </c>
      <c r="O20" s="1371">
        <f>IF(AND($A20=0,$G20="YES"),'Max Rents &amp; Pmt Stds'!$L$12,IF(AND(Rents!$A20=0,Rents!$G20="NO"),0,IF(AND($A20=1,$G20="YES"),'Max Rents &amp; Pmt Stds'!$M$12,IF(AND(Rents!$A20=1,Rents!$G20="NO"),0,IF(AND($A20=2,$G20="YES"),'Max Rents &amp; Pmt Stds'!$N$12,IF(AND(Rents!$A20=2,Rents!$G20="NO"),0,IF(AND($A20=3,$G20="YES"),'Max Rents &amp; Pmt Stds'!$O$12,IF(AND(Rents!$A20=3,Rents!$G20="NO"),0,IF(AND($A20=4,$G20="YES"),'Max Rents &amp; Pmt Stds'!$P$12,IF(AND(Rents!$A20=4,Rents!$G20="NO"),0,IF(AND($A20="SRO",G20="YES"),0,IF(AND(Rents!$A20="SRO",Rents!$G20="NO"),0,0))))))))))))</f>
        <v>0</v>
      </c>
      <c r="P20" s="1371"/>
      <c r="Q20" s="375"/>
      <c r="R20" s="1373">
        <f t="shared" si="1"/>
        <v>0</v>
      </c>
      <c r="S20" s="1373">
        <f t="shared" si="27"/>
        <v>0</v>
      </c>
      <c r="T20" s="1373">
        <f t="shared" si="15"/>
        <v>0</v>
      </c>
      <c r="U20" s="807"/>
      <c r="V20" s="808"/>
      <c r="W20" s="1374" t="str">
        <f t="shared" si="25"/>
        <v>-</v>
      </c>
      <c r="X20" s="1374" t="str">
        <f t="shared" si="16"/>
        <v>-</v>
      </c>
      <c r="Y20" s="922"/>
      <c r="Z20" s="1375">
        <f t="shared" si="3"/>
        <v>0</v>
      </c>
      <c r="AA20" s="1375">
        <f t="shared" si="4"/>
        <v>0</v>
      </c>
      <c r="AB20" s="1375">
        <f t="shared" si="17"/>
        <v>0</v>
      </c>
      <c r="AC20" s="1366">
        <f t="shared" si="5"/>
        <v>0</v>
      </c>
      <c r="AD20" s="1366">
        <f t="shared" si="6"/>
        <v>0</v>
      </c>
      <c r="AE20" s="1375">
        <f t="shared" si="26"/>
        <v>0</v>
      </c>
      <c r="AF20" s="1366">
        <f t="shared" si="7"/>
        <v>0</v>
      </c>
      <c r="AG20" s="1366">
        <f t="shared" si="19"/>
        <v>0</v>
      </c>
      <c r="AH20" s="1366">
        <f t="shared" si="20"/>
        <v>0</v>
      </c>
      <c r="AI20" s="1366">
        <f t="shared" si="21"/>
        <v>0</v>
      </c>
      <c r="AJ20" s="1366">
        <f t="shared" si="22"/>
        <v>0</v>
      </c>
      <c r="AK20" s="1376">
        <f t="shared" si="8"/>
        <v>0</v>
      </c>
      <c r="AL20" s="1376">
        <f t="shared" si="9"/>
        <v>0</v>
      </c>
      <c r="AM20" s="1376">
        <f t="shared" si="10"/>
        <v>0</v>
      </c>
      <c r="AN20" s="1376">
        <f t="shared" si="23"/>
        <v>0</v>
      </c>
      <c r="AO20" s="1376">
        <f t="shared" si="11"/>
        <v>0</v>
      </c>
      <c r="AP20" s="1376">
        <f t="shared" si="12"/>
        <v>0</v>
      </c>
      <c r="AQ20" s="1376">
        <f t="shared" si="13"/>
        <v>0</v>
      </c>
      <c r="AR20" s="461">
        <f t="shared" si="24"/>
        <v>0</v>
      </c>
    </row>
    <row r="21" spans="1:44">
      <c r="A21" s="350" t="s">
        <v>267</v>
      </c>
      <c r="B21" s="862" t="s">
        <v>164</v>
      </c>
      <c r="C21" s="375"/>
      <c r="D21" s="805"/>
      <c r="E21" s="375"/>
      <c r="F21" s="293" t="s">
        <v>164</v>
      </c>
      <c r="G21" s="293" t="s">
        <v>164</v>
      </c>
      <c r="H21" s="293" t="s">
        <v>164</v>
      </c>
      <c r="I21" s="293" t="s">
        <v>164</v>
      </c>
      <c r="J21" s="293" t="s">
        <v>164</v>
      </c>
      <c r="K21" s="293" t="s">
        <v>164</v>
      </c>
      <c r="L21" s="1370">
        <f>IF(A21=0,LOOKUP(B21,'Max Rents &amp; Pmt Stds'!$C$15:$C$28,'Max Rents &amp; Pmt Stds'!$E$15:$E$28),IF(A21=1,LOOKUP(B21,'Max Rents &amp; Pmt Stds'!$C$15:$C$28,'Max Rents &amp; Pmt Stds'!$F$15:$F$28),IF(A21=2,LOOKUP(B21,'Max Rents &amp; Pmt Stds'!$C$15:$C$28,'Max Rents &amp; Pmt Stds'!$G$15:$G$28),IF(A21=3,LOOKUP(B21,'Max Rents &amp; Pmt Stds'!$C$15:$C$28,'Max Rents &amp; Pmt Stds'!$H$15:$H$28),IF(A21=4,LOOKUP(B21,'Max Rents &amp; Pmt Stds'!$C$15:$C$28,'Max Rents &amp; Pmt Stds'!$I$15:$I$28),0)))))</f>
        <v>0</v>
      </c>
      <c r="M21" s="1371">
        <f>IF(A21="SRO",'Project Info'!R$42,0)+IF(A21=0,'Project Info'!R$43,0)+IF(A21=1,'Project Info'!R$44,0)+IF(A21=2,'Project Info'!R$45,0)+IF(A21=3,'Project Info'!R$46,0)+IF(A21=4,'Project Info'!R$47,0)</f>
        <v>0</v>
      </c>
      <c r="N21" s="1372">
        <f t="shared" si="0"/>
        <v>0</v>
      </c>
      <c r="O21" s="1371">
        <f>IF(AND($A21=0,$G21="YES"),'Max Rents &amp; Pmt Stds'!$L$12,IF(AND(Rents!$A21=0,Rents!$G21="NO"),0,IF(AND($A21=1,$G21="YES"),'Max Rents &amp; Pmt Stds'!$M$12,IF(AND(Rents!$A21=1,Rents!$G21="NO"),0,IF(AND($A21=2,$G21="YES"),'Max Rents &amp; Pmt Stds'!$N$12,IF(AND(Rents!$A21=2,Rents!$G21="NO"),0,IF(AND($A21=3,$G21="YES"),'Max Rents &amp; Pmt Stds'!$O$12,IF(AND(Rents!$A21=3,Rents!$G21="NO"),0,IF(AND($A21=4,$G21="YES"),'Max Rents &amp; Pmt Stds'!$P$12,IF(AND(Rents!$A21=4,Rents!$G21="NO"),0,IF(AND($A21="SRO",G21="YES"),0,IF(AND(Rents!$A21="SRO",Rents!$G21="NO"),0,0))))))))))))</f>
        <v>0</v>
      </c>
      <c r="P21" s="1371"/>
      <c r="Q21" s="375"/>
      <c r="R21" s="1373">
        <f t="shared" si="1"/>
        <v>0</v>
      </c>
      <c r="S21" s="1373">
        <f t="shared" si="27"/>
        <v>0</v>
      </c>
      <c r="T21" s="1373">
        <f t="shared" si="15"/>
        <v>0</v>
      </c>
      <c r="U21" s="807"/>
      <c r="V21" s="808"/>
      <c r="W21" s="1374" t="str">
        <f t="shared" si="25"/>
        <v>-</v>
      </c>
      <c r="X21" s="1374" t="str">
        <f t="shared" si="16"/>
        <v>-</v>
      </c>
      <c r="Y21" s="922"/>
      <c r="Z21" s="1375">
        <f t="shared" si="3"/>
        <v>0</v>
      </c>
      <c r="AA21" s="1375">
        <f t="shared" si="4"/>
        <v>0</v>
      </c>
      <c r="AB21" s="1375">
        <f t="shared" si="17"/>
        <v>0</v>
      </c>
      <c r="AC21" s="1366">
        <f t="shared" si="5"/>
        <v>0</v>
      </c>
      <c r="AD21" s="1366">
        <f t="shared" si="6"/>
        <v>0</v>
      </c>
      <c r="AE21" s="1375">
        <f t="shared" si="26"/>
        <v>0</v>
      </c>
      <c r="AF21" s="1366">
        <f t="shared" si="7"/>
        <v>0</v>
      </c>
      <c r="AG21" s="1366">
        <f t="shared" si="19"/>
        <v>0</v>
      </c>
      <c r="AH21" s="1366">
        <f t="shared" si="20"/>
        <v>0</v>
      </c>
      <c r="AI21" s="1366">
        <f t="shared" si="21"/>
        <v>0</v>
      </c>
      <c r="AJ21" s="1366">
        <f t="shared" si="22"/>
        <v>0</v>
      </c>
      <c r="AK21" s="1376">
        <f t="shared" si="8"/>
        <v>0</v>
      </c>
      <c r="AL21" s="1376">
        <f t="shared" si="9"/>
        <v>0</v>
      </c>
      <c r="AM21" s="1376">
        <f t="shared" si="10"/>
        <v>0</v>
      </c>
      <c r="AN21" s="1376">
        <f t="shared" si="23"/>
        <v>0</v>
      </c>
      <c r="AO21" s="1376">
        <f t="shared" si="11"/>
        <v>0</v>
      </c>
      <c r="AP21" s="1376">
        <f t="shared" si="12"/>
        <v>0</v>
      </c>
      <c r="AQ21" s="1376">
        <f t="shared" si="13"/>
        <v>0</v>
      </c>
      <c r="AR21" s="461">
        <f t="shared" si="24"/>
        <v>0</v>
      </c>
    </row>
    <row r="22" spans="1:44">
      <c r="A22" s="350" t="s">
        <v>267</v>
      </c>
      <c r="B22" s="862" t="s">
        <v>164</v>
      </c>
      <c r="C22" s="375"/>
      <c r="D22" s="805"/>
      <c r="E22" s="375"/>
      <c r="F22" s="293" t="s">
        <v>164</v>
      </c>
      <c r="G22" s="293" t="s">
        <v>164</v>
      </c>
      <c r="H22" s="293" t="s">
        <v>164</v>
      </c>
      <c r="I22" s="293" t="s">
        <v>164</v>
      </c>
      <c r="J22" s="293" t="s">
        <v>164</v>
      </c>
      <c r="K22" s="293" t="s">
        <v>164</v>
      </c>
      <c r="L22" s="1370">
        <f>IF(A22=0,LOOKUP(B22,'Max Rents &amp; Pmt Stds'!$C$15:$C$28,'Max Rents &amp; Pmt Stds'!$E$15:$E$28),IF(A22=1,LOOKUP(B22,'Max Rents &amp; Pmt Stds'!$C$15:$C$28,'Max Rents &amp; Pmt Stds'!$F$15:$F$28),IF(A22=2,LOOKUP(B22,'Max Rents &amp; Pmt Stds'!$C$15:$C$28,'Max Rents &amp; Pmt Stds'!$G$15:$G$28),IF(A22=3,LOOKUP(B22,'Max Rents &amp; Pmt Stds'!$C$15:$C$28,'Max Rents &amp; Pmt Stds'!$H$15:$H$28),IF(A22=4,LOOKUP(B22,'Max Rents &amp; Pmt Stds'!$C$15:$C$28,'Max Rents &amp; Pmt Stds'!$I$15:$I$28),0)))))</f>
        <v>0</v>
      </c>
      <c r="M22" s="1371">
        <f>IF(A22="SRO",'Project Info'!R$42,0)+IF(A22=0,'Project Info'!R$43,0)+IF(A22=1,'Project Info'!R$44,0)+IF(A22=2,'Project Info'!R$45,0)+IF(A22=3,'Project Info'!R$46,0)+IF(A22=4,'Project Info'!R$47,0)</f>
        <v>0</v>
      </c>
      <c r="N22" s="1372">
        <f t="shared" si="0"/>
        <v>0</v>
      </c>
      <c r="O22" s="1371">
        <f>IF(AND($A22=0,$G22="YES"),'Max Rents &amp; Pmt Stds'!$L$12,IF(AND(Rents!$A22=0,Rents!$G22="NO"),0,IF(AND($A22=1,$G22="YES"),'Max Rents &amp; Pmt Stds'!$M$12,IF(AND(Rents!$A22=1,Rents!$G22="NO"),0,IF(AND($A22=2,$G22="YES"),'Max Rents &amp; Pmt Stds'!$N$12,IF(AND(Rents!$A22=2,Rents!$G22="NO"),0,IF(AND($A22=3,$G22="YES"),'Max Rents &amp; Pmt Stds'!$O$12,IF(AND(Rents!$A22=3,Rents!$G22="NO"),0,IF(AND($A22=4,$G22="YES"),'Max Rents &amp; Pmt Stds'!$P$12,IF(AND(Rents!$A22=4,Rents!$G22="NO"),0,IF(AND($A22="SRO",G22="YES"),0,IF(AND(Rents!$A22="SRO",Rents!$G22="NO"),0,0))))))))))))</f>
        <v>0</v>
      </c>
      <c r="P22" s="1371"/>
      <c r="Q22" s="375"/>
      <c r="R22" s="1373">
        <f t="shared" si="1"/>
        <v>0</v>
      </c>
      <c r="S22" s="1373">
        <f t="shared" si="27"/>
        <v>0</v>
      </c>
      <c r="T22" s="1373">
        <f t="shared" si="15"/>
        <v>0</v>
      </c>
      <c r="U22" s="807"/>
      <c r="V22" s="808"/>
      <c r="W22" s="1374" t="str">
        <f t="shared" si="25"/>
        <v>-</v>
      </c>
      <c r="X22" s="1374" t="str">
        <f t="shared" si="16"/>
        <v>-</v>
      </c>
      <c r="Y22" s="922"/>
      <c r="Z22" s="1375">
        <f t="shared" si="3"/>
        <v>0</v>
      </c>
      <c r="AA22" s="1375">
        <f t="shared" si="4"/>
        <v>0</v>
      </c>
      <c r="AB22" s="1375">
        <f t="shared" si="17"/>
        <v>0</v>
      </c>
      <c r="AC22" s="1366">
        <f t="shared" si="5"/>
        <v>0</v>
      </c>
      <c r="AD22" s="1366">
        <f t="shared" si="6"/>
        <v>0</v>
      </c>
      <c r="AE22" s="1375">
        <f t="shared" si="26"/>
        <v>0</v>
      </c>
      <c r="AF22" s="1366">
        <f t="shared" si="7"/>
        <v>0</v>
      </c>
      <c r="AG22" s="1366">
        <f t="shared" si="19"/>
        <v>0</v>
      </c>
      <c r="AH22" s="1366">
        <f t="shared" si="20"/>
        <v>0</v>
      </c>
      <c r="AI22" s="1366">
        <f t="shared" si="21"/>
        <v>0</v>
      </c>
      <c r="AJ22" s="1366">
        <f t="shared" si="22"/>
        <v>0</v>
      </c>
      <c r="AK22" s="1376">
        <f t="shared" si="8"/>
        <v>0</v>
      </c>
      <c r="AL22" s="1376">
        <f t="shared" si="9"/>
        <v>0</v>
      </c>
      <c r="AM22" s="1376">
        <f t="shared" si="10"/>
        <v>0</v>
      </c>
      <c r="AN22" s="1376">
        <f t="shared" si="23"/>
        <v>0</v>
      </c>
      <c r="AO22" s="1376">
        <f t="shared" si="11"/>
        <v>0</v>
      </c>
      <c r="AP22" s="1376">
        <f t="shared" si="12"/>
        <v>0</v>
      </c>
      <c r="AQ22" s="1376">
        <f t="shared" si="13"/>
        <v>0</v>
      </c>
      <c r="AR22" s="461">
        <f t="shared" si="24"/>
        <v>0</v>
      </c>
    </row>
    <row r="23" spans="1:44">
      <c r="A23" s="350" t="s">
        <v>267</v>
      </c>
      <c r="B23" s="862" t="s">
        <v>164</v>
      </c>
      <c r="C23" s="375"/>
      <c r="D23" s="805"/>
      <c r="E23" s="375"/>
      <c r="F23" s="293" t="s">
        <v>164</v>
      </c>
      <c r="G23" s="293" t="s">
        <v>164</v>
      </c>
      <c r="H23" s="293" t="s">
        <v>164</v>
      </c>
      <c r="I23" s="293" t="s">
        <v>164</v>
      </c>
      <c r="J23" s="293" t="s">
        <v>164</v>
      </c>
      <c r="K23" s="293" t="s">
        <v>164</v>
      </c>
      <c r="L23" s="1370">
        <f>IF(A23=0,LOOKUP(B23,'Max Rents &amp; Pmt Stds'!$C$15:$C$28,'Max Rents &amp; Pmt Stds'!$E$15:$E$28),IF(A23=1,LOOKUP(B23,'Max Rents &amp; Pmt Stds'!$C$15:$C$28,'Max Rents &amp; Pmt Stds'!$F$15:$F$28),IF(A23=2,LOOKUP(B23,'Max Rents &amp; Pmt Stds'!$C$15:$C$28,'Max Rents &amp; Pmt Stds'!$G$15:$G$28),IF(A23=3,LOOKUP(B23,'Max Rents &amp; Pmt Stds'!$C$15:$C$28,'Max Rents &amp; Pmt Stds'!$H$15:$H$28),IF(A23=4,LOOKUP(B23,'Max Rents &amp; Pmt Stds'!$C$15:$C$28,'Max Rents &amp; Pmt Stds'!$I$15:$I$28),0)))))</f>
        <v>0</v>
      </c>
      <c r="M23" s="1371">
        <f>IF(A23="SRO",'Project Info'!R$42,0)+IF(A23=0,'Project Info'!R$43,0)+IF(A23=1,'Project Info'!R$44,0)+IF(A23=2,'Project Info'!R$45,0)+IF(A23=3,'Project Info'!R$46,0)+IF(A23=4,'Project Info'!R$47,0)</f>
        <v>0</v>
      </c>
      <c r="N23" s="1372">
        <f t="shared" si="0"/>
        <v>0</v>
      </c>
      <c r="O23" s="1371">
        <f>IF(AND($A23=0,$G23="YES"),'Max Rents &amp; Pmt Stds'!$L$12,IF(AND(Rents!$A23=0,Rents!$G23="NO"),0,IF(AND($A23=1,$G23="YES"),'Max Rents &amp; Pmt Stds'!$M$12,IF(AND(Rents!$A23=1,Rents!$G23="NO"),0,IF(AND($A23=2,$G23="YES"),'Max Rents &amp; Pmt Stds'!$N$12,IF(AND(Rents!$A23=2,Rents!$G23="NO"),0,IF(AND($A23=3,$G23="YES"),'Max Rents &amp; Pmt Stds'!$O$12,IF(AND(Rents!$A23=3,Rents!$G23="NO"),0,IF(AND($A23=4,$G23="YES"),'Max Rents &amp; Pmt Stds'!$P$12,IF(AND(Rents!$A23=4,Rents!$G23="NO"),0,IF(AND($A23="SRO",G23="YES"),0,IF(AND(Rents!$A23="SRO",Rents!$G23="NO"),0,0))))))))))))</f>
        <v>0</v>
      </c>
      <c r="P23" s="1371"/>
      <c r="Q23" s="375"/>
      <c r="R23" s="1373">
        <f t="shared" si="1"/>
        <v>0</v>
      </c>
      <c r="S23" s="1373">
        <f t="shared" si="27"/>
        <v>0</v>
      </c>
      <c r="T23" s="1373">
        <f t="shared" si="15"/>
        <v>0</v>
      </c>
      <c r="U23" s="807"/>
      <c r="V23" s="808"/>
      <c r="W23" s="1374" t="str">
        <f t="shared" si="25"/>
        <v>-</v>
      </c>
      <c r="X23" s="1374" t="str">
        <f t="shared" si="16"/>
        <v>-</v>
      </c>
      <c r="Y23" s="922"/>
      <c r="Z23" s="1375">
        <f t="shared" si="3"/>
        <v>0</v>
      </c>
      <c r="AA23" s="1375">
        <f t="shared" si="4"/>
        <v>0</v>
      </c>
      <c r="AB23" s="1375">
        <f t="shared" si="17"/>
        <v>0</v>
      </c>
      <c r="AC23" s="1366">
        <f t="shared" si="5"/>
        <v>0</v>
      </c>
      <c r="AD23" s="1366">
        <f t="shared" si="6"/>
        <v>0</v>
      </c>
      <c r="AE23" s="1375">
        <f t="shared" si="26"/>
        <v>0</v>
      </c>
      <c r="AF23" s="1366">
        <f t="shared" si="7"/>
        <v>0</v>
      </c>
      <c r="AG23" s="1366">
        <f t="shared" si="19"/>
        <v>0</v>
      </c>
      <c r="AH23" s="1366">
        <f t="shared" si="20"/>
        <v>0</v>
      </c>
      <c r="AI23" s="1366">
        <f t="shared" si="21"/>
        <v>0</v>
      </c>
      <c r="AJ23" s="1366">
        <f t="shared" si="22"/>
        <v>0</v>
      </c>
      <c r="AK23" s="1376">
        <f t="shared" si="8"/>
        <v>0</v>
      </c>
      <c r="AL23" s="1376">
        <f t="shared" si="9"/>
        <v>0</v>
      </c>
      <c r="AM23" s="1376">
        <f t="shared" si="10"/>
        <v>0</v>
      </c>
      <c r="AN23" s="1376">
        <f t="shared" si="23"/>
        <v>0</v>
      </c>
      <c r="AO23" s="1376">
        <f t="shared" si="11"/>
        <v>0</v>
      </c>
      <c r="AP23" s="1376">
        <f t="shared" si="12"/>
        <v>0</v>
      </c>
      <c r="AQ23" s="1376">
        <f t="shared" si="13"/>
        <v>0</v>
      </c>
      <c r="AR23" s="461">
        <f t="shared" si="24"/>
        <v>0</v>
      </c>
    </row>
    <row r="24" spans="1:44">
      <c r="A24" s="350" t="s">
        <v>267</v>
      </c>
      <c r="B24" s="862" t="s">
        <v>164</v>
      </c>
      <c r="C24" s="375"/>
      <c r="D24" s="805"/>
      <c r="E24" s="375"/>
      <c r="F24" s="293" t="s">
        <v>164</v>
      </c>
      <c r="G24" s="293" t="s">
        <v>164</v>
      </c>
      <c r="H24" s="293" t="s">
        <v>164</v>
      </c>
      <c r="I24" s="293" t="s">
        <v>164</v>
      </c>
      <c r="J24" s="293" t="s">
        <v>164</v>
      </c>
      <c r="K24" s="293" t="s">
        <v>164</v>
      </c>
      <c r="L24" s="1370">
        <f>IF(A24=0,LOOKUP(B24,'Max Rents &amp; Pmt Stds'!$C$15:$C$28,'Max Rents &amp; Pmt Stds'!$E$15:$E$28),IF(A24=1,LOOKUP(B24,'Max Rents &amp; Pmt Stds'!$C$15:$C$28,'Max Rents &amp; Pmt Stds'!$F$15:$F$28),IF(A24=2,LOOKUP(B24,'Max Rents &amp; Pmt Stds'!$C$15:$C$28,'Max Rents &amp; Pmt Stds'!$G$15:$G$28),IF(A24=3,LOOKUP(B24,'Max Rents &amp; Pmt Stds'!$C$15:$C$28,'Max Rents &amp; Pmt Stds'!$H$15:$H$28),IF(A24=4,LOOKUP(B24,'Max Rents &amp; Pmt Stds'!$C$15:$C$28,'Max Rents &amp; Pmt Stds'!$I$15:$I$28),0)))))</f>
        <v>0</v>
      </c>
      <c r="M24" s="1371">
        <f>IF(A24="SRO",'Project Info'!R$42,0)+IF(A24=0,'Project Info'!R$43,0)+IF(A24=1,'Project Info'!R$44,0)+IF(A24=2,'Project Info'!R$45,0)+IF(A24=3,'Project Info'!R$46,0)+IF(A24=4,'Project Info'!R$47,0)</f>
        <v>0</v>
      </c>
      <c r="N24" s="1372">
        <f t="shared" si="0"/>
        <v>0</v>
      </c>
      <c r="O24" s="1371">
        <f>IF(AND($A24=0,$G24="YES"),'Max Rents &amp; Pmt Stds'!$L$12,IF(AND(Rents!$A24=0,Rents!$G24="NO"),0,IF(AND($A24=1,$G24="YES"),'Max Rents &amp; Pmt Stds'!$M$12,IF(AND(Rents!$A24=1,Rents!$G24="NO"),0,IF(AND($A24=2,$G24="YES"),'Max Rents &amp; Pmt Stds'!$N$12,IF(AND(Rents!$A24=2,Rents!$G24="NO"),0,IF(AND($A24=3,$G24="YES"),'Max Rents &amp; Pmt Stds'!$O$12,IF(AND(Rents!$A24=3,Rents!$G24="NO"),0,IF(AND($A24=4,$G24="YES"),'Max Rents &amp; Pmt Stds'!$P$12,IF(AND(Rents!$A24=4,Rents!$G24="NO"),0,IF(AND($A24="SRO",G24="YES"),0,IF(AND(Rents!$A24="SRO",Rents!$G24="NO"),0,0))))))))))))</f>
        <v>0</v>
      </c>
      <c r="P24" s="1371"/>
      <c r="Q24" s="375"/>
      <c r="R24" s="1373">
        <f t="shared" si="1"/>
        <v>0</v>
      </c>
      <c r="S24" s="1373">
        <f t="shared" si="27"/>
        <v>0</v>
      </c>
      <c r="T24" s="1373">
        <f t="shared" si="15"/>
        <v>0</v>
      </c>
      <c r="U24" s="807"/>
      <c r="V24" s="808"/>
      <c r="W24" s="1374" t="str">
        <f t="shared" si="25"/>
        <v>-</v>
      </c>
      <c r="X24" s="1374" t="str">
        <f t="shared" si="16"/>
        <v>-</v>
      </c>
      <c r="Y24" s="922"/>
      <c r="Z24" s="1375">
        <f t="shared" si="3"/>
        <v>0</v>
      </c>
      <c r="AA24" s="1375">
        <f t="shared" si="4"/>
        <v>0</v>
      </c>
      <c r="AB24" s="1375">
        <f t="shared" si="17"/>
        <v>0</v>
      </c>
      <c r="AC24" s="1366">
        <f t="shared" si="5"/>
        <v>0</v>
      </c>
      <c r="AD24" s="1366">
        <f t="shared" si="6"/>
        <v>0</v>
      </c>
      <c r="AE24" s="1375">
        <f t="shared" si="26"/>
        <v>0</v>
      </c>
      <c r="AF24" s="1366">
        <f t="shared" si="7"/>
        <v>0</v>
      </c>
      <c r="AG24" s="1366">
        <f t="shared" si="19"/>
        <v>0</v>
      </c>
      <c r="AH24" s="1366">
        <f t="shared" si="20"/>
        <v>0</v>
      </c>
      <c r="AI24" s="1366">
        <f t="shared" si="21"/>
        <v>0</v>
      </c>
      <c r="AJ24" s="1366">
        <f t="shared" si="22"/>
        <v>0</v>
      </c>
      <c r="AK24" s="1376">
        <f t="shared" si="8"/>
        <v>0</v>
      </c>
      <c r="AL24" s="1376">
        <f t="shared" si="9"/>
        <v>0</v>
      </c>
      <c r="AM24" s="1376">
        <f t="shared" si="10"/>
        <v>0</v>
      </c>
      <c r="AN24" s="1376">
        <f t="shared" si="23"/>
        <v>0</v>
      </c>
      <c r="AO24" s="1376">
        <f t="shared" si="11"/>
        <v>0</v>
      </c>
      <c r="AP24" s="1376">
        <f t="shared" si="12"/>
        <v>0</v>
      </c>
      <c r="AQ24" s="1376">
        <f t="shared" si="13"/>
        <v>0</v>
      </c>
      <c r="AR24" s="461">
        <f t="shared" si="24"/>
        <v>0</v>
      </c>
    </row>
    <row r="25" spans="1:44">
      <c r="A25" s="350" t="s">
        <v>267</v>
      </c>
      <c r="B25" s="862" t="s">
        <v>164</v>
      </c>
      <c r="C25" s="375"/>
      <c r="D25" s="805"/>
      <c r="E25" s="375"/>
      <c r="F25" s="293" t="s">
        <v>164</v>
      </c>
      <c r="G25" s="293" t="s">
        <v>164</v>
      </c>
      <c r="H25" s="293" t="s">
        <v>164</v>
      </c>
      <c r="I25" s="293" t="s">
        <v>164</v>
      </c>
      <c r="J25" s="293" t="s">
        <v>164</v>
      </c>
      <c r="K25" s="293" t="s">
        <v>164</v>
      </c>
      <c r="L25" s="1370">
        <f>IF(A25=0,LOOKUP(B25,'Max Rents &amp; Pmt Stds'!$C$15:$C$28,'Max Rents &amp; Pmt Stds'!$E$15:$E$28),IF(A25=1,LOOKUP(B25,'Max Rents &amp; Pmt Stds'!$C$15:$C$28,'Max Rents &amp; Pmt Stds'!$F$15:$F$28),IF(A25=2,LOOKUP(B25,'Max Rents &amp; Pmt Stds'!$C$15:$C$28,'Max Rents &amp; Pmt Stds'!$G$15:$G$28),IF(A25=3,LOOKUP(B25,'Max Rents &amp; Pmt Stds'!$C$15:$C$28,'Max Rents &amp; Pmt Stds'!$H$15:$H$28),IF(A25=4,LOOKUP(B25,'Max Rents &amp; Pmt Stds'!$C$15:$C$28,'Max Rents &amp; Pmt Stds'!$I$15:$I$28),0)))))</f>
        <v>0</v>
      </c>
      <c r="M25" s="1371">
        <f>IF(A25="SRO",'Project Info'!R$42,0)+IF(A25=0,'Project Info'!R$43,0)+IF(A25=1,'Project Info'!R$44,0)+IF(A25=2,'Project Info'!R$45,0)+IF(A25=3,'Project Info'!R$46,0)+IF(A25=4,'Project Info'!R$47,0)</f>
        <v>0</v>
      </c>
      <c r="N25" s="1372">
        <f t="shared" si="0"/>
        <v>0</v>
      </c>
      <c r="O25" s="1371">
        <f>IF(AND($A25=0,$G25="YES"),'Max Rents &amp; Pmt Stds'!$L$12,IF(AND(Rents!$A25=0,Rents!$G25="NO"),0,IF(AND($A25=1,$G25="YES"),'Max Rents &amp; Pmt Stds'!$M$12,IF(AND(Rents!$A25=1,Rents!$G25="NO"),0,IF(AND($A25=2,$G25="YES"),'Max Rents &amp; Pmt Stds'!$N$12,IF(AND(Rents!$A25=2,Rents!$G25="NO"),0,IF(AND($A25=3,$G25="YES"),'Max Rents &amp; Pmt Stds'!$O$12,IF(AND(Rents!$A25=3,Rents!$G25="NO"),0,IF(AND($A25=4,$G25="YES"),'Max Rents &amp; Pmt Stds'!$P$12,IF(AND(Rents!$A25=4,Rents!$G25="NO"),0,IF(AND($A25="SRO",G25="YES"),0,IF(AND(Rents!$A25="SRO",Rents!$G25="NO"),0,0))))))))))))</f>
        <v>0</v>
      </c>
      <c r="P25" s="1371"/>
      <c r="Q25" s="375"/>
      <c r="R25" s="1373">
        <f t="shared" si="1"/>
        <v>0</v>
      </c>
      <c r="S25" s="1373">
        <f t="shared" si="27"/>
        <v>0</v>
      </c>
      <c r="T25" s="1373">
        <f t="shared" si="15"/>
        <v>0</v>
      </c>
      <c r="U25" s="807"/>
      <c r="V25" s="808"/>
      <c r="W25" s="1374" t="str">
        <f t="shared" si="25"/>
        <v>-</v>
      </c>
      <c r="X25" s="1374" t="str">
        <f t="shared" si="16"/>
        <v>-</v>
      </c>
      <c r="Y25" s="922"/>
      <c r="Z25" s="1375">
        <f t="shared" si="3"/>
        <v>0</v>
      </c>
      <c r="AA25" s="1375">
        <f t="shared" si="4"/>
        <v>0</v>
      </c>
      <c r="AB25" s="1375">
        <f t="shared" si="17"/>
        <v>0</v>
      </c>
      <c r="AC25" s="1366">
        <f t="shared" si="5"/>
        <v>0</v>
      </c>
      <c r="AD25" s="1366">
        <f t="shared" si="6"/>
        <v>0</v>
      </c>
      <c r="AE25" s="1375">
        <f t="shared" si="26"/>
        <v>0</v>
      </c>
      <c r="AF25" s="1366">
        <f t="shared" si="7"/>
        <v>0</v>
      </c>
      <c r="AG25" s="1366">
        <f t="shared" si="19"/>
        <v>0</v>
      </c>
      <c r="AH25" s="1366">
        <f t="shared" si="20"/>
        <v>0</v>
      </c>
      <c r="AI25" s="1366">
        <f t="shared" si="21"/>
        <v>0</v>
      </c>
      <c r="AJ25" s="1366">
        <f t="shared" si="22"/>
        <v>0</v>
      </c>
      <c r="AK25" s="1376">
        <f t="shared" si="8"/>
        <v>0</v>
      </c>
      <c r="AL25" s="1376">
        <f t="shared" si="9"/>
        <v>0</v>
      </c>
      <c r="AM25" s="1376">
        <f t="shared" si="10"/>
        <v>0</v>
      </c>
      <c r="AN25" s="1376">
        <f t="shared" si="23"/>
        <v>0</v>
      </c>
      <c r="AO25" s="1376">
        <f t="shared" si="11"/>
        <v>0</v>
      </c>
      <c r="AP25" s="1376">
        <f t="shared" si="12"/>
        <v>0</v>
      </c>
      <c r="AQ25" s="1376">
        <f t="shared" si="13"/>
        <v>0</v>
      </c>
      <c r="AR25" s="461">
        <f t="shared" si="24"/>
        <v>0</v>
      </c>
    </row>
    <row r="26" spans="1:44">
      <c r="A26" s="350" t="s">
        <v>267</v>
      </c>
      <c r="B26" s="862" t="s">
        <v>164</v>
      </c>
      <c r="C26" s="375"/>
      <c r="D26" s="805"/>
      <c r="E26" s="375"/>
      <c r="F26" s="293" t="s">
        <v>164</v>
      </c>
      <c r="G26" s="293" t="s">
        <v>164</v>
      </c>
      <c r="H26" s="293" t="s">
        <v>164</v>
      </c>
      <c r="I26" s="293" t="s">
        <v>164</v>
      </c>
      <c r="J26" s="293" t="s">
        <v>164</v>
      </c>
      <c r="K26" s="293" t="s">
        <v>164</v>
      </c>
      <c r="L26" s="1370">
        <f>IF(A26=0,LOOKUP(B26,'Max Rents &amp; Pmt Stds'!$C$15:$C$28,'Max Rents &amp; Pmt Stds'!$E$15:$E$28),IF(A26=1,LOOKUP(B26,'Max Rents &amp; Pmt Stds'!$C$15:$C$28,'Max Rents &amp; Pmt Stds'!$F$15:$F$28),IF(A26=2,LOOKUP(B26,'Max Rents &amp; Pmt Stds'!$C$15:$C$28,'Max Rents &amp; Pmt Stds'!$G$15:$G$28),IF(A26=3,LOOKUP(B26,'Max Rents &amp; Pmt Stds'!$C$15:$C$28,'Max Rents &amp; Pmt Stds'!$H$15:$H$28),IF(A26=4,LOOKUP(B26,'Max Rents &amp; Pmt Stds'!$C$15:$C$28,'Max Rents &amp; Pmt Stds'!$I$15:$I$28),0)))))</f>
        <v>0</v>
      </c>
      <c r="M26" s="1371">
        <f>IF(A26="SRO",'Project Info'!R$42,0)+IF(A26=0,'Project Info'!R$43,0)+IF(A26=1,'Project Info'!R$44,0)+IF(A26=2,'Project Info'!R$45,0)+IF(A26=3,'Project Info'!R$46,0)+IF(A26=4,'Project Info'!R$47,0)</f>
        <v>0</v>
      </c>
      <c r="N26" s="1372">
        <f t="shared" si="0"/>
        <v>0</v>
      </c>
      <c r="O26" s="1371">
        <f>IF(AND($A26=0,$G26="YES"),'Max Rents &amp; Pmt Stds'!$L$12,IF(AND(Rents!$A26=0,Rents!$G26="NO"),0,IF(AND($A26=1,$G26="YES"),'Max Rents &amp; Pmt Stds'!$M$12,IF(AND(Rents!$A26=1,Rents!$G26="NO"),0,IF(AND($A26=2,$G26="YES"),'Max Rents &amp; Pmt Stds'!$N$12,IF(AND(Rents!$A26=2,Rents!$G26="NO"),0,IF(AND($A26=3,$G26="YES"),'Max Rents &amp; Pmt Stds'!$O$12,IF(AND(Rents!$A26=3,Rents!$G26="NO"),0,IF(AND($A26=4,$G26="YES"),'Max Rents &amp; Pmt Stds'!$P$12,IF(AND(Rents!$A26=4,Rents!$G26="NO"),0,IF(AND($A26="SRO",G26="YES"),0,IF(AND(Rents!$A26="SRO",Rents!$G26="NO"),0,0))))))))))))</f>
        <v>0</v>
      </c>
      <c r="P26" s="1371"/>
      <c r="Q26" s="375"/>
      <c r="R26" s="1373">
        <f t="shared" si="1"/>
        <v>0</v>
      </c>
      <c r="S26" s="1373">
        <f t="shared" si="27"/>
        <v>0</v>
      </c>
      <c r="T26" s="1373">
        <f t="shared" si="15"/>
        <v>0</v>
      </c>
      <c r="U26" s="807"/>
      <c r="V26" s="808"/>
      <c r="W26" s="1374" t="str">
        <f t="shared" si="25"/>
        <v>-</v>
      </c>
      <c r="X26" s="1374" t="str">
        <f t="shared" si="16"/>
        <v>-</v>
      </c>
      <c r="Y26" s="922"/>
      <c r="Z26" s="1375">
        <f t="shared" si="3"/>
        <v>0</v>
      </c>
      <c r="AA26" s="1375">
        <f t="shared" si="4"/>
        <v>0</v>
      </c>
      <c r="AB26" s="1375">
        <f t="shared" si="17"/>
        <v>0</v>
      </c>
      <c r="AC26" s="1366">
        <f t="shared" si="5"/>
        <v>0</v>
      </c>
      <c r="AD26" s="1366">
        <f t="shared" si="6"/>
        <v>0</v>
      </c>
      <c r="AE26" s="1375">
        <f t="shared" si="26"/>
        <v>0</v>
      </c>
      <c r="AF26" s="1366">
        <f t="shared" si="7"/>
        <v>0</v>
      </c>
      <c r="AG26" s="1366">
        <f t="shared" si="19"/>
        <v>0</v>
      </c>
      <c r="AH26" s="1366">
        <f t="shared" si="20"/>
        <v>0</v>
      </c>
      <c r="AI26" s="1366">
        <f t="shared" si="21"/>
        <v>0</v>
      </c>
      <c r="AJ26" s="1366">
        <f t="shared" si="22"/>
        <v>0</v>
      </c>
      <c r="AK26" s="1376">
        <f t="shared" si="8"/>
        <v>0</v>
      </c>
      <c r="AL26" s="1376">
        <f t="shared" si="9"/>
        <v>0</v>
      </c>
      <c r="AM26" s="1376">
        <f t="shared" si="10"/>
        <v>0</v>
      </c>
      <c r="AN26" s="1376">
        <f t="shared" si="23"/>
        <v>0</v>
      </c>
      <c r="AO26" s="1376">
        <f t="shared" si="11"/>
        <v>0</v>
      </c>
      <c r="AP26" s="1376">
        <f t="shared" si="12"/>
        <v>0</v>
      </c>
      <c r="AQ26" s="1376">
        <f t="shared" si="13"/>
        <v>0</v>
      </c>
      <c r="AR26" s="461">
        <f t="shared" si="24"/>
        <v>0</v>
      </c>
    </row>
    <row r="27" spans="1:44">
      <c r="A27" s="350" t="s">
        <v>267</v>
      </c>
      <c r="B27" s="862" t="s">
        <v>164</v>
      </c>
      <c r="C27" s="375"/>
      <c r="D27" s="805"/>
      <c r="E27" s="375"/>
      <c r="F27" s="293" t="s">
        <v>164</v>
      </c>
      <c r="G27" s="293" t="s">
        <v>164</v>
      </c>
      <c r="H27" s="293" t="s">
        <v>164</v>
      </c>
      <c r="I27" s="293" t="s">
        <v>164</v>
      </c>
      <c r="J27" s="293" t="s">
        <v>164</v>
      </c>
      <c r="K27" s="293" t="s">
        <v>164</v>
      </c>
      <c r="L27" s="1370">
        <f>IF(A27=0,LOOKUP(B27,'Max Rents &amp; Pmt Stds'!$C$15:$C$28,'Max Rents &amp; Pmt Stds'!$E$15:$E$28),IF(A27=1,LOOKUP(B27,'Max Rents &amp; Pmt Stds'!$C$15:$C$28,'Max Rents &amp; Pmt Stds'!$F$15:$F$28),IF(A27=2,LOOKUP(B27,'Max Rents &amp; Pmt Stds'!$C$15:$C$28,'Max Rents &amp; Pmt Stds'!$G$15:$G$28),IF(A27=3,LOOKUP(B27,'Max Rents &amp; Pmt Stds'!$C$15:$C$28,'Max Rents &amp; Pmt Stds'!$H$15:$H$28),IF(A27=4,LOOKUP(B27,'Max Rents &amp; Pmt Stds'!$C$15:$C$28,'Max Rents &amp; Pmt Stds'!$I$15:$I$28),0)))))</f>
        <v>0</v>
      </c>
      <c r="M27" s="1371">
        <f>IF(A27="SRO",'Project Info'!R$42,0)+IF(A27=0,'Project Info'!R$43,0)+IF(A27=1,'Project Info'!R$44,0)+IF(A27=2,'Project Info'!R$45,0)+IF(A27=3,'Project Info'!R$46,0)+IF(A27=4,'Project Info'!R$47,0)</f>
        <v>0</v>
      </c>
      <c r="N27" s="1372">
        <f t="shared" si="0"/>
        <v>0</v>
      </c>
      <c r="O27" s="1371">
        <f>IF(AND($A27=0,$G27="YES"),'Max Rents &amp; Pmt Stds'!$L$12,IF(AND(Rents!$A27=0,Rents!$G27="NO"),0,IF(AND($A27=1,$G27="YES"),'Max Rents &amp; Pmt Stds'!$M$12,IF(AND(Rents!$A27=1,Rents!$G27="NO"),0,IF(AND($A27=2,$G27="YES"),'Max Rents &amp; Pmt Stds'!$N$12,IF(AND(Rents!$A27=2,Rents!$G27="NO"),0,IF(AND($A27=3,$G27="YES"),'Max Rents &amp; Pmt Stds'!$O$12,IF(AND(Rents!$A27=3,Rents!$G27="NO"),0,IF(AND($A27=4,$G27="YES"),'Max Rents &amp; Pmt Stds'!$P$12,IF(AND(Rents!$A27=4,Rents!$G27="NO"),0,IF(AND($A27="SRO",G27="YES"),0,IF(AND(Rents!$A27="SRO",Rents!$G27="NO"),0,0))))))))))))</f>
        <v>0</v>
      </c>
      <c r="P27" s="1371"/>
      <c r="Q27" s="375"/>
      <c r="R27" s="1373">
        <f t="shared" si="1"/>
        <v>0</v>
      </c>
      <c r="S27" s="1373">
        <f t="shared" si="27"/>
        <v>0</v>
      </c>
      <c r="T27" s="1373">
        <f t="shared" si="15"/>
        <v>0</v>
      </c>
      <c r="U27" s="807"/>
      <c r="V27" s="808"/>
      <c r="W27" s="1374" t="str">
        <f t="shared" si="25"/>
        <v>-</v>
      </c>
      <c r="X27" s="1374" t="str">
        <f t="shared" si="16"/>
        <v>-</v>
      </c>
      <c r="Y27" s="922"/>
      <c r="Z27" s="1375">
        <f t="shared" si="3"/>
        <v>0</v>
      </c>
      <c r="AA27" s="1375">
        <f t="shared" si="4"/>
        <v>0</v>
      </c>
      <c r="AB27" s="1375">
        <f t="shared" si="17"/>
        <v>0</v>
      </c>
      <c r="AC27" s="1366">
        <f t="shared" si="5"/>
        <v>0</v>
      </c>
      <c r="AD27" s="1366">
        <f t="shared" si="6"/>
        <v>0</v>
      </c>
      <c r="AE27" s="1375">
        <f t="shared" si="26"/>
        <v>0</v>
      </c>
      <c r="AF27" s="1366">
        <f t="shared" si="7"/>
        <v>0</v>
      </c>
      <c r="AG27" s="1366">
        <f t="shared" si="19"/>
        <v>0</v>
      </c>
      <c r="AH27" s="1366">
        <f t="shared" si="20"/>
        <v>0</v>
      </c>
      <c r="AI27" s="1366">
        <f t="shared" si="21"/>
        <v>0</v>
      </c>
      <c r="AJ27" s="1366">
        <f t="shared" si="22"/>
        <v>0</v>
      </c>
      <c r="AK27" s="1376">
        <f t="shared" si="8"/>
        <v>0</v>
      </c>
      <c r="AL27" s="1376">
        <f t="shared" si="9"/>
        <v>0</v>
      </c>
      <c r="AM27" s="1376">
        <f t="shared" si="10"/>
        <v>0</v>
      </c>
      <c r="AN27" s="1376">
        <f t="shared" si="23"/>
        <v>0</v>
      </c>
      <c r="AO27" s="1376">
        <f t="shared" si="11"/>
        <v>0</v>
      </c>
      <c r="AP27" s="1376">
        <f t="shared" si="12"/>
        <v>0</v>
      </c>
      <c r="AQ27" s="1376">
        <f t="shared" si="13"/>
        <v>0</v>
      </c>
      <c r="AR27" s="461">
        <f t="shared" si="24"/>
        <v>0</v>
      </c>
    </row>
    <row r="28" spans="1:44">
      <c r="A28" s="350" t="s">
        <v>267</v>
      </c>
      <c r="B28" s="862" t="s">
        <v>164</v>
      </c>
      <c r="C28" s="375"/>
      <c r="D28" s="805"/>
      <c r="E28" s="375"/>
      <c r="F28" s="293" t="s">
        <v>164</v>
      </c>
      <c r="G28" s="293" t="s">
        <v>164</v>
      </c>
      <c r="H28" s="293" t="s">
        <v>164</v>
      </c>
      <c r="I28" s="293" t="s">
        <v>164</v>
      </c>
      <c r="J28" s="293" t="s">
        <v>164</v>
      </c>
      <c r="K28" s="293" t="s">
        <v>164</v>
      </c>
      <c r="L28" s="1370">
        <f>IF(A28=0,LOOKUP(B28,'Max Rents &amp; Pmt Stds'!$C$15:$C$28,'Max Rents &amp; Pmt Stds'!$E$15:$E$28),IF(A28=1,LOOKUP(B28,'Max Rents &amp; Pmt Stds'!$C$15:$C$28,'Max Rents &amp; Pmt Stds'!$F$15:$F$28),IF(A28=2,LOOKUP(B28,'Max Rents &amp; Pmt Stds'!$C$15:$C$28,'Max Rents &amp; Pmt Stds'!$G$15:$G$28),IF(A28=3,LOOKUP(B28,'Max Rents &amp; Pmt Stds'!$C$15:$C$28,'Max Rents &amp; Pmt Stds'!$H$15:$H$28),IF(A28=4,LOOKUP(B28,'Max Rents &amp; Pmt Stds'!$C$15:$C$28,'Max Rents &amp; Pmt Stds'!$I$15:$I$28),0)))))</f>
        <v>0</v>
      </c>
      <c r="M28" s="1371">
        <f>IF(A28="SRO",'Project Info'!R$42,0)+IF(A28=0,'Project Info'!R$43,0)+IF(A28=1,'Project Info'!R$44,0)+IF(A28=2,'Project Info'!R$45,0)+IF(A28=3,'Project Info'!R$46,0)+IF(A28=4,'Project Info'!R$47,0)</f>
        <v>0</v>
      </c>
      <c r="N28" s="1372">
        <f t="shared" si="0"/>
        <v>0</v>
      </c>
      <c r="O28" s="1371">
        <f>IF(AND($A28=0,$G28="YES"),'Max Rents &amp; Pmt Stds'!$L$12,IF(AND(Rents!$A28=0,Rents!$G28="NO"),0,IF(AND($A28=1,$G28="YES"),'Max Rents &amp; Pmt Stds'!$M$12,IF(AND(Rents!$A28=1,Rents!$G28="NO"),0,IF(AND($A28=2,$G28="YES"),'Max Rents &amp; Pmt Stds'!$N$12,IF(AND(Rents!$A28=2,Rents!$G28="NO"),0,IF(AND($A28=3,$G28="YES"),'Max Rents &amp; Pmt Stds'!$O$12,IF(AND(Rents!$A28=3,Rents!$G28="NO"),0,IF(AND($A28=4,$G28="YES"),'Max Rents &amp; Pmt Stds'!$P$12,IF(AND(Rents!$A28=4,Rents!$G28="NO"),0,IF(AND($A28="SRO",G28="YES"),0,IF(AND(Rents!$A28="SRO",Rents!$G28="NO"),0,0))))))))))))</f>
        <v>0</v>
      </c>
      <c r="P28" s="1371"/>
      <c r="Q28" s="375"/>
      <c r="R28" s="1373">
        <f t="shared" si="1"/>
        <v>0</v>
      </c>
      <c r="S28" s="1373">
        <f t="shared" si="27"/>
        <v>0</v>
      </c>
      <c r="T28" s="1373">
        <f t="shared" si="15"/>
        <v>0</v>
      </c>
      <c r="U28" s="807"/>
      <c r="V28" s="808"/>
      <c r="W28" s="1374" t="str">
        <f t="shared" si="25"/>
        <v>-</v>
      </c>
      <c r="X28" s="1374" t="str">
        <f t="shared" si="16"/>
        <v>-</v>
      </c>
      <c r="Y28" s="922"/>
      <c r="Z28" s="1375">
        <f t="shared" si="3"/>
        <v>0</v>
      </c>
      <c r="AA28" s="1375">
        <f t="shared" si="4"/>
        <v>0</v>
      </c>
      <c r="AB28" s="1375">
        <f t="shared" si="17"/>
        <v>0</v>
      </c>
      <c r="AC28" s="1366">
        <f t="shared" si="5"/>
        <v>0</v>
      </c>
      <c r="AD28" s="1366">
        <f t="shared" si="6"/>
        <v>0</v>
      </c>
      <c r="AE28" s="1375">
        <f t="shared" si="26"/>
        <v>0</v>
      </c>
      <c r="AF28" s="1366">
        <f t="shared" si="7"/>
        <v>0</v>
      </c>
      <c r="AG28" s="1366">
        <f t="shared" si="19"/>
        <v>0</v>
      </c>
      <c r="AH28" s="1366">
        <f t="shared" si="20"/>
        <v>0</v>
      </c>
      <c r="AI28" s="1366">
        <f t="shared" si="21"/>
        <v>0</v>
      </c>
      <c r="AJ28" s="1366">
        <f t="shared" si="22"/>
        <v>0</v>
      </c>
      <c r="AK28" s="1376">
        <f t="shared" si="8"/>
        <v>0</v>
      </c>
      <c r="AL28" s="1376">
        <f t="shared" si="9"/>
        <v>0</v>
      </c>
      <c r="AM28" s="1376">
        <f t="shared" si="10"/>
        <v>0</v>
      </c>
      <c r="AN28" s="1376">
        <f t="shared" si="23"/>
        <v>0</v>
      </c>
      <c r="AO28" s="1376">
        <f t="shared" si="11"/>
        <v>0</v>
      </c>
      <c r="AP28" s="1376">
        <f t="shared" si="12"/>
        <v>0</v>
      </c>
      <c r="AQ28" s="1376">
        <f t="shared" si="13"/>
        <v>0</v>
      </c>
      <c r="AR28" s="461">
        <f t="shared" si="24"/>
        <v>0</v>
      </c>
    </row>
    <row r="29" spans="1:44">
      <c r="A29" s="350" t="s">
        <v>267</v>
      </c>
      <c r="B29" s="862" t="s">
        <v>164</v>
      </c>
      <c r="C29" s="375"/>
      <c r="D29" s="805"/>
      <c r="E29" s="375"/>
      <c r="F29" s="293" t="s">
        <v>164</v>
      </c>
      <c r="G29" s="293" t="s">
        <v>164</v>
      </c>
      <c r="H29" s="293" t="s">
        <v>164</v>
      </c>
      <c r="I29" s="293" t="s">
        <v>164</v>
      </c>
      <c r="J29" s="293" t="s">
        <v>164</v>
      </c>
      <c r="K29" s="293" t="s">
        <v>164</v>
      </c>
      <c r="L29" s="1370">
        <f>IF(A29=0,LOOKUP(B29,'Max Rents &amp; Pmt Stds'!$C$15:$C$28,'Max Rents &amp; Pmt Stds'!$E$15:$E$28),IF(A29=1,LOOKUP(B29,'Max Rents &amp; Pmt Stds'!$C$15:$C$28,'Max Rents &amp; Pmt Stds'!$F$15:$F$28),IF(A29=2,LOOKUP(B29,'Max Rents &amp; Pmt Stds'!$C$15:$C$28,'Max Rents &amp; Pmt Stds'!$G$15:$G$28),IF(A29=3,LOOKUP(B29,'Max Rents &amp; Pmt Stds'!$C$15:$C$28,'Max Rents &amp; Pmt Stds'!$H$15:$H$28),IF(A29=4,LOOKUP(B29,'Max Rents &amp; Pmt Stds'!$C$15:$C$28,'Max Rents &amp; Pmt Stds'!$I$15:$I$28),0)))))</f>
        <v>0</v>
      </c>
      <c r="M29" s="1371">
        <f>IF(A29="SRO",'Project Info'!R$42,0)+IF(A29=0,'Project Info'!R$43,0)+IF(A29=1,'Project Info'!R$44,0)+IF(A29=2,'Project Info'!R$45,0)+IF(A29=3,'Project Info'!R$46,0)+IF(A29=4,'Project Info'!R$47,0)</f>
        <v>0</v>
      </c>
      <c r="N29" s="1372">
        <f t="shared" si="0"/>
        <v>0</v>
      </c>
      <c r="O29" s="1371">
        <f>IF(AND($A29=0,$G29="YES"),'Max Rents &amp; Pmt Stds'!$L$12,IF(AND(Rents!$A29=0,Rents!$G29="NO"),0,IF(AND($A29=1,$G29="YES"),'Max Rents &amp; Pmt Stds'!$M$12,IF(AND(Rents!$A29=1,Rents!$G29="NO"),0,IF(AND($A29=2,$G29="YES"),'Max Rents &amp; Pmt Stds'!$N$12,IF(AND(Rents!$A29=2,Rents!$G29="NO"),0,IF(AND($A29=3,$G29="YES"),'Max Rents &amp; Pmt Stds'!$O$12,IF(AND(Rents!$A29=3,Rents!$G29="NO"),0,IF(AND($A29=4,$G29="YES"),'Max Rents &amp; Pmt Stds'!$P$12,IF(AND(Rents!$A29=4,Rents!$G29="NO"),0,IF(AND($A29="SRO",G29="YES"),0,IF(AND(Rents!$A29="SRO",Rents!$G29="NO"),0,0))))))))))))</f>
        <v>0</v>
      </c>
      <c r="P29" s="1371"/>
      <c r="Q29" s="375"/>
      <c r="R29" s="1373">
        <f t="shared" si="1"/>
        <v>0</v>
      </c>
      <c r="S29" s="1373">
        <f t="shared" si="27"/>
        <v>0</v>
      </c>
      <c r="T29" s="1373">
        <f t="shared" si="15"/>
        <v>0</v>
      </c>
      <c r="U29" s="807"/>
      <c r="V29" s="808"/>
      <c r="W29" s="1374" t="str">
        <f t="shared" si="25"/>
        <v>-</v>
      </c>
      <c r="X29" s="1374" t="str">
        <f t="shared" si="16"/>
        <v>-</v>
      </c>
      <c r="Y29" s="922"/>
      <c r="Z29" s="1375">
        <f t="shared" si="3"/>
        <v>0</v>
      </c>
      <c r="AA29" s="1375">
        <f t="shared" si="4"/>
        <v>0</v>
      </c>
      <c r="AB29" s="1375">
        <f t="shared" si="17"/>
        <v>0</v>
      </c>
      <c r="AC29" s="1366">
        <f t="shared" si="5"/>
        <v>0</v>
      </c>
      <c r="AD29" s="1366">
        <f t="shared" si="6"/>
        <v>0</v>
      </c>
      <c r="AE29" s="1375">
        <f t="shared" si="26"/>
        <v>0</v>
      </c>
      <c r="AF29" s="1366">
        <f t="shared" si="7"/>
        <v>0</v>
      </c>
      <c r="AG29" s="1366">
        <f t="shared" si="19"/>
        <v>0</v>
      </c>
      <c r="AH29" s="1366">
        <f t="shared" si="20"/>
        <v>0</v>
      </c>
      <c r="AI29" s="1366">
        <f t="shared" si="21"/>
        <v>0</v>
      </c>
      <c r="AJ29" s="1366">
        <f t="shared" si="22"/>
        <v>0</v>
      </c>
      <c r="AK29" s="1376">
        <f t="shared" si="8"/>
        <v>0</v>
      </c>
      <c r="AL29" s="1376">
        <f t="shared" si="9"/>
        <v>0</v>
      </c>
      <c r="AM29" s="1376">
        <f t="shared" si="10"/>
        <v>0</v>
      </c>
      <c r="AN29" s="1376">
        <f t="shared" si="23"/>
        <v>0</v>
      </c>
      <c r="AO29" s="1376">
        <f t="shared" si="11"/>
        <v>0</v>
      </c>
      <c r="AP29" s="1376">
        <f t="shared" si="12"/>
        <v>0</v>
      </c>
      <c r="AQ29" s="1376">
        <f t="shared" si="13"/>
        <v>0</v>
      </c>
      <c r="AR29" s="461">
        <f t="shared" si="24"/>
        <v>0</v>
      </c>
    </row>
    <row r="30" spans="1:44">
      <c r="A30" s="350" t="s">
        <v>267</v>
      </c>
      <c r="B30" s="862" t="s">
        <v>164</v>
      </c>
      <c r="C30" s="375"/>
      <c r="D30" s="805"/>
      <c r="E30" s="375"/>
      <c r="F30" s="293" t="s">
        <v>164</v>
      </c>
      <c r="G30" s="293" t="s">
        <v>164</v>
      </c>
      <c r="H30" s="293" t="s">
        <v>164</v>
      </c>
      <c r="I30" s="293" t="s">
        <v>164</v>
      </c>
      <c r="J30" s="293" t="s">
        <v>164</v>
      </c>
      <c r="K30" s="293" t="s">
        <v>164</v>
      </c>
      <c r="L30" s="1370">
        <f>IF(A30=0,LOOKUP(B30,'Max Rents &amp; Pmt Stds'!$C$15:$C$28,'Max Rents &amp; Pmt Stds'!$E$15:$E$28),IF(A30=1,LOOKUP(B30,'Max Rents &amp; Pmt Stds'!$C$15:$C$28,'Max Rents &amp; Pmt Stds'!$F$15:$F$28),IF(A30=2,LOOKUP(B30,'Max Rents &amp; Pmt Stds'!$C$15:$C$28,'Max Rents &amp; Pmt Stds'!$G$15:$G$28),IF(A30=3,LOOKUP(B30,'Max Rents &amp; Pmt Stds'!$C$15:$C$28,'Max Rents &amp; Pmt Stds'!$H$15:$H$28),IF(A30=4,LOOKUP(B30,'Max Rents &amp; Pmt Stds'!$C$15:$C$28,'Max Rents &amp; Pmt Stds'!$I$15:$I$28),0)))))</f>
        <v>0</v>
      </c>
      <c r="M30" s="1371">
        <f>IF(A30="SRO",'Project Info'!R$42,0)+IF(A30=0,'Project Info'!R$43,0)+IF(A30=1,'Project Info'!R$44,0)+IF(A30=2,'Project Info'!R$45,0)+IF(A30=3,'Project Info'!R$46,0)+IF(A30=4,'Project Info'!R$47,0)</f>
        <v>0</v>
      </c>
      <c r="N30" s="1372">
        <f t="shared" si="0"/>
        <v>0</v>
      </c>
      <c r="O30" s="1371">
        <f>IF(AND($A30=0,$G30="YES"),'Max Rents &amp; Pmt Stds'!$L$12,IF(AND(Rents!$A30=0,Rents!$G30="NO"),0,IF(AND($A30=1,$G30="YES"),'Max Rents &amp; Pmt Stds'!$M$12,IF(AND(Rents!$A30=1,Rents!$G30="NO"),0,IF(AND($A30=2,$G30="YES"),'Max Rents &amp; Pmt Stds'!$N$12,IF(AND(Rents!$A30=2,Rents!$G30="NO"),0,IF(AND($A30=3,$G30="YES"),'Max Rents &amp; Pmt Stds'!$O$12,IF(AND(Rents!$A30=3,Rents!$G30="NO"),0,IF(AND($A30=4,$G30="YES"),'Max Rents &amp; Pmt Stds'!$P$12,IF(AND(Rents!$A30=4,Rents!$G30="NO"),0,IF(AND($A30="SRO",G30="YES"),0,IF(AND(Rents!$A30="SRO",Rents!$G30="NO"),0,0))))))))))))</f>
        <v>0</v>
      </c>
      <c r="P30" s="1371"/>
      <c r="Q30" s="375"/>
      <c r="R30" s="1373">
        <f t="shared" si="1"/>
        <v>0</v>
      </c>
      <c r="S30" s="1373">
        <f t="shared" si="27"/>
        <v>0</v>
      </c>
      <c r="T30" s="1373">
        <f t="shared" si="15"/>
        <v>0</v>
      </c>
      <c r="U30" s="807"/>
      <c r="V30" s="808"/>
      <c r="W30" s="1374" t="str">
        <f t="shared" si="25"/>
        <v>-</v>
      </c>
      <c r="X30" s="1374" t="str">
        <f t="shared" si="16"/>
        <v>-</v>
      </c>
      <c r="Y30" s="922"/>
      <c r="Z30" s="1375">
        <f t="shared" si="3"/>
        <v>0</v>
      </c>
      <c r="AA30" s="1375">
        <f t="shared" si="4"/>
        <v>0</v>
      </c>
      <c r="AB30" s="1375">
        <f t="shared" si="17"/>
        <v>0</v>
      </c>
      <c r="AC30" s="1366">
        <f t="shared" si="5"/>
        <v>0</v>
      </c>
      <c r="AD30" s="1366">
        <f t="shared" si="6"/>
        <v>0</v>
      </c>
      <c r="AE30" s="1375">
        <f t="shared" si="26"/>
        <v>0</v>
      </c>
      <c r="AF30" s="1366">
        <f t="shared" si="7"/>
        <v>0</v>
      </c>
      <c r="AG30" s="1366">
        <f t="shared" si="19"/>
        <v>0</v>
      </c>
      <c r="AH30" s="1366">
        <f t="shared" si="20"/>
        <v>0</v>
      </c>
      <c r="AI30" s="1366">
        <f t="shared" si="21"/>
        <v>0</v>
      </c>
      <c r="AJ30" s="1366">
        <f t="shared" si="22"/>
        <v>0</v>
      </c>
      <c r="AK30" s="1376">
        <f t="shared" si="8"/>
        <v>0</v>
      </c>
      <c r="AL30" s="1376">
        <f t="shared" si="9"/>
        <v>0</v>
      </c>
      <c r="AM30" s="1376">
        <f t="shared" si="10"/>
        <v>0</v>
      </c>
      <c r="AN30" s="1376">
        <f t="shared" si="23"/>
        <v>0</v>
      </c>
      <c r="AO30" s="1376">
        <f t="shared" si="11"/>
        <v>0</v>
      </c>
      <c r="AP30" s="1376">
        <f t="shared" si="12"/>
        <v>0</v>
      </c>
      <c r="AQ30" s="1376">
        <f t="shared" si="13"/>
        <v>0</v>
      </c>
      <c r="AR30" s="461">
        <f t="shared" si="24"/>
        <v>0</v>
      </c>
    </row>
    <row r="31" spans="1:44">
      <c r="A31" s="350" t="s">
        <v>267</v>
      </c>
      <c r="B31" s="862" t="s">
        <v>164</v>
      </c>
      <c r="C31" s="375"/>
      <c r="D31" s="805"/>
      <c r="E31" s="375"/>
      <c r="F31" s="293" t="s">
        <v>164</v>
      </c>
      <c r="G31" s="293" t="s">
        <v>164</v>
      </c>
      <c r="H31" s="293" t="s">
        <v>164</v>
      </c>
      <c r="I31" s="293" t="s">
        <v>164</v>
      </c>
      <c r="J31" s="293" t="s">
        <v>164</v>
      </c>
      <c r="K31" s="293" t="s">
        <v>164</v>
      </c>
      <c r="L31" s="1370">
        <f>IF(A31=0,LOOKUP(B31,'Max Rents &amp; Pmt Stds'!$C$15:$C$28,'Max Rents &amp; Pmt Stds'!$E$15:$E$28),IF(A31=1,LOOKUP(B31,'Max Rents &amp; Pmt Stds'!$C$15:$C$28,'Max Rents &amp; Pmt Stds'!$F$15:$F$28),IF(A31=2,LOOKUP(B31,'Max Rents &amp; Pmt Stds'!$C$15:$C$28,'Max Rents &amp; Pmt Stds'!$G$15:$G$28),IF(A31=3,LOOKUP(B31,'Max Rents &amp; Pmt Stds'!$C$15:$C$28,'Max Rents &amp; Pmt Stds'!$H$15:$H$28),IF(A31=4,LOOKUP(B31,'Max Rents &amp; Pmt Stds'!$C$15:$C$28,'Max Rents &amp; Pmt Stds'!$I$15:$I$28),0)))))</f>
        <v>0</v>
      </c>
      <c r="M31" s="1371">
        <f>IF(A31="SRO",'Project Info'!R$42,0)+IF(A31=0,'Project Info'!R$43,0)+IF(A31=1,'Project Info'!R$44,0)+IF(A31=2,'Project Info'!R$45,0)+IF(A31=3,'Project Info'!R$46,0)+IF(A31=4,'Project Info'!R$47,0)</f>
        <v>0</v>
      </c>
      <c r="N31" s="1372">
        <f t="shared" si="0"/>
        <v>0</v>
      </c>
      <c r="O31" s="1371">
        <f>IF(AND($A31=0,$G31="YES"),'Max Rents &amp; Pmt Stds'!$L$12,IF(AND(Rents!$A31=0,Rents!$G31="NO"),0,IF(AND($A31=1,$G31="YES"),'Max Rents &amp; Pmt Stds'!$M$12,IF(AND(Rents!$A31=1,Rents!$G31="NO"),0,IF(AND($A31=2,$G31="YES"),'Max Rents &amp; Pmt Stds'!$N$12,IF(AND(Rents!$A31=2,Rents!$G31="NO"),0,IF(AND($A31=3,$G31="YES"),'Max Rents &amp; Pmt Stds'!$O$12,IF(AND(Rents!$A31=3,Rents!$G31="NO"),0,IF(AND($A31=4,$G31="YES"),'Max Rents &amp; Pmt Stds'!$P$12,IF(AND(Rents!$A31=4,Rents!$G31="NO"),0,IF(AND($A31="SRO",G31="YES"),0,IF(AND(Rents!$A31="SRO",Rents!$G31="NO"),0,0))))))))))))</f>
        <v>0</v>
      </c>
      <c r="P31" s="1371"/>
      <c r="Q31" s="375"/>
      <c r="R31" s="1373">
        <f t="shared" si="1"/>
        <v>0</v>
      </c>
      <c r="S31" s="1373">
        <f t="shared" si="27"/>
        <v>0</v>
      </c>
      <c r="T31" s="1373">
        <f t="shared" si="15"/>
        <v>0</v>
      </c>
      <c r="U31" s="807"/>
      <c r="V31" s="808"/>
      <c r="W31" s="1374" t="str">
        <f t="shared" si="25"/>
        <v>-</v>
      </c>
      <c r="X31" s="1374" t="str">
        <f t="shared" si="16"/>
        <v>-</v>
      </c>
      <c r="Y31" s="922"/>
      <c r="Z31" s="1375">
        <f t="shared" si="3"/>
        <v>0</v>
      </c>
      <c r="AA31" s="1375">
        <f t="shared" si="4"/>
        <v>0</v>
      </c>
      <c r="AB31" s="1375">
        <f t="shared" si="17"/>
        <v>0</v>
      </c>
      <c r="AC31" s="1366">
        <f t="shared" si="5"/>
        <v>0</v>
      </c>
      <c r="AD31" s="1366">
        <f t="shared" si="6"/>
        <v>0</v>
      </c>
      <c r="AE31" s="1375">
        <f t="shared" si="26"/>
        <v>0</v>
      </c>
      <c r="AF31" s="1366">
        <f t="shared" si="7"/>
        <v>0</v>
      </c>
      <c r="AG31" s="1366">
        <f t="shared" si="19"/>
        <v>0</v>
      </c>
      <c r="AH31" s="1366">
        <f t="shared" si="20"/>
        <v>0</v>
      </c>
      <c r="AI31" s="1366">
        <f t="shared" si="21"/>
        <v>0</v>
      </c>
      <c r="AJ31" s="1366">
        <f t="shared" si="22"/>
        <v>0</v>
      </c>
      <c r="AK31" s="1376">
        <f t="shared" si="8"/>
        <v>0</v>
      </c>
      <c r="AL31" s="1376">
        <f t="shared" si="9"/>
        <v>0</v>
      </c>
      <c r="AM31" s="1376">
        <f t="shared" si="10"/>
        <v>0</v>
      </c>
      <c r="AN31" s="1376">
        <f t="shared" si="23"/>
        <v>0</v>
      </c>
      <c r="AO31" s="1376">
        <f t="shared" si="11"/>
        <v>0</v>
      </c>
      <c r="AP31" s="1376">
        <f t="shared" si="12"/>
        <v>0</v>
      </c>
      <c r="AQ31" s="1376">
        <f t="shared" si="13"/>
        <v>0</v>
      </c>
      <c r="AR31" s="461">
        <f t="shared" si="24"/>
        <v>0</v>
      </c>
    </row>
    <row r="32" spans="1:44">
      <c r="A32" s="350" t="s">
        <v>267</v>
      </c>
      <c r="B32" s="862" t="s">
        <v>164</v>
      </c>
      <c r="C32" s="375"/>
      <c r="D32" s="805"/>
      <c r="E32" s="375"/>
      <c r="F32" s="293" t="s">
        <v>164</v>
      </c>
      <c r="G32" s="293" t="s">
        <v>164</v>
      </c>
      <c r="H32" s="293" t="s">
        <v>164</v>
      </c>
      <c r="I32" s="293" t="s">
        <v>164</v>
      </c>
      <c r="J32" s="293" t="s">
        <v>164</v>
      </c>
      <c r="K32" s="293" t="s">
        <v>164</v>
      </c>
      <c r="L32" s="1370">
        <f>IF(A32=0,LOOKUP(B32,'Max Rents &amp; Pmt Stds'!$C$15:$C$28,'Max Rents &amp; Pmt Stds'!$E$15:$E$28),IF(A32=1,LOOKUP(B32,'Max Rents &amp; Pmt Stds'!$C$15:$C$28,'Max Rents &amp; Pmt Stds'!$F$15:$F$28),IF(A32=2,LOOKUP(B32,'Max Rents &amp; Pmt Stds'!$C$15:$C$28,'Max Rents &amp; Pmt Stds'!$G$15:$G$28),IF(A32=3,LOOKUP(B32,'Max Rents &amp; Pmt Stds'!$C$15:$C$28,'Max Rents &amp; Pmt Stds'!$H$15:$H$28),IF(A32=4,LOOKUP(B32,'Max Rents &amp; Pmt Stds'!$C$15:$C$28,'Max Rents &amp; Pmt Stds'!$I$15:$I$28),0)))))</f>
        <v>0</v>
      </c>
      <c r="M32" s="1371">
        <f>IF(A32="SRO",'Project Info'!R$42,0)+IF(A32=0,'Project Info'!R$43,0)+IF(A32=1,'Project Info'!R$44,0)+IF(A32=2,'Project Info'!R$45,0)+IF(A32=3,'Project Info'!R$46,0)+IF(A32=4,'Project Info'!R$47,0)</f>
        <v>0</v>
      </c>
      <c r="N32" s="1372">
        <f t="shared" si="0"/>
        <v>0</v>
      </c>
      <c r="O32" s="1371">
        <f>IF(AND($A32=0,$G32="YES"),'Max Rents &amp; Pmt Stds'!$L$12,IF(AND(Rents!$A32=0,Rents!$G32="NO"),0,IF(AND($A32=1,$G32="YES"),'Max Rents &amp; Pmt Stds'!$M$12,IF(AND(Rents!$A32=1,Rents!$G32="NO"),0,IF(AND($A32=2,$G32="YES"),'Max Rents &amp; Pmt Stds'!$N$12,IF(AND(Rents!$A32=2,Rents!$G32="NO"),0,IF(AND($A32=3,$G32="YES"),'Max Rents &amp; Pmt Stds'!$O$12,IF(AND(Rents!$A32=3,Rents!$G32="NO"),0,IF(AND($A32=4,$G32="YES"),'Max Rents &amp; Pmt Stds'!$P$12,IF(AND(Rents!$A32=4,Rents!$G32="NO"),0,IF(AND($A32="SRO",G32="YES"),0,IF(AND(Rents!$A32="SRO",Rents!$G32="NO"),0,0))))))))))))</f>
        <v>0</v>
      </c>
      <c r="P32" s="1371"/>
      <c r="Q32" s="375"/>
      <c r="R32" s="1373">
        <f t="shared" si="1"/>
        <v>0</v>
      </c>
      <c r="S32" s="1373">
        <f t="shared" si="27"/>
        <v>0</v>
      </c>
      <c r="T32" s="1373">
        <f t="shared" si="15"/>
        <v>0</v>
      </c>
      <c r="U32" s="807"/>
      <c r="V32" s="808"/>
      <c r="W32" s="1374" t="str">
        <f t="shared" si="25"/>
        <v>-</v>
      </c>
      <c r="X32" s="1374" t="str">
        <f t="shared" si="16"/>
        <v>-</v>
      </c>
      <c r="Y32" s="922"/>
      <c r="Z32" s="1375">
        <f t="shared" si="3"/>
        <v>0</v>
      </c>
      <c r="AA32" s="1375">
        <f t="shared" si="4"/>
        <v>0</v>
      </c>
      <c r="AB32" s="1375">
        <f t="shared" si="17"/>
        <v>0</v>
      </c>
      <c r="AC32" s="1366">
        <f t="shared" si="5"/>
        <v>0</v>
      </c>
      <c r="AD32" s="1366">
        <f t="shared" si="6"/>
        <v>0</v>
      </c>
      <c r="AE32" s="1375">
        <f t="shared" si="26"/>
        <v>0</v>
      </c>
      <c r="AF32" s="1366">
        <f t="shared" si="7"/>
        <v>0</v>
      </c>
      <c r="AG32" s="1366">
        <f t="shared" si="19"/>
        <v>0</v>
      </c>
      <c r="AH32" s="1366">
        <f t="shared" si="20"/>
        <v>0</v>
      </c>
      <c r="AI32" s="1366">
        <f t="shared" si="21"/>
        <v>0</v>
      </c>
      <c r="AJ32" s="1366">
        <f t="shared" si="22"/>
        <v>0</v>
      </c>
      <c r="AK32" s="1376">
        <f t="shared" si="8"/>
        <v>0</v>
      </c>
      <c r="AL32" s="1376">
        <f t="shared" si="9"/>
        <v>0</v>
      </c>
      <c r="AM32" s="1376">
        <f t="shared" si="10"/>
        <v>0</v>
      </c>
      <c r="AN32" s="1376">
        <f t="shared" si="23"/>
        <v>0</v>
      </c>
      <c r="AO32" s="1376">
        <f t="shared" si="11"/>
        <v>0</v>
      </c>
      <c r="AP32" s="1376">
        <f t="shared" si="12"/>
        <v>0</v>
      </c>
      <c r="AQ32" s="1376">
        <f t="shared" si="13"/>
        <v>0</v>
      </c>
      <c r="AR32" s="461">
        <f t="shared" si="24"/>
        <v>0</v>
      </c>
    </row>
    <row r="33" spans="1:46">
      <c r="A33" s="350" t="s">
        <v>267</v>
      </c>
      <c r="B33" s="862" t="s">
        <v>164</v>
      </c>
      <c r="C33" s="375"/>
      <c r="D33" s="805"/>
      <c r="E33" s="375"/>
      <c r="F33" s="293" t="s">
        <v>164</v>
      </c>
      <c r="G33" s="293" t="s">
        <v>164</v>
      </c>
      <c r="H33" s="293" t="s">
        <v>164</v>
      </c>
      <c r="I33" s="293" t="s">
        <v>164</v>
      </c>
      <c r="J33" s="293" t="s">
        <v>164</v>
      </c>
      <c r="K33" s="293" t="s">
        <v>164</v>
      </c>
      <c r="L33" s="1370">
        <f>IF(A33=0,LOOKUP(B33,'Max Rents &amp; Pmt Stds'!$C$15:$C$28,'Max Rents &amp; Pmt Stds'!$E$15:$E$28),IF(A33=1,LOOKUP(B33,'Max Rents &amp; Pmt Stds'!$C$15:$C$28,'Max Rents &amp; Pmt Stds'!$F$15:$F$28),IF(A33=2,LOOKUP(B33,'Max Rents &amp; Pmt Stds'!$C$15:$C$28,'Max Rents &amp; Pmt Stds'!$G$15:$G$28),IF(A33=3,LOOKUP(B33,'Max Rents &amp; Pmt Stds'!$C$15:$C$28,'Max Rents &amp; Pmt Stds'!$H$15:$H$28),IF(A33=4,LOOKUP(B33,'Max Rents &amp; Pmt Stds'!$C$15:$C$28,'Max Rents &amp; Pmt Stds'!$I$15:$I$28),0)))))</f>
        <v>0</v>
      </c>
      <c r="M33" s="1371">
        <f>IF(A33="SRO",'Project Info'!R$42,0)+IF(A33=0,'Project Info'!R$43,0)+IF(A33=1,'Project Info'!R$44,0)+IF(A33=2,'Project Info'!R$45,0)+IF(A33=3,'Project Info'!R$46,0)+IF(A33=4,'Project Info'!R$47,0)</f>
        <v>0</v>
      </c>
      <c r="N33" s="1372">
        <f t="shared" si="0"/>
        <v>0</v>
      </c>
      <c r="O33" s="1371">
        <f>IF(AND($A33=0,$G33="YES"),'Max Rents &amp; Pmt Stds'!$L$12,IF(AND(Rents!$A33=0,Rents!$G33="NO"),0,IF(AND($A33=1,$G33="YES"),'Max Rents &amp; Pmt Stds'!$M$12,IF(AND(Rents!$A33=1,Rents!$G33="NO"),0,IF(AND($A33=2,$G33="YES"),'Max Rents &amp; Pmt Stds'!$N$12,IF(AND(Rents!$A33=2,Rents!$G33="NO"),0,IF(AND($A33=3,$G33="YES"),'Max Rents &amp; Pmt Stds'!$O$12,IF(AND(Rents!$A33=3,Rents!$G33="NO"),0,IF(AND($A33=4,$G33="YES"),'Max Rents &amp; Pmt Stds'!$P$12,IF(AND(Rents!$A33=4,Rents!$G33="NO"),0,IF(AND($A33="SRO",G33="YES"),0,IF(AND(Rents!$A33="SRO",Rents!$G33="NO"),0,0))))))))))))</f>
        <v>0</v>
      </c>
      <c r="P33" s="1371"/>
      <c r="Q33" s="375"/>
      <c r="R33" s="1373">
        <f t="shared" si="1"/>
        <v>0</v>
      </c>
      <c r="S33" s="1373">
        <f t="shared" si="27"/>
        <v>0</v>
      </c>
      <c r="T33" s="1373">
        <f t="shared" si="15"/>
        <v>0</v>
      </c>
      <c r="U33" s="807"/>
      <c r="V33" s="808"/>
      <c r="W33" s="1374" t="str">
        <f t="shared" si="25"/>
        <v>-</v>
      </c>
      <c r="X33" s="1374" t="str">
        <f t="shared" si="16"/>
        <v>-</v>
      </c>
      <c r="Y33" s="922"/>
      <c r="Z33" s="1375">
        <f t="shared" si="3"/>
        <v>0</v>
      </c>
      <c r="AA33" s="1375">
        <f t="shared" si="4"/>
        <v>0</v>
      </c>
      <c r="AB33" s="1375">
        <f t="shared" si="17"/>
        <v>0</v>
      </c>
      <c r="AC33" s="1366">
        <f t="shared" si="5"/>
        <v>0</v>
      </c>
      <c r="AD33" s="1366">
        <f t="shared" si="6"/>
        <v>0</v>
      </c>
      <c r="AE33" s="1375">
        <f t="shared" si="26"/>
        <v>0</v>
      </c>
      <c r="AF33" s="1366">
        <f t="shared" si="7"/>
        <v>0</v>
      </c>
      <c r="AG33" s="1366">
        <f t="shared" si="19"/>
        <v>0</v>
      </c>
      <c r="AH33" s="1366">
        <f t="shared" si="20"/>
        <v>0</v>
      </c>
      <c r="AI33" s="1366">
        <f t="shared" si="21"/>
        <v>0</v>
      </c>
      <c r="AJ33" s="1366">
        <f t="shared" si="22"/>
        <v>0</v>
      </c>
      <c r="AK33" s="1376">
        <f t="shared" si="8"/>
        <v>0</v>
      </c>
      <c r="AL33" s="1376">
        <f t="shared" si="9"/>
        <v>0</v>
      </c>
      <c r="AM33" s="1376">
        <f t="shared" si="10"/>
        <v>0</v>
      </c>
      <c r="AN33" s="1376">
        <f t="shared" si="23"/>
        <v>0</v>
      </c>
      <c r="AO33" s="1376">
        <f t="shared" si="11"/>
        <v>0</v>
      </c>
      <c r="AP33" s="1376">
        <f t="shared" si="12"/>
        <v>0</v>
      </c>
      <c r="AQ33" s="1376">
        <f t="shared" si="13"/>
        <v>0</v>
      </c>
      <c r="AR33" s="461">
        <f t="shared" si="24"/>
        <v>0</v>
      </c>
    </row>
    <row r="34" spans="1:46">
      <c r="A34" s="350" t="s">
        <v>267</v>
      </c>
      <c r="B34" s="862" t="s">
        <v>164</v>
      </c>
      <c r="C34" s="375"/>
      <c r="D34" s="805"/>
      <c r="E34" s="375"/>
      <c r="F34" s="293" t="s">
        <v>164</v>
      </c>
      <c r="G34" s="293" t="s">
        <v>164</v>
      </c>
      <c r="H34" s="293" t="s">
        <v>164</v>
      </c>
      <c r="I34" s="293" t="s">
        <v>164</v>
      </c>
      <c r="J34" s="293" t="s">
        <v>164</v>
      </c>
      <c r="K34" s="293" t="s">
        <v>164</v>
      </c>
      <c r="L34" s="1370">
        <f>IF(A34=0,LOOKUP(B34,'Max Rents &amp; Pmt Stds'!$C$15:$C$28,'Max Rents &amp; Pmt Stds'!$E$15:$E$28),IF(A34=1,LOOKUP(B34,'Max Rents &amp; Pmt Stds'!$C$15:$C$28,'Max Rents &amp; Pmt Stds'!$F$15:$F$28),IF(A34=2,LOOKUP(B34,'Max Rents &amp; Pmt Stds'!$C$15:$C$28,'Max Rents &amp; Pmt Stds'!$G$15:$G$28),IF(A34=3,LOOKUP(B34,'Max Rents &amp; Pmt Stds'!$C$15:$C$28,'Max Rents &amp; Pmt Stds'!$H$15:$H$28),IF(A34=4,LOOKUP(B34,'Max Rents &amp; Pmt Stds'!$C$15:$C$28,'Max Rents &amp; Pmt Stds'!$I$15:$I$28),0)))))</f>
        <v>0</v>
      </c>
      <c r="M34" s="1371">
        <f>IF(A34="SRO",'Project Info'!R$42,0)+IF(A34=0,'Project Info'!R$43,0)+IF(A34=1,'Project Info'!R$44,0)+IF(A34=2,'Project Info'!R$45,0)+IF(A34=3,'Project Info'!R$46,0)+IF(A34=4,'Project Info'!R$47,0)</f>
        <v>0</v>
      </c>
      <c r="N34" s="1372">
        <f t="shared" si="0"/>
        <v>0</v>
      </c>
      <c r="O34" s="1371">
        <f>IF(AND($A34=0,$G34="YES"),'Max Rents &amp; Pmt Stds'!$L$12,IF(AND(Rents!$A34=0,Rents!$G34="NO"),0,IF(AND($A34=1,$G34="YES"),'Max Rents &amp; Pmt Stds'!$M$12,IF(AND(Rents!$A34=1,Rents!$G34="NO"),0,IF(AND($A34=2,$G34="YES"),'Max Rents &amp; Pmt Stds'!$N$12,IF(AND(Rents!$A34=2,Rents!$G34="NO"),0,IF(AND($A34=3,$G34="YES"),'Max Rents &amp; Pmt Stds'!$O$12,IF(AND(Rents!$A34=3,Rents!$G34="NO"),0,IF(AND($A34=4,$G34="YES"),'Max Rents &amp; Pmt Stds'!$P$12,IF(AND(Rents!$A34=4,Rents!$G34="NO"),0,IF(AND($A34="SRO",G34="YES"),0,IF(AND(Rents!$A34="SRO",Rents!$G34="NO"),0,0))))))))))))</f>
        <v>0</v>
      </c>
      <c r="P34" s="1371"/>
      <c r="Q34" s="375"/>
      <c r="R34" s="1373">
        <f t="shared" si="1"/>
        <v>0</v>
      </c>
      <c r="S34" s="1373">
        <f t="shared" si="27"/>
        <v>0</v>
      </c>
      <c r="T34" s="1373">
        <f t="shared" si="15"/>
        <v>0</v>
      </c>
      <c r="U34" s="807"/>
      <c r="V34" s="808"/>
      <c r="W34" s="1374" t="str">
        <f t="shared" si="25"/>
        <v>-</v>
      </c>
      <c r="X34" s="1374" t="str">
        <f t="shared" si="16"/>
        <v>-</v>
      </c>
      <c r="Y34" s="922"/>
      <c r="Z34" s="1375">
        <f t="shared" si="3"/>
        <v>0</v>
      </c>
      <c r="AA34" s="1375">
        <f t="shared" si="4"/>
        <v>0</v>
      </c>
      <c r="AB34" s="1375">
        <f t="shared" si="17"/>
        <v>0</v>
      </c>
      <c r="AC34" s="1366">
        <f t="shared" si="5"/>
        <v>0</v>
      </c>
      <c r="AD34" s="1366">
        <f t="shared" si="6"/>
        <v>0</v>
      </c>
      <c r="AE34" s="1375">
        <f t="shared" si="26"/>
        <v>0</v>
      </c>
      <c r="AF34" s="1366">
        <f t="shared" si="7"/>
        <v>0</v>
      </c>
      <c r="AG34" s="1366">
        <f t="shared" si="19"/>
        <v>0</v>
      </c>
      <c r="AH34" s="1366">
        <f t="shared" si="20"/>
        <v>0</v>
      </c>
      <c r="AI34" s="1366">
        <f t="shared" si="21"/>
        <v>0</v>
      </c>
      <c r="AJ34" s="1366">
        <f t="shared" si="22"/>
        <v>0</v>
      </c>
      <c r="AK34" s="1376">
        <f t="shared" si="8"/>
        <v>0</v>
      </c>
      <c r="AL34" s="1376">
        <f t="shared" si="9"/>
        <v>0</v>
      </c>
      <c r="AM34" s="1376">
        <f t="shared" si="10"/>
        <v>0</v>
      </c>
      <c r="AN34" s="1376">
        <f t="shared" si="23"/>
        <v>0</v>
      </c>
      <c r="AO34" s="1376">
        <f t="shared" si="11"/>
        <v>0</v>
      </c>
      <c r="AP34" s="1376">
        <f t="shared" si="12"/>
        <v>0</v>
      </c>
      <c r="AQ34" s="1376">
        <f t="shared" si="13"/>
        <v>0</v>
      </c>
      <c r="AR34" s="461">
        <f t="shared" si="24"/>
        <v>0</v>
      </c>
    </row>
    <row r="35" spans="1:46">
      <c r="A35" s="350" t="s">
        <v>267</v>
      </c>
      <c r="B35" s="862" t="s">
        <v>164</v>
      </c>
      <c r="C35" s="375"/>
      <c r="D35" s="805"/>
      <c r="E35" s="375"/>
      <c r="F35" s="293" t="s">
        <v>164</v>
      </c>
      <c r="G35" s="293" t="s">
        <v>164</v>
      </c>
      <c r="H35" s="293" t="s">
        <v>164</v>
      </c>
      <c r="I35" s="293" t="s">
        <v>164</v>
      </c>
      <c r="J35" s="293" t="s">
        <v>164</v>
      </c>
      <c r="K35" s="293" t="s">
        <v>164</v>
      </c>
      <c r="L35" s="1370">
        <f>IF(A35=0,LOOKUP(B35,'Max Rents &amp; Pmt Stds'!$C$15:$C$28,'Max Rents &amp; Pmt Stds'!$E$15:$E$28),IF(A35=1,LOOKUP(B35,'Max Rents &amp; Pmt Stds'!$C$15:$C$28,'Max Rents &amp; Pmt Stds'!$F$15:$F$28),IF(A35=2,LOOKUP(B35,'Max Rents &amp; Pmt Stds'!$C$15:$C$28,'Max Rents &amp; Pmt Stds'!$G$15:$G$28),IF(A35=3,LOOKUP(B35,'Max Rents &amp; Pmt Stds'!$C$15:$C$28,'Max Rents &amp; Pmt Stds'!$H$15:$H$28),IF(A35=4,LOOKUP(B35,'Max Rents &amp; Pmt Stds'!$C$15:$C$28,'Max Rents &amp; Pmt Stds'!$I$15:$I$28),0)))))</f>
        <v>0</v>
      </c>
      <c r="M35" s="1371">
        <f>IF(A35="SRO",'Project Info'!R$42,0)+IF(A35=0,'Project Info'!R$43,0)+IF(A35=1,'Project Info'!R$44,0)+IF(A35=2,'Project Info'!R$45,0)+IF(A35=3,'Project Info'!R$46,0)+IF(A35=4,'Project Info'!R$47,0)</f>
        <v>0</v>
      </c>
      <c r="N35" s="1372">
        <f t="shared" si="0"/>
        <v>0</v>
      </c>
      <c r="O35" s="1371">
        <f>IF(AND($A35=0,$G35="YES"),'Max Rents &amp; Pmt Stds'!$L$12,IF(AND(Rents!$A35=0,Rents!$G35="NO"),0,IF(AND($A35=1,$G35="YES"),'Max Rents &amp; Pmt Stds'!$M$12,IF(AND(Rents!$A35=1,Rents!$G35="NO"),0,IF(AND($A35=2,$G35="YES"),'Max Rents &amp; Pmt Stds'!$N$12,IF(AND(Rents!$A35=2,Rents!$G35="NO"),0,IF(AND($A35=3,$G35="YES"),'Max Rents &amp; Pmt Stds'!$O$12,IF(AND(Rents!$A35=3,Rents!$G35="NO"),0,IF(AND($A35=4,$G35="YES"),'Max Rents &amp; Pmt Stds'!$P$12,IF(AND(Rents!$A35=4,Rents!$G35="NO"),0,IF(AND($A35="SRO",G35="YES"),0,IF(AND(Rents!$A35="SRO",Rents!$G35="NO"),0,0))))))))))))</f>
        <v>0</v>
      </c>
      <c r="P35" s="1371"/>
      <c r="Q35" s="375"/>
      <c r="R35" s="1373">
        <f t="shared" si="1"/>
        <v>0</v>
      </c>
      <c r="S35" s="1373">
        <f t="shared" si="27"/>
        <v>0</v>
      </c>
      <c r="T35" s="1373">
        <f t="shared" si="15"/>
        <v>0</v>
      </c>
      <c r="U35" s="807"/>
      <c r="V35" s="808"/>
      <c r="W35" s="1374" t="str">
        <f t="shared" si="25"/>
        <v>-</v>
      </c>
      <c r="X35" s="1374" t="str">
        <f t="shared" si="16"/>
        <v>-</v>
      </c>
      <c r="Y35" s="922"/>
      <c r="Z35" s="1375">
        <f t="shared" si="3"/>
        <v>0</v>
      </c>
      <c r="AA35" s="1375">
        <f t="shared" si="4"/>
        <v>0</v>
      </c>
      <c r="AB35" s="1375">
        <f t="shared" si="17"/>
        <v>0</v>
      </c>
      <c r="AC35" s="1366">
        <f t="shared" si="5"/>
        <v>0</v>
      </c>
      <c r="AD35" s="1366">
        <f t="shared" si="6"/>
        <v>0</v>
      </c>
      <c r="AE35" s="1375">
        <f t="shared" si="26"/>
        <v>0</v>
      </c>
      <c r="AF35" s="1366">
        <f t="shared" si="7"/>
        <v>0</v>
      </c>
      <c r="AG35" s="1366">
        <f t="shared" si="19"/>
        <v>0</v>
      </c>
      <c r="AH35" s="1366">
        <f t="shared" si="20"/>
        <v>0</v>
      </c>
      <c r="AI35" s="1366">
        <f t="shared" si="21"/>
        <v>0</v>
      </c>
      <c r="AJ35" s="1366">
        <f t="shared" si="22"/>
        <v>0</v>
      </c>
      <c r="AK35" s="1376">
        <f t="shared" si="8"/>
        <v>0</v>
      </c>
      <c r="AL35" s="1376">
        <f t="shared" si="9"/>
        <v>0</v>
      </c>
      <c r="AM35" s="1376">
        <f t="shared" si="10"/>
        <v>0</v>
      </c>
      <c r="AN35" s="1376">
        <f t="shared" si="23"/>
        <v>0</v>
      </c>
      <c r="AO35" s="1376">
        <f t="shared" si="11"/>
        <v>0</v>
      </c>
      <c r="AP35" s="1376">
        <f t="shared" si="12"/>
        <v>0</v>
      </c>
      <c r="AQ35" s="1376">
        <f t="shared" si="13"/>
        <v>0</v>
      </c>
      <c r="AR35" s="461">
        <f t="shared" si="24"/>
        <v>0</v>
      </c>
    </row>
    <row r="36" spans="1:46">
      <c r="A36" s="350" t="s">
        <v>267</v>
      </c>
      <c r="B36" s="862" t="s">
        <v>164</v>
      </c>
      <c r="C36" s="375"/>
      <c r="D36" s="805"/>
      <c r="E36" s="375"/>
      <c r="F36" s="293" t="s">
        <v>164</v>
      </c>
      <c r="G36" s="293" t="s">
        <v>164</v>
      </c>
      <c r="H36" s="293" t="s">
        <v>164</v>
      </c>
      <c r="I36" s="293" t="s">
        <v>164</v>
      </c>
      <c r="J36" s="293" t="s">
        <v>164</v>
      </c>
      <c r="K36" s="293" t="s">
        <v>164</v>
      </c>
      <c r="L36" s="1370">
        <f>IF(A36=0,LOOKUP(B36,'Max Rents &amp; Pmt Stds'!$C$15:$C$28,'Max Rents &amp; Pmt Stds'!$E$15:$E$28),IF(A36=1,LOOKUP(B36,'Max Rents &amp; Pmt Stds'!$C$15:$C$28,'Max Rents &amp; Pmt Stds'!$F$15:$F$28),IF(A36=2,LOOKUP(B36,'Max Rents &amp; Pmt Stds'!$C$15:$C$28,'Max Rents &amp; Pmt Stds'!$G$15:$G$28),IF(A36=3,LOOKUP(B36,'Max Rents &amp; Pmt Stds'!$C$15:$C$28,'Max Rents &amp; Pmt Stds'!$H$15:$H$28),IF(A36=4,LOOKUP(B36,'Max Rents &amp; Pmt Stds'!$C$15:$C$28,'Max Rents &amp; Pmt Stds'!$I$15:$I$28),0)))))</f>
        <v>0</v>
      </c>
      <c r="M36" s="1371">
        <f>IF(A36="SRO",'Project Info'!R$42,0)+IF(A36=0,'Project Info'!R$43,0)+IF(A36=1,'Project Info'!R$44,0)+IF(A36=2,'Project Info'!R$45,0)+IF(A36=3,'Project Info'!R$46,0)+IF(A36=4,'Project Info'!R$47,0)</f>
        <v>0</v>
      </c>
      <c r="N36" s="1372">
        <f t="shared" si="0"/>
        <v>0</v>
      </c>
      <c r="O36" s="1371">
        <f>IF(AND($A36=0,$G36="YES"),'Max Rents &amp; Pmt Stds'!$L$12,IF(AND(Rents!$A36=0,Rents!$G36="NO"),0,IF(AND($A36=1,$G36="YES"),'Max Rents &amp; Pmt Stds'!$M$12,IF(AND(Rents!$A36=1,Rents!$G36="NO"),0,IF(AND($A36=2,$G36="YES"),'Max Rents &amp; Pmt Stds'!$N$12,IF(AND(Rents!$A36=2,Rents!$G36="NO"),0,IF(AND($A36=3,$G36="YES"),'Max Rents &amp; Pmt Stds'!$O$12,IF(AND(Rents!$A36=3,Rents!$G36="NO"),0,IF(AND($A36=4,$G36="YES"),'Max Rents &amp; Pmt Stds'!$P$12,IF(AND(Rents!$A36=4,Rents!$G36="NO"),0,IF(AND($A36="SRO",G36="YES"),0,IF(AND(Rents!$A36="SRO",Rents!$G36="NO"),0,0))))))))))))</f>
        <v>0</v>
      </c>
      <c r="P36" s="1371"/>
      <c r="Q36" s="375"/>
      <c r="R36" s="1373">
        <f t="shared" si="1"/>
        <v>0</v>
      </c>
      <c r="S36" s="1373">
        <f t="shared" si="27"/>
        <v>0</v>
      </c>
      <c r="T36" s="1373">
        <f t="shared" si="15"/>
        <v>0</v>
      </c>
      <c r="U36" s="807"/>
      <c r="V36" s="808"/>
      <c r="W36" s="1374" t="str">
        <f t="shared" si="25"/>
        <v>-</v>
      </c>
      <c r="X36" s="1374" t="str">
        <f t="shared" si="16"/>
        <v>-</v>
      </c>
      <c r="Y36" s="922"/>
      <c r="Z36" s="1375">
        <f t="shared" si="3"/>
        <v>0</v>
      </c>
      <c r="AA36" s="1375">
        <f t="shared" si="4"/>
        <v>0</v>
      </c>
      <c r="AB36" s="1375">
        <f t="shared" si="17"/>
        <v>0</v>
      </c>
      <c r="AC36" s="1366">
        <f t="shared" si="5"/>
        <v>0</v>
      </c>
      <c r="AD36" s="1366">
        <f t="shared" si="6"/>
        <v>0</v>
      </c>
      <c r="AE36" s="1375">
        <f t="shared" si="26"/>
        <v>0</v>
      </c>
      <c r="AF36" s="1366">
        <f t="shared" si="7"/>
        <v>0</v>
      </c>
      <c r="AG36" s="1366">
        <f t="shared" si="19"/>
        <v>0</v>
      </c>
      <c r="AH36" s="1366">
        <f t="shared" si="20"/>
        <v>0</v>
      </c>
      <c r="AI36" s="1366">
        <f t="shared" si="21"/>
        <v>0</v>
      </c>
      <c r="AJ36" s="1366">
        <f t="shared" si="22"/>
        <v>0</v>
      </c>
      <c r="AK36" s="1376">
        <f t="shared" si="8"/>
        <v>0</v>
      </c>
      <c r="AL36" s="1376">
        <f t="shared" si="9"/>
        <v>0</v>
      </c>
      <c r="AM36" s="1376">
        <f t="shared" si="10"/>
        <v>0</v>
      </c>
      <c r="AN36" s="1376">
        <f t="shared" si="23"/>
        <v>0</v>
      </c>
      <c r="AO36" s="1376">
        <f t="shared" si="11"/>
        <v>0</v>
      </c>
      <c r="AP36" s="1376">
        <f t="shared" si="12"/>
        <v>0</v>
      </c>
      <c r="AQ36" s="1376">
        <f t="shared" si="13"/>
        <v>0</v>
      </c>
      <c r="AR36" s="461">
        <f t="shared" si="24"/>
        <v>0</v>
      </c>
    </row>
    <row r="37" spans="1:46">
      <c r="A37" s="350" t="s">
        <v>267</v>
      </c>
      <c r="B37" s="862" t="s">
        <v>164</v>
      </c>
      <c r="C37" s="376"/>
      <c r="D37" s="805"/>
      <c r="E37" s="376"/>
      <c r="F37" s="293" t="s">
        <v>164</v>
      </c>
      <c r="G37" s="293" t="s">
        <v>164</v>
      </c>
      <c r="H37" s="293" t="s">
        <v>164</v>
      </c>
      <c r="I37" s="293" t="s">
        <v>164</v>
      </c>
      <c r="J37" s="293" t="s">
        <v>164</v>
      </c>
      <c r="K37" s="293" t="s">
        <v>164</v>
      </c>
      <c r="L37" s="1370">
        <f>IF(A37=0,LOOKUP(B37,'Max Rents &amp; Pmt Stds'!$C$15:$C$28,'Max Rents &amp; Pmt Stds'!$E$15:$E$28),IF(A37=1,LOOKUP(B37,'Max Rents &amp; Pmt Stds'!$C$15:$C$28,'Max Rents &amp; Pmt Stds'!$F$15:$F$28),IF(A37=2,LOOKUP(B37,'Max Rents &amp; Pmt Stds'!$C$15:$C$28,'Max Rents &amp; Pmt Stds'!$G$15:$G$28),IF(A37=3,LOOKUP(B37,'Max Rents &amp; Pmt Stds'!$C$15:$C$28,'Max Rents &amp; Pmt Stds'!$H$15:$H$28),IF(A37=4,LOOKUP(B37,'Max Rents &amp; Pmt Stds'!$C$15:$C$28,'Max Rents &amp; Pmt Stds'!$I$15:$I$28),0)))))</f>
        <v>0</v>
      </c>
      <c r="M37" s="1371">
        <f>IF(A37="SRO",'Project Info'!R$42,0)+IF(A37=0,'Project Info'!R$43,0)+IF(A37=1,'Project Info'!R$44,0)+IF(A37=2,'Project Info'!R$45,0)+IF(A37=3,'Project Info'!R$46,0)+IF(A37=4,'Project Info'!R$47,0)</f>
        <v>0</v>
      </c>
      <c r="N37" s="1372">
        <f t="shared" si="0"/>
        <v>0</v>
      </c>
      <c r="O37" s="1371">
        <f>IF(AND($A37=0,$G37="YES"),'Max Rents &amp; Pmt Stds'!$L$12,IF(AND(Rents!$A37=0,Rents!$G37="NO"),0,IF(AND($A37=1,$G37="YES"),'Max Rents &amp; Pmt Stds'!$M$12,IF(AND(Rents!$A37=1,Rents!$G37="NO"),0,IF(AND($A37=2,$G37="YES"),'Max Rents &amp; Pmt Stds'!$N$12,IF(AND(Rents!$A37=2,Rents!$G37="NO"),0,IF(AND($A37=3,$G37="YES"),'Max Rents &amp; Pmt Stds'!$O$12,IF(AND(Rents!$A37=3,Rents!$G37="NO"),0,IF(AND($A37=4,$G37="YES"),'Max Rents &amp; Pmt Stds'!$P$12,IF(AND(Rents!$A37=4,Rents!$G37="NO"),0,IF(AND($A37="SRO",G37="YES"),0,IF(AND(Rents!$A37="SRO",Rents!$G37="NO"),0,0))))))))))))</f>
        <v>0</v>
      </c>
      <c r="P37" s="1371"/>
      <c r="Q37" s="375"/>
      <c r="R37" s="1373">
        <f t="shared" si="1"/>
        <v>0</v>
      </c>
      <c r="S37" s="1373">
        <f t="shared" si="27"/>
        <v>0</v>
      </c>
      <c r="T37" s="1373">
        <f t="shared" si="15"/>
        <v>0</v>
      </c>
      <c r="U37" s="807"/>
      <c r="V37" s="808"/>
      <c r="W37" s="1374" t="str">
        <f t="shared" si="25"/>
        <v>-</v>
      </c>
      <c r="X37" s="1374" t="str">
        <f t="shared" si="16"/>
        <v>-</v>
      </c>
      <c r="Y37" s="922"/>
      <c r="Z37" s="1375">
        <f t="shared" si="3"/>
        <v>0</v>
      </c>
      <c r="AA37" s="1375">
        <f t="shared" si="4"/>
        <v>0</v>
      </c>
      <c r="AB37" s="1375">
        <f t="shared" si="17"/>
        <v>0</v>
      </c>
      <c r="AC37" s="1366">
        <f t="shared" si="5"/>
        <v>0</v>
      </c>
      <c r="AD37" s="1366">
        <f t="shared" si="6"/>
        <v>0</v>
      </c>
      <c r="AE37" s="1375">
        <f t="shared" si="26"/>
        <v>0</v>
      </c>
      <c r="AF37" s="1366">
        <f t="shared" si="7"/>
        <v>0</v>
      </c>
      <c r="AG37" s="1366">
        <f t="shared" si="19"/>
        <v>0</v>
      </c>
      <c r="AH37" s="1366">
        <f t="shared" si="20"/>
        <v>0</v>
      </c>
      <c r="AI37" s="1366">
        <f t="shared" si="21"/>
        <v>0</v>
      </c>
      <c r="AJ37" s="1366">
        <f t="shared" si="22"/>
        <v>0</v>
      </c>
      <c r="AK37" s="1376">
        <f t="shared" si="8"/>
        <v>0</v>
      </c>
      <c r="AL37" s="1376">
        <f t="shared" si="9"/>
        <v>0</v>
      </c>
      <c r="AM37" s="1376">
        <f t="shared" si="10"/>
        <v>0</v>
      </c>
      <c r="AN37" s="1376">
        <f t="shared" si="23"/>
        <v>0</v>
      </c>
      <c r="AO37" s="1376">
        <f t="shared" si="11"/>
        <v>0</v>
      </c>
      <c r="AP37" s="1376">
        <f t="shared" si="12"/>
        <v>0</v>
      </c>
      <c r="AQ37" s="1376">
        <f t="shared" si="13"/>
        <v>0</v>
      </c>
      <c r="AR37" s="461">
        <f t="shared" si="24"/>
        <v>0</v>
      </c>
    </row>
    <row r="38" spans="1:46" ht="18" customHeight="1">
      <c r="A38" s="2101" t="s">
        <v>344</v>
      </c>
      <c r="B38" s="2102"/>
      <c r="C38" s="1377">
        <f>SUM(C7:C37)</f>
        <v>0</v>
      </c>
      <c r="D38" s="922"/>
      <c r="E38" s="1377">
        <f>SUMPRODUCT(E7:E37,C7:C37)</f>
        <v>0</v>
      </c>
      <c r="F38" s="1377">
        <f>AC38</f>
        <v>0</v>
      </c>
      <c r="G38" s="1377">
        <f>+AF38</f>
        <v>0</v>
      </c>
      <c r="H38" s="1377">
        <f>+AG38</f>
        <v>0</v>
      </c>
      <c r="I38" s="1377">
        <f>+AH38</f>
        <v>0</v>
      </c>
      <c r="J38" s="1377">
        <f>+AI38</f>
        <v>0</v>
      </c>
      <c r="K38" s="1377">
        <f>+AJ38</f>
        <v>0</v>
      </c>
      <c r="L38" s="922"/>
      <c r="M38" s="1378"/>
      <c r="N38" s="1378"/>
      <c r="O38" s="1378"/>
      <c r="P38" s="1377">
        <f t="shared" ref="P38:V38" si="28">SUM(P7:P37)</f>
        <v>0</v>
      </c>
      <c r="Q38" s="1377">
        <f t="shared" si="28"/>
        <v>0</v>
      </c>
      <c r="R38" s="1377">
        <f t="shared" si="28"/>
        <v>0</v>
      </c>
      <c r="S38" s="1377">
        <f t="shared" si="28"/>
        <v>0</v>
      </c>
      <c r="T38" s="1377">
        <f t="shared" si="28"/>
        <v>0</v>
      </c>
      <c r="U38" s="1377">
        <f t="shared" si="28"/>
        <v>0</v>
      </c>
      <c r="V38" s="1377">
        <f t="shared" si="28"/>
        <v>0</v>
      </c>
      <c r="W38" s="876"/>
      <c r="X38" s="922"/>
      <c r="Y38" s="922"/>
      <c r="Z38" s="1375">
        <f>SUM(Z7:Z37)</f>
        <v>0</v>
      </c>
      <c r="AA38" s="1375"/>
      <c r="AB38" s="1375">
        <f>SUM(AB7:AB37)</f>
        <v>0</v>
      </c>
      <c r="AC38" s="1375">
        <f>SUM(AC7:AC37)</f>
        <v>0</v>
      </c>
      <c r="AD38" s="1366"/>
      <c r="AE38" s="1375">
        <f t="shared" ref="AE38:AR38" si="29">SUM(AE7:AE37)</f>
        <v>0</v>
      </c>
      <c r="AF38" s="1375">
        <f t="shared" si="29"/>
        <v>0</v>
      </c>
      <c r="AG38" s="1375">
        <f t="shared" si="29"/>
        <v>0</v>
      </c>
      <c r="AH38" s="1375">
        <f t="shared" si="29"/>
        <v>0</v>
      </c>
      <c r="AI38" s="1375">
        <f t="shared" si="29"/>
        <v>0</v>
      </c>
      <c r="AJ38" s="1375">
        <f t="shared" si="29"/>
        <v>0</v>
      </c>
      <c r="AK38" s="1375">
        <f t="shared" si="29"/>
        <v>0</v>
      </c>
      <c r="AL38" s="1375">
        <f t="shared" si="29"/>
        <v>0</v>
      </c>
      <c r="AM38" s="1375">
        <f t="shared" si="29"/>
        <v>0</v>
      </c>
      <c r="AN38" s="1375">
        <f t="shared" si="29"/>
        <v>0</v>
      </c>
      <c r="AO38" s="1375">
        <f t="shared" si="29"/>
        <v>0</v>
      </c>
      <c r="AP38" s="1375">
        <f t="shared" si="29"/>
        <v>0</v>
      </c>
      <c r="AQ38" s="461">
        <f t="shared" si="29"/>
        <v>0</v>
      </c>
      <c r="AR38" s="461">
        <f t="shared" si="29"/>
        <v>0</v>
      </c>
    </row>
    <row r="39" spans="1:46" ht="25.5" customHeight="1">
      <c r="A39" s="2101" t="s">
        <v>71</v>
      </c>
      <c r="B39" s="2102"/>
      <c r="C39" s="1379">
        <f>+AC38</f>
        <v>0</v>
      </c>
      <c r="D39" s="922"/>
      <c r="E39" s="1379">
        <f>+AE38</f>
        <v>0</v>
      </c>
      <c r="F39" s="1120"/>
      <c r="G39" s="1044"/>
      <c r="H39" s="1044"/>
      <c r="I39" s="1044"/>
      <c r="J39" s="1044"/>
      <c r="K39" s="1044"/>
      <c r="L39" s="1044"/>
      <c r="M39" s="1044"/>
      <c r="N39" s="1044"/>
      <c r="O39" s="1044"/>
      <c r="P39" s="1380"/>
      <c r="Q39" s="1380"/>
      <c r="R39" s="1381" t="s">
        <v>753</v>
      </c>
      <c r="S39" s="1381">
        <f>R38/12</f>
        <v>0</v>
      </c>
      <c r="T39" s="1381"/>
      <c r="U39" s="1381"/>
      <c r="V39" s="876"/>
      <c r="W39" s="1382"/>
      <c r="X39" s="922"/>
      <c r="Y39" s="922"/>
      <c r="Z39" s="922"/>
      <c r="AA39" s="1366"/>
      <c r="AB39" s="1366"/>
      <c r="AC39" s="1366"/>
      <c r="AD39" s="1366"/>
      <c r="AE39" s="1366"/>
      <c r="AF39" s="1366"/>
      <c r="AG39" s="1366"/>
      <c r="AH39" s="1366"/>
      <c r="AI39" s="1366"/>
      <c r="AJ39" s="1366"/>
      <c r="AK39" s="1366"/>
      <c r="AL39" s="1366"/>
      <c r="AM39" s="1366"/>
      <c r="AN39" s="1366"/>
      <c r="AO39" s="1375">
        <f>SUM(AK38:AN38)</f>
        <v>0</v>
      </c>
      <c r="AP39" s="1366"/>
      <c r="AQ39" s="1375"/>
      <c r="AR39" s="15"/>
      <c r="AS39" s="461">
        <f>SUM(AO38:AR38)</f>
        <v>0</v>
      </c>
      <c r="AT39" s="461">
        <f>AO39+AS39</f>
        <v>0</v>
      </c>
    </row>
    <row r="40" spans="1:46" ht="21.75" customHeight="1" thickBot="1">
      <c r="A40" s="1383"/>
      <c r="B40" s="1383"/>
      <c r="C40" s="922"/>
      <c r="D40" s="922"/>
      <c r="E40" s="922"/>
      <c r="F40" s="922"/>
      <c r="G40" s="922"/>
      <c r="H40" s="922"/>
      <c r="I40" s="922"/>
      <c r="J40" s="922"/>
      <c r="K40" s="922"/>
      <c r="L40" s="922"/>
      <c r="M40" s="922"/>
      <c r="N40" s="1384"/>
      <c r="O40" s="1161"/>
      <c r="P40" s="922"/>
      <c r="Q40" s="876"/>
      <c r="R40" s="876"/>
      <c r="S40" s="876"/>
      <c r="T40" s="922"/>
      <c r="U40" s="922"/>
      <c r="V40" s="922"/>
      <c r="W40" s="922"/>
      <c r="X40" s="1366"/>
      <c r="Y40" s="1366"/>
      <c r="Z40" s="922"/>
      <c r="AA40" s="922"/>
      <c r="AB40" s="922"/>
      <c r="AC40" s="1366"/>
      <c r="AD40" s="1366"/>
      <c r="AE40" s="1366"/>
      <c r="AF40" s="1366"/>
      <c r="AG40" s="1366"/>
      <c r="AH40" s="1366"/>
      <c r="AI40" s="1366"/>
      <c r="AJ40" s="1366"/>
      <c r="AK40" s="922"/>
      <c r="AL40" s="922"/>
      <c r="AM40" s="922"/>
      <c r="AN40" s="922"/>
      <c r="AO40" s="922"/>
      <c r="AP40" s="922"/>
      <c r="AQ40" s="922"/>
      <c r="AT40" s="461">
        <f>'Stabilized Ops &amp; Debt'!E80-'Stabilized Ops &amp; Debt'!E78-'Stabilized Ops &amp; Debt'!E79</f>
        <v>0</v>
      </c>
    </row>
    <row r="41" spans="1:46">
      <c r="A41" s="2048" t="s">
        <v>34</v>
      </c>
      <c r="B41" s="2049"/>
      <c r="C41" s="2049"/>
      <c r="D41" s="2049"/>
      <c r="E41" s="2049"/>
      <c r="F41" s="2049"/>
      <c r="G41" s="2050"/>
      <c r="H41" s="1385"/>
      <c r="I41" s="922"/>
      <c r="J41" s="2048" t="s">
        <v>367</v>
      </c>
      <c r="K41" s="2049"/>
      <c r="L41" s="2049"/>
      <c r="M41" s="2049"/>
      <c r="N41" s="2049"/>
      <c r="O41" s="2050"/>
      <c r="P41" s="876"/>
      <c r="Q41" s="876"/>
      <c r="R41" s="876"/>
      <c r="S41" s="922"/>
      <c r="T41" s="922"/>
      <c r="U41" s="922"/>
      <c r="V41" s="922"/>
      <c r="W41" s="922"/>
      <c r="X41" s="1365"/>
      <c r="Y41" s="922"/>
      <c r="Z41" s="922"/>
      <c r="AA41" s="922"/>
      <c r="AB41" s="1366"/>
      <c r="AC41" s="1366"/>
      <c r="AD41" s="1366"/>
      <c r="AE41" s="1366"/>
      <c r="AF41" s="1366"/>
      <c r="AG41" s="1366"/>
      <c r="AH41" s="1366"/>
      <c r="AI41" s="1366"/>
      <c r="AJ41" s="922"/>
      <c r="AK41" s="922"/>
      <c r="AL41" s="922"/>
      <c r="AM41" s="922"/>
      <c r="AN41" s="922"/>
      <c r="AO41" s="922"/>
      <c r="AP41" s="922"/>
      <c r="AQ41" s="922"/>
    </row>
    <row r="42" spans="1:46" ht="15" customHeight="1">
      <c r="A42" s="2055" t="s">
        <v>271</v>
      </c>
      <c r="B42" s="2056" t="s">
        <v>359</v>
      </c>
      <c r="C42" s="2056" t="s">
        <v>264</v>
      </c>
      <c r="D42" s="2054" t="s">
        <v>273</v>
      </c>
      <c r="E42" s="2054" t="s">
        <v>268</v>
      </c>
      <c r="F42" s="2054" t="s">
        <v>274</v>
      </c>
      <c r="G42" s="2057"/>
      <c r="H42" s="922"/>
      <c r="I42" s="922"/>
      <c r="J42" s="2058" t="s">
        <v>402</v>
      </c>
      <c r="K42" s="2046" t="s">
        <v>359</v>
      </c>
      <c r="L42" s="2046" t="s">
        <v>264</v>
      </c>
      <c r="M42" s="2060" t="s">
        <v>273</v>
      </c>
      <c r="N42" s="2060" t="s">
        <v>268</v>
      </c>
      <c r="O42" s="2065" t="s">
        <v>274</v>
      </c>
      <c r="P42" s="876"/>
      <c r="Q42" s="876"/>
      <c r="R42" s="876"/>
      <c r="S42" s="922"/>
      <c r="T42" s="922"/>
      <c r="U42" s="922"/>
      <c r="V42" s="922"/>
      <c r="W42" s="922"/>
      <c r="X42" s="1365"/>
      <c r="Y42" s="922"/>
      <c r="Z42" s="922"/>
      <c r="AA42" s="922"/>
      <c r="AB42" s="1366"/>
      <c r="AC42" s="1366"/>
      <c r="AD42" s="1366"/>
      <c r="AE42" s="1366"/>
      <c r="AF42" s="1366"/>
      <c r="AG42" s="1366"/>
      <c r="AH42" s="1366"/>
      <c r="AI42" s="1366"/>
      <c r="AJ42" s="922"/>
      <c r="AK42" s="922"/>
      <c r="AL42" s="922"/>
      <c r="AM42" s="922"/>
      <c r="AN42" s="922"/>
      <c r="AO42" s="922"/>
      <c r="AP42" s="922"/>
      <c r="AQ42" s="922"/>
    </row>
    <row r="43" spans="1:46" ht="18" customHeight="1">
      <c r="A43" s="2055"/>
      <c r="B43" s="2056"/>
      <c r="C43" s="2056"/>
      <c r="D43" s="2054"/>
      <c r="E43" s="2054"/>
      <c r="F43" s="2054"/>
      <c r="G43" s="2057"/>
      <c r="H43" s="922"/>
      <c r="I43" s="922"/>
      <c r="J43" s="2059"/>
      <c r="K43" s="2047"/>
      <c r="L43" s="2047"/>
      <c r="M43" s="2060"/>
      <c r="N43" s="2060"/>
      <c r="O43" s="2065"/>
      <c r="P43" s="876"/>
      <c r="Q43" s="876"/>
      <c r="R43" s="876"/>
      <c r="S43" s="922"/>
      <c r="T43" s="922"/>
      <c r="U43" s="922"/>
      <c r="V43" s="922"/>
      <c r="W43" s="922"/>
      <c r="X43" s="1365"/>
      <c r="Y43" s="922"/>
      <c r="Z43" s="922"/>
      <c r="AA43" s="922"/>
      <c r="AB43" s="1366"/>
      <c r="AC43" s="1366"/>
      <c r="AD43" s="1366"/>
      <c r="AE43" s="1366"/>
      <c r="AF43" s="1366"/>
      <c r="AG43" s="1366"/>
      <c r="AH43" s="1366"/>
      <c r="AI43" s="1366"/>
      <c r="AJ43" s="922"/>
      <c r="AK43" s="922"/>
      <c r="AL43" s="922"/>
      <c r="AM43" s="922"/>
      <c r="AN43" s="922"/>
      <c r="AO43" s="922"/>
      <c r="AP43" s="922"/>
      <c r="AQ43" s="922"/>
    </row>
    <row r="44" spans="1:46" ht="15" customHeight="1">
      <c r="A44" s="372">
        <v>0</v>
      </c>
      <c r="B44" s="338"/>
      <c r="C44" s="338"/>
      <c r="D44" s="343"/>
      <c r="E44" s="343"/>
      <c r="F44" s="2052">
        <f t="shared" ref="F44:F51" si="30">+E44*B44</f>
        <v>0</v>
      </c>
      <c r="G44" s="2053"/>
      <c r="H44" s="922"/>
      <c r="I44" s="922"/>
      <c r="J44" s="372" t="s">
        <v>267</v>
      </c>
      <c r="K44" s="343"/>
      <c r="L44" s="343"/>
      <c r="M44" s="343"/>
      <c r="N44" s="343">
        <v>0</v>
      </c>
      <c r="O44" s="1386">
        <f>+N44*K44</f>
        <v>0</v>
      </c>
      <c r="P44" s="876"/>
      <c r="Q44" s="876"/>
      <c r="R44" s="876"/>
      <c r="S44" s="922"/>
      <c r="T44" s="922"/>
      <c r="U44" s="922"/>
      <c r="V44" s="922"/>
      <c r="W44" s="922"/>
      <c r="X44" s="1365"/>
      <c r="Y44" s="922"/>
      <c r="Z44" s="922"/>
      <c r="AA44" s="922"/>
      <c r="AB44" s="1366"/>
      <c r="AC44" s="1366"/>
      <c r="AD44" s="1366"/>
      <c r="AE44" s="1366"/>
      <c r="AF44" s="1366"/>
      <c r="AG44" s="1366"/>
      <c r="AH44" s="1366"/>
      <c r="AI44" s="1366"/>
      <c r="AJ44" s="922"/>
      <c r="AK44" s="922"/>
      <c r="AL44" s="922"/>
      <c r="AM44" s="922"/>
      <c r="AN44" s="922"/>
      <c r="AO44" s="922"/>
      <c r="AP44" s="922"/>
      <c r="AQ44" s="922"/>
    </row>
    <row r="45" spans="1:46">
      <c r="A45" s="372">
        <v>1</v>
      </c>
      <c r="B45" s="338"/>
      <c r="C45" s="338"/>
      <c r="D45" s="343"/>
      <c r="E45" s="343"/>
      <c r="F45" s="2052">
        <f t="shared" si="30"/>
        <v>0</v>
      </c>
      <c r="G45" s="2053"/>
      <c r="H45" s="922"/>
      <c r="I45" s="922"/>
      <c r="J45" s="372" t="s">
        <v>267</v>
      </c>
      <c r="K45" s="338"/>
      <c r="L45" s="338"/>
      <c r="M45" s="338"/>
      <c r="N45" s="338"/>
      <c r="O45" s="1386">
        <f>+N45*K45</f>
        <v>0</v>
      </c>
      <c r="P45" s="876"/>
      <c r="Q45" s="876"/>
      <c r="R45" s="876"/>
      <c r="S45" s="922"/>
      <c r="T45" s="922"/>
      <c r="U45" s="922"/>
      <c r="V45" s="922"/>
      <c r="W45" s="922"/>
      <c r="X45" s="1365"/>
      <c r="Y45" s="922"/>
      <c r="Z45" s="922"/>
      <c r="AA45" s="922"/>
      <c r="AB45" s="1366"/>
      <c r="AC45" s="1366"/>
      <c r="AD45" s="1366"/>
      <c r="AE45" s="1366"/>
      <c r="AF45" s="1366"/>
      <c r="AG45" s="1366"/>
      <c r="AH45" s="1366"/>
      <c r="AI45" s="1366"/>
      <c r="AJ45" s="922"/>
      <c r="AK45" s="922"/>
      <c r="AL45" s="922"/>
      <c r="AM45" s="922"/>
      <c r="AN45" s="922"/>
      <c r="AO45" s="922"/>
      <c r="AP45" s="922"/>
      <c r="AQ45" s="922"/>
    </row>
    <row r="46" spans="1:46" ht="15.75" customHeight="1">
      <c r="A46" s="372">
        <v>2</v>
      </c>
      <c r="B46" s="338"/>
      <c r="C46" s="338"/>
      <c r="D46" s="343"/>
      <c r="E46" s="343"/>
      <c r="F46" s="2052">
        <f t="shared" si="30"/>
        <v>0</v>
      </c>
      <c r="G46" s="2053"/>
      <c r="H46" s="922"/>
      <c r="I46" s="922"/>
      <c r="J46" s="1387" t="s">
        <v>595</v>
      </c>
      <c r="K46" s="1388">
        <f>+K45+K44</f>
        <v>0</v>
      </c>
      <c r="L46" s="1200"/>
      <c r="M46" s="2094">
        <f>SUMPRODUCT(M44:M45,K44:K45)</f>
        <v>0</v>
      </c>
      <c r="N46" s="2068"/>
      <c r="O46" s="2099">
        <f>(+O45+O44)*12</f>
        <v>0</v>
      </c>
      <c r="P46" s="876"/>
      <c r="Q46" s="876"/>
      <c r="R46" s="876"/>
      <c r="S46" s="922"/>
      <c r="T46" s="922"/>
      <c r="U46" s="922"/>
      <c r="V46" s="922"/>
      <c r="W46" s="922"/>
      <c r="X46" s="1365"/>
      <c r="Y46" s="922"/>
      <c r="Z46" s="922"/>
      <c r="AA46" s="922"/>
      <c r="AB46" s="1366"/>
      <c r="AC46" s="1366"/>
      <c r="AD46" s="1366"/>
      <c r="AE46" s="1366"/>
      <c r="AF46" s="1366"/>
      <c r="AG46" s="1366"/>
      <c r="AH46" s="1366"/>
      <c r="AI46" s="1366"/>
      <c r="AJ46" s="922"/>
      <c r="AK46" s="922"/>
      <c r="AL46" s="922"/>
      <c r="AM46" s="922"/>
      <c r="AN46" s="922"/>
      <c r="AO46" s="922"/>
      <c r="AP46" s="922"/>
      <c r="AQ46" s="922"/>
    </row>
    <row r="47" spans="1:46" ht="15.75" customHeight="1" thickBot="1">
      <c r="A47" s="372">
        <v>3</v>
      </c>
      <c r="B47" s="338"/>
      <c r="C47" s="338"/>
      <c r="D47" s="343"/>
      <c r="E47" s="343"/>
      <c r="F47" s="2052">
        <f t="shared" si="30"/>
        <v>0</v>
      </c>
      <c r="G47" s="2053"/>
      <c r="H47" s="922"/>
      <c r="I47" s="922"/>
      <c r="J47" s="1389"/>
      <c r="K47" s="1390"/>
      <c r="L47" s="1202"/>
      <c r="M47" s="2095"/>
      <c r="N47" s="2070"/>
      <c r="O47" s="2100"/>
      <c r="P47" s="876"/>
      <c r="Q47" s="876"/>
      <c r="R47" s="876"/>
      <c r="S47" s="922"/>
      <c r="T47" s="922"/>
      <c r="U47" s="922"/>
      <c r="V47" s="922"/>
      <c r="W47" s="922"/>
      <c r="X47" s="922"/>
      <c r="Y47" s="922"/>
      <c r="Z47" s="922"/>
      <c r="AA47" s="2051" t="s">
        <v>279</v>
      </c>
      <c r="AB47" s="2051"/>
      <c r="AC47" s="2051"/>
      <c r="AD47" s="2051"/>
      <c r="AE47" s="1366"/>
      <c r="AF47" s="1366"/>
      <c r="AG47" s="1366"/>
      <c r="AH47" s="922"/>
      <c r="AI47" s="922"/>
      <c r="AJ47" s="876"/>
      <c r="AK47" s="876"/>
      <c r="AL47" s="876"/>
      <c r="AM47" s="1391"/>
      <c r="AN47" s="1391"/>
      <c r="AO47" s="1391"/>
      <c r="AP47" s="1391"/>
      <c r="AQ47" s="1391"/>
    </row>
    <row r="48" spans="1:46" ht="16.5" thickBot="1">
      <c r="A48" s="372">
        <v>0</v>
      </c>
      <c r="B48" s="338"/>
      <c r="C48" s="338"/>
      <c r="D48" s="343"/>
      <c r="E48" s="343"/>
      <c r="F48" s="2052">
        <f t="shared" si="30"/>
        <v>0</v>
      </c>
      <c r="G48" s="2053"/>
      <c r="H48" s="876"/>
      <c r="I48" s="876"/>
      <c r="J48" s="922"/>
      <c r="K48" s="922"/>
      <c r="L48" s="922"/>
      <c r="M48" s="1117"/>
      <c r="N48" s="922"/>
      <c r="O48" s="922"/>
      <c r="P48" s="922"/>
      <c r="Q48" s="876"/>
      <c r="R48" s="876"/>
      <c r="S48" s="876"/>
      <c r="T48" s="922"/>
      <c r="U48" s="922"/>
      <c r="V48" s="922"/>
      <c r="W48" s="922"/>
      <c r="X48" s="922"/>
      <c r="Y48" s="922"/>
      <c r="Z48" s="922"/>
      <c r="AA48" s="1392" t="s">
        <v>243</v>
      </c>
      <c r="AB48" s="1392" t="s">
        <v>359</v>
      </c>
      <c r="AC48" s="1392" t="s">
        <v>1428</v>
      </c>
      <c r="AD48" s="1392" t="s">
        <v>513</v>
      </c>
      <c r="AE48" s="922"/>
      <c r="AF48" s="1366"/>
      <c r="AG48" s="1366"/>
      <c r="AH48" s="922"/>
      <c r="AI48" s="922"/>
      <c r="AJ48" s="876"/>
      <c r="AK48" s="876"/>
      <c r="AL48" s="876"/>
      <c r="AM48" s="1391"/>
      <c r="AN48" s="1391"/>
      <c r="AO48" s="1391"/>
      <c r="AP48" s="1391"/>
      <c r="AQ48" s="1391"/>
    </row>
    <row r="49" spans="1:43">
      <c r="A49" s="372">
        <v>0</v>
      </c>
      <c r="B49" s="338"/>
      <c r="C49" s="338"/>
      <c r="D49" s="343"/>
      <c r="E49" s="343"/>
      <c r="F49" s="2052">
        <f t="shared" si="30"/>
        <v>0</v>
      </c>
      <c r="G49" s="2053"/>
      <c r="H49" s="876"/>
      <c r="I49" s="876"/>
      <c r="J49" s="2048" t="s">
        <v>278</v>
      </c>
      <c r="K49" s="2049"/>
      <c r="L49" s="2050"/>
      <c r="M49" s="922"/>
      <c r="N49" s="2096" t="s">
        <v>36</v>
      </c>
      <c r="O49" s="2097"/>
      <c r="P49" s="2097"/>
      <c r="Q49" s="2097"/>
      <c r="R49" s="2098"/>
      <c r="S49" s="876"/>
      <c r="T49" s="922"/>
      <c r="U49" s="922"/>
      <c r="V49" s="922"/>
      <c r="W49" s="922"/>
      <c r="X49" s="922"/>
      <c r="Y49" s="922"/>
      <c r="Z49" s="922"/>
      <c r="AA49" s="1393">
        <v>0.2</v>
      </c>
      <c r="AB49" s="1044">
        <f>SUMIF($B$7:$B$37,$AA$49,$C$7:$C$37)</f>
        <v>0</v>
      </c>
      <c r="AC49" s="1394">
        <f t="shared" ref="AC49:AC59" si="31">IFERROR(+AB49/$AB$64,0)</f>
        <v>0</v>
      </c>
      <c r="AD49" s="1044">
        <f>SUMIF($B$7:$B$37,AA49,$E$7:$E$37)</f>
        <v>0</v>
      </c>
      <c r="AE49" s="922"/>
      <c r="AF49" s="1366"/>
      <c r="AG49" s="1366"/>
      <c r="AH49" s="922"/>
      <c r="AI49" s="922"/>
      <c r="AJ49" s="876"/>
      <c r="AK49" s="876"/>
      <c r="AL49" s="876"/>
      <c r="AM49" s="1391"/>
      <c r="AN49" s="1391"/>
      <c r="AO49" s="1391"/>
      <c r="AP49" s="1391"/>
      <c r="AQ49" s="1391"/>
    </row>
    <row r="50" spans="1:43" ht="15" customHeight="1">
      <c r="A50" s="372">
        <v>0</v>
      </c>
      <c r="B50" s="338"/>
      <c r="C50" s="338"/>
      <c r="D50" s="343"/>
      <c r="E50" s="343"/>
      <c r="F50" s="2052">
        <f t="shared" si="30"/>
        <v>0</v>
      </c>
      <c r="G50" s="2053"/>
      <c r="H50" s="876"/>
      <c r="I50" s="876"/>
      <c r="J50" s="1395" t="s">
        <v>262</v>
      </c>
      <c r="K50" s="1396" t="s">
        <v>276</v>
      </c>
      <c r="L50" s="1397" t="s">
        <v>277</v>
      </c>
      <c r="M50" s="876"/>
      <c r="N50" s="1398" t="s">
        <v>243</v>
      </c>
      <c r="O50" s="1063" t="s">
        <v>359</v>
      </c>
      <c r="P50" s="1063" t="s">
        <v>277</v>
      </c>
      <c r="Q50" s="1063" t="s">
        <v>35</v>
      </c>
      <c r="R50" s="1399" t="s">
        <v>277</v>
      </c>
      <c r="S50" s="876"/>
      <c r="T50" s="922"/>
      <c r="U50" s="922"/>
      <c r="V50" s="922"/>
      <c r="W50" s="922"/>
      <c r="X50" s="922"/>
      <c r="Y50" s="922"/>
      <c r="Z50" s="922"/>
      <c r="AA50" s="1393">
        <v>0.25</v>
      </c>
      <c r="AB50" s="1044">
        <f>SUMIF($B$7:$B$37,$AA$50,$C$7:$C$37)</f>
        <v>0</v>
      </c>
      <c r="AC50" s="1394">
        <f t="shared" si="31"/>
        <v>0</v>
      </c>
      <c r="AD50" s="1044">
        <f t="shared" ref="AD50:AD63" si="32">SUMIF($B$7:$B$37,AA50,$E$7:$E$37)</f>
        <v>0</v>
      </c>
      <c r="AE50" s="922"/>
      <c r="AF50" s="1366"/>
      <c r="AG50" s="1366"/>
      <c r="AH50" s="922"/>
      <c r="AI50" s="922"/>
      <c r="AJ50" s="876"/>
      <c r="AK50" s="876"/>
      <c r="AL50" s="876"/>
      <c r="AM50" s="1391"/>
      <c r="AN50" s="1391"/>
      <c r="AO50" s="1391"/>
      <c r="AP50" s="1391"/>
      <c r="AQ50" s="1391"/>
    </row>
    <row r="51" spans="1:43" ht="14.1" customHeight="1">
      <c r="A51" s="372">
        <v>0</v>
      </c>
      <c r="B51" s="338"/>
      <c r="C51" s="338"/>
      <c r="D51" s="343"/>
      <c r="E51" s="343"/>
      <c r="F51" s="2052">
        <f t="shared" si="30"/>
        <v>0</v>
      </c>
      <c r="G51" s="2053"/>
      <c r="H51" s="876"/>
      <c r="I51" s="876"/>
      <c r="J51" s="1400">
        <v>0</v>
      </c>
      <c r="K51" s="326">
        <f>(SUMIF($A$7:$A$37,J51,$C$7:$C$37))+(SUMIF($A$44:A51,J51,$B$44:$B$51)+(SUMIF($J$44:J45,J51,$K$44:$K$45)))</f>
        <v>0</v>
      </c>
      <c r="L51" s="1401">
        <f>IFERROR(+K51/$K$56,0)</f>
        <v>0</v>
      </c>
      <c r="M51" s="876"/>
      <c r="N51" s="1042" t="s">
        <v>764</v>
      </c>
      <c r="O51" s="1402">
        <f>AB49</f>
        <v>0</v>
      </c>
      <c r="P51" s="1403">
        <f>IFERROR(+O51/$O$59,0)</f>
        <v>0</v>
      </c>
      <c r="Q51" s="1404">
        <f>AE49</f>
        <v>0</v>
      </c>
      <c r="R51" s="1405">
        <f>IFERROR(+Q51/$Q$59,0)</f>
        <v>0</v>
      </c>
      <c r="S51" s="1406"/>
      <c r="T51" s="922"/>
      <c r="U51" s="922"/>
      <c r="V51" s="922"/>
      <c r="W51" s="922"/>
      <c r="X51" s="922"/>
      <c r="Y51" s="922"/>
      <c r="Z51" s="922"/>
      <c r="AA51" s="1393">
        <v>0.3</v>
      </c>
      <c r="AB51" s="1044">
        <f>SUMIF($B$7:$B$37,AA51,$C$7:$C$37)</f>
        <v>0</v>
      </c>
      <c r="AC51" s="1394">
        <f t="shared" si="31"/>
        <v>0</v>
      </c>
      <c r="AD51" s="1044">
        <f t="shared" si="32"/>
        <v>0</v>
      </c>
      <c r="AE51" s="922"/>
      <c r="AF51" s="1366"/>
      <c r="AG51" s="1366"/>
      <c r="AH51" s="922"/>
      <c r="AI51" s="922"/>
      <c r="AJ51" s="876"/>
      <c r="AK51" s="876"/>
      <c r="AL51" s="876"/>
      <c r="AM51" s="1391"/>
      <c r="AN51" s="1391"/>
      <c r="AO51" s="1391"/>
      <c r="AP51" s="1391"/>
      <c r="AQ51" s="1391"/>
    </row>
    <row r="52" spans="1:43" ht="15" customHeight="1">
      <c r="A52" s="1387" t="s">
        <v>275</v>
      </c>
      <c r="B52" s="2068">
        <f>SUM(B44:B51)</f>
        <v>0</v>
      </c>
      <c r="C52" s="2092"/>
      <c r="D52" s="2068">
        <f>SUMPRODUCT(D44:D51,B44:B51)</f>
        <v>0</v>
      </c>
      <c r="E52" s="2068"/>
      <c r="F52" s="2068">
        <f>SUM(F44:G51)</f>
        <v>0</v>
      </c>
      <c r="G52" s="2069"/>
      <c r="H52" s="876"/>
      <c r="I52" s="876"/>
      <c r="J52" s="1400">
        <v>1</v>
      </c>
      <c r="K52" s="326">
        <f>(SUMIF($A$7:$A$37,J52,$C$7:$C$37))+(SUMIF($A$44:A51,J52,$B$44:$B$51)+(SUMIF($J$44:J45,J52,$K$44:$K$45)))</f>
        <v>0</v>
      </c>
      <c r="L52" s="1401">
        <f>IFERROR(+K52/$K$56,0)</f>
        <v>0</v>
      </c>
      <c r="M52" s="876"/>
      <c r="N52" s="1046" t="s">
        <v>757</v>
      </c>
      <c r="O52" s="1407">
        <f>AB50+AB51</f>
        <v>0</v>
      </c>
      <c r="P52" s="1403">
        <f t="shared" ref="P52:P58" si="33">IFERROR(+O52/$O$59,0)</f>
        <v>0</v>
      </c>
      <c r="Q52" s="1408">
        <f>AE50+AE51</f>
        <v>0</v>
      </c>
      <c r="R52" s="1405">
        <f t="shared" ref="R52:R58" si="34">IFERROR(+Q52/$Q$59,0)</f>
        <v>0</v>
      </c>
      <c r="S52" s="1406"/>
      <c r="T52" s="922"/>
      <c r="U52" s="922"/>
      <c r="V52" s="922"/>
      <c r="W52" s="922"/>
      <c r="X52" s="922"/>
      <c r="Y52" s="922"/>
      <c r="Z52" s="922"/>
      <c r="AA52" s="1393">
        <v>0.35</v>
      </c>
      <c r="AB52" s="1044">
        <f>SUMIF($B$7:$B$37,AA52,$C$7:$C$37)</f>
        <v>0</v>
      </c>
      <c r="AC52" s="1394">
        <f t="shared" si="31"/>
        <v>0</v>
      </c>
      <c r="AD52" s="1044">
        <f t="shared" si="32"/>
        <v>0</v>
      </c>
      <c r="AE52" s="922"/>
      <c r="AF52" s="1366"/>
      <c r="AG52" s="1366"/>
      <c r="AH52" s="922"/>
      <c r="AI52" s="922"/>
      <c r="AJ52" s="876"/>
      <c r="AK52" s="876"/>
      <c r="AL52" s="876"/>
      <c r="AM52" s="1391"/>
      <c r="AN52" s="1391"/>
      <c r="AO52" s="1391"/>
      <c r="AP52" s="1391"/>
      <c r="AQ52" s="1391"/>
    </row>
    <row r="53" spans="1:43" ht="17.25" customHeight="1" thickBot="1">
      <c r="A53" s="1389"/>
      <c r="B53" s="2070"/>
      <c r="C53" s="2093"/>
      <c r="D53" s="2070"/>
      <c r="E53" s="2070"/>
      <c r="F53" s="2070"/>
      <c r="G53" s="2071"/>
      <c r="H53" s="876"/>
      <c r="I53" s="876"/>
      <c r="J53" s="1400">
        <v>2</v>
      </c>
      <c r="K53" s="326">
        <f>(SUMIF($A$7:$A$37,J53,$C$7:$C$37))+(SUMIF($A$44:A51,J53,$B$44:$B$51)+(SUMIF($J$44:J45,J53,$K$44:$K$45)))</f>
        <v>0</v>
      </c>
      <c r="L53" s="1401">
        <f>IFERROR(+K53/$K$56,0)</f>
        <v>0</v>
      </c>
      <c r="M53" s="876"/>
      <c r="N53" s="1046" t="s">
        <v>759</v>
      </c>
      <c r="O53" s="1407">
        <f>+AB52+AB53+AB54+AB55</f>
        <v>0</v>
      </c>
      <c r="P53" s="1403">
        <f t="shared" si="33"/>
        <v>0</v>
      </c>
      <c r="Q53" s="1408">
        <f>+AE52+AE53+AE54+AE55</f>
        <v>0</v>
      </c>
      <c r="R53" s="1405">
        <f t="shared" si="34"/>
        <v>0</v>
      </c>
      <c r="S53" s="1406"/>
      <c r="T53" s="922"/>
      <c r="U53" s="922"/>
      <c r="V53" s="922"/>
      <c r="W53" s="922"/>
      <c r="X53" s="922"/>
      <c r="Y53" s="922"/>
      <c r="Z53" s="922"/>
      <c r="AA53" s="1393">
        <v>0.4</v>
      </c>
      <c r="AB53" s="1044">
        <f>SUMIF($B$7:$B$37,AA53,$C$7:$C$37)</f>
        <v>0</v>
      </c>
      <c r="AC53" s="1394">
        <f t="shared" si="31"/>
        <v>0</v>
      </c>
      <c r="AD53" s="1044">
        <f t="shared" si="32"/>
        <v>0</v>
      </c>
      <c r="AE53" s="922"/>
      <c r="AF53" s="1366"/>
      <c r="AG53" s="1366"/>
      <c r="AH53" s="922"/>
      <c r="AI53" s="922"/>
      <c r="AJ53" s="876"/>
      <c r="AK53" s="876"/>
      <c r="AL53" s="876"/>
      <c r="AM53" s="1391"/>
      <c r="AN53" s="1391"/>
      <c r="AO53" s="1391"/>
      <c r="AP53" s="1391"/>
      <c r="AQ53" s="1391"/>
    </row>
    <row r="54" spans="1:43" ht="16.5" thickBot="1">
      <c r="A54" s="1406"/>
      <c r="B54" s="1406"/>
      <c r="C54" s="876"/>
      <c r="D54" s="876"/>
      <c r="E54" s="876"/>
      <c r="F54" s="876"/>
      <c r="G54" s="876"/>
      <c r="H54" s="876"/>
      <c r="I54" s="876"/>
      <c r="J54" s="1400">
        <v>3</v>
      </c>
      <c r="K54" s="326">
        <f>(SUMIF($A$7:$A$37,J54,$C$7:$C$37))+(SUMIF($A$44:A51,J54,$B$44:$B$51)+(SUMIF(J44:J45,J54,$K$44:$K$45)))</f>
        <v>0</v>
      </c>
      <c r="L54" s="1401">
        <f>IFERROR(+K54/$K$56,0)</f>
        <v>0</v>
      </c>
      <c r="M54" s="876"/>
      <c r="N54" s="1046" t="s">
        <v>758</v>
      </c>
      <c r="O54" s="1407">
        <f>+AB56+AB57</f>
        <v>0</v>
      </c>
      <c r="P54" s="1403">
        <f t="shared" si="33"/>
        <v>0</v>
      </c>
      <c r="Q54" s="1408">
        <f>+AE56+AE57</f>
        <v>0</v>
      </c>
      <c r="R54" s="1405">
        <f t="shared" si="34"/>
        <v>0</v>
      </c>
      <c r="S54" s="1406"/>
      <c r="T54" s="922"/>
      <c r="U54" s="922"/>
      <c r="V54" s="922"/>
      <c r="W54" s="922"/>
      <c r="X54" s="922"/>
      <c r="Y54" s="922"/>
      <c r="Z54" s="922"/>
      <c r="AA54" s="1393">
        <v>0.45</v>
      </c>
      <c r="AB54" s="1044">
        <f>SUMIF($B$7:$B$37,AA54,$C$7:$C$37)</f>
        <v>0</v>
      </c>
      <c r="AC54" s="1394">
        <f t="shared" si="31"/>
        <v>0</v>
      </c>
      <c r="AD54" s="1044">
        <f t="shared" si="32"/>
        <v>0</v>
      </c>
      <c r="AE54" s="922"/>
      <c r="AF54" s="1366"/>
      <c r="AG54" s="1366"/>
      <c r="AH54" s="922"/>
      <c r="AI54" s="922"/>
      <c r="AJ54" s="876"/>
      <c r="AK54" s="876"/>
      <c r="AL54" s="876"/>
      <c r="AM54" s="1391"/>
      <c r="AN54" s="1391"/>
      <c r="AO54" s="1391"/>
      <c r="AP54" s="1391"/>
      <c r="AQ54" s="1391"/>
    </row>
    <row r="55" spans="1:43">
      <c r="A55" s="2048" t="s">
        <v>130</v>
      </c>
      <c r="B55" s="2049"/>
      <c r="C55" s="2049"/>
      <c r="D55" s="2049"/>
      <c r="E55" s="2049"/>
      <c r="F55" s="2049"/>
      <c r="G55" s="2049"/>
      <c r="H55" s="2050"/>
      <c r="I55" s="876"/>
      <c r="J55" s="1400">
        <v>4</v>
      </c>
      <c r="K55" s="326">
        <f>(SUMIF($A$7:$A$37,J55,$C$7:$C$37))+(SUMIF($A$44:A51,J55,$B$44:$B$51)+(SUMIF(J44:J45,J55,$K$44:$K$45)))</f>
        <v>0</v>
      </c>
      <c r="L55" s="1401">
        <f>IFERROR(+K55/$K$56,0)</f>
        <v>0</v>
      </c>
      <c r="M55" s="876"/>
      <c r="N55" s="1051" t="s">
        <v>760</v>
      </c>
      <c r="O55" s="1409">
        <f>+AB58+AB59</f>
        <v>0</v>
      </c>
      <c r="P55" s="1403">
        <f t="shared" si="33"/>
        <v>0</v>
      </c>
      <c r="Q55" s="1410">
        <f>+AE58+AE59</f>
        <v>0</v>
      </c>
      <c r="R55" s="1405">
        <f t="shared" si="34"/>
        <v>0</v>
      </c>
      <c r="S55" s="1406"/>
      <c r="T55" s="922"/>
      <c r="U55" s="922"/>
      <c r="V55" s="922"/>
      <c r="W55" s="922"/>
      <c r="X55" s="922"/>
      <c r="Y55" s="922"/>
      <c r="Z55" s="922"/>
      <c r="AA55" s="1393">
        <v>0.5</v>
      </c>
      <c r="AB55" s="1044">
        <f t="shared" ref="AB55:AB60" si="35">SUMIF($B$7:$B$37,AA55,$C$7:$C$37)</f>
        <v>0</v>
      </c>
      <c r="AC55" s="1394">
        <f t="shared" si="31"/>
        <v>0</v>
      </c>
      <c r="AD55" s="1044">
        <f t="shared" si="32"/>
        <v>0</v>
      </c>
      <c r="AE55" s="922"/>
      <c r="AF55" s="1366"/>
      <c r="AG55" s="1366"/>
      <c r="AH55" s="876"/>
      <c r="AI55" s="876"/>
      <c r="AJ55" s="876"/>
      <c r="AK55" s="876"/>
      <c r="AL55" s="876"/>
      <c r="AM55" s="1391"/>
      <c r="AN55" s="1391"/>
      <c r="AO55" s="1391"/>
      <c r="AP55" s="1391"/>
      <c r="AQ55" s="1391"/>
    </row>
    <row r="56" spans="1:43" ht="16.5" thickBot="1">
      <c r="A56" s="865" t="s">
        <v>129</v>
      </c>
      <c r="B56" s="332"/>
      <c r="C56" s="1044"/>
      <c r="D56" s="1044"/>
      <c r="E56" s="1044"/>
      <c r="F56" s="1029"/>
      <c r="G56" s="2066">
        <f>+S38</f>
        <v>0</v>
      </c>
      <c r="H56" s="2067"/>
      <c r="I56" s="876"/>
      <c r="J56" s="1411" t="s">
        <v>349</v>
      </c>
      <c r="K56" s="1412">
        <f>SUM(K51:K55)</f>
        <v>0</v>
      </c>
      <c r="L56" s="1413">
        <f>SUM(L51:L55)</f>
        <v>0</v>
      </c>
      <c r="M56" s="876"/>
      <c r="N56" s="1051" t="s">
        <v>761</v>
      </c>
      <c r="O56" s="1414">
        <f>+AB61+AB62</f>
        <v>0</v>
      </c>
      <c r="P56" s="1403">
        <f t="shared" si="33"/>
        <v>0</v>
      </c>
      <c r="Q56" s="1415">
        <f>+AE60+AE61</f>
        <v>0</v>
      </c>
      <c r="R56" s="1405">
        <f t="shared" si="34"/>
        <v>0</v>
      </c>
      <c r="S56" s="1406"/>
      <c r="T56" s="922"/>
      <c r="U56" s="922"/>
      <c r="V56" s="922"/>
      <c r="W56" s="922"/>
      <c r="X56" s="922"/>
      <c r="Y56" s="922"/>
      <c r="Z56" s="922"/>
      <c r="AA56" s="1393">
        <v>0.55000000000000004</v>
      </c>
      <c r="AB56" s="1044">
        <f t="shared" si="35"/>
        <v>0</v>
      </c>
      <c r="AC56" s="1394">
        <f t="shared" si="31"/>
        <v>0</v>
      </c>
      <c r="AD56" s="1044">
        <f t="shared" si="32"/>
        <v>0</v>
      </c>
      <c r="AE56" s="922"/>
      <c r="AF56" s="1366"/>
      <c r="AG56" s="1366"/>
      <c r="AH56" s="876"/>
      <c r="AI56" s="876"/>
      <c r="AJ56" s="876"/>
      <c r="AK56" s="876"/>
      <c r="AL56" s="876"/>
      <c r="AM56" s="1391"/>
      <c r="AN56" s="1391"/>
      <c r="AO56" s="1391"/>
      <c r="AP56" s="1391"/>
      <c r="AQ56" s="1391"/>
    </row>
    <row r="57" spans="1:43" ht="15.75" customHeight="1">
      <c r="A57" s="865" t="s">
        <v>428</v>
      </c>
      <c r="B57" s="332"/>
      <c r="C57" s="1044"/>
      <c r="D57" s="1044"/>
      <c r="E57" s="1044"/>
      <c r="F57" s="1029"/>
      <c r="G57" s="2066">
        <f>+O46+F52</f>
        <v>0</v>
      </c>
      <c r="H57" s="2067"/>
      <c r="I57" s="876"/>
      <c r="J57" s="876"/>
      <c r="K57" s="876"/>
      <c r="L57" s="876"/>
      <c r="M57" s="922"/>
      <c r="N57" s="1054" t="s">
        <v>762</v>
      </c>
      <c r="O57" s="1416">
        <f>+B52+AB60</f>
        <v>0</v>
      </c>
      <c r="P57" s="1403">
        <f t="shared" si="33"/>
        <v>0</v>
      </c>
      <c r="Q57" s="1417">
        <f>+AE62</f>
        <v>0</v>
      </c>
      <c r="R57" s="1405">
        <f t="shared" si="34"/>
        <v>0</v>
      </c>
      <c r="S57" s="876"/>
      <c r="T57" s="922"/>
      <c r="U57" s="922"/>
      <c r="V57" s="922"/>
      <c r="W57" s="922"/>
      <c r="X57" s="922"/>
      <c r="Y57" s="922"/>
      <c r="Z57" s="922"/>
      <c r="AA57" s="1393">
        <v>0.6</v>
      </c>
      <c r="AB57" s="1044">
        <f t="shared" si="35"/>
        <v>0</v>
      </c>
      <c r="AC57" s="1394">
        <f t="shared" si="31"/>
        <v>0</v>
      </c>
      <c r="AD57" s="1044">
        <f t="shared" si="32"/>
        <v>0</v>
      </c>
      <c r="AE57" s="922"/>
      <c r="AF57" s="1366"/>
      <c r="AG57" s="1366"/>
      <c r="AH57" s="876"/>
      <c r="AI57" s="876"/>
      <c r="AJ57" s="876"/>
      <c r="AK57" s="876"/>
      <c r="AL57" s="876"/>
      <c r="AM57" s="1391"/>
      <c r="AN57" s="1391"/>
      <c r="AO57" s="1391"/>
      <c r="AP57" s="1391"/>
      <c r="AQ57" s="1391"/>
    </row>
    <row r="58" spans="1:43">
      <c r="A58" s="865" t="s">
        <v>783</v>
      </c>
      <c r="B58" s="332"/>
      <c r="C58" s="1044"/>
      <c r="D58" s="1044"/>
      <c r="E58" s="1044"/>
      <c r="F58" s="1029"/>
      <c r="G58" s="2066">
        <f>+T38</f>
        <v>0</v>
      </c>
      <c r="H58" s="2067"/>
      <c r="I58" s="876"/>
      <c r="J58" s="876"/>
      <c r="K58" s="876"/>
      <c r="L58" s="876"/>
      <c r="M58" s="922"/>
      <c r="N58" s="1054" t="s">
        <v>33</v>
      </c>
      <c r="O58" s="1418">
        <f>AB63</f>
        <v>0</v>
      </c>
      <c r="P58" s="1403">
        <f t="shared" si="33"/>
        <v>0</v>
      </c>
      <c r="Q58" s="1417">
        <f>+AE63</f>
        <v>0</v>
      </c>
      <c r="R58" s="1405">
        <f t="shared" si="34"/>
        <v>0</v>
      </c>
      <c r="S58" s="876"/>
      <c r="T58" s="922"/>
      <c r="U58" s="922"/>
      <c r="V58" s="922"/>
      <c r="W58" s="922"/>
      <c r="X58" s="922"/>
      <c r="Y58" s="922"/>
      <c r="Z58" s="922"/>
      <c r="AA58" s="1393">
        <v>0.7</v>
      </c>
      <c r="AB58" s="1044">
        <f t="shared" si="35"/>
        <v>0</v>
      </c>
      <c r="AC58" s="1394">
        <f t="shared" si="31"/>
        <v>0</v>
      </c>
      <c r="AD58" s="1044">
        <f t="shared" si="32"/>
        <v>0</v>
      </c>
      <c r="AE58" s="922"/>
      <c r="AF58" s="1366"/>
      <c r="AG58" s="1366"/>
      <c r="AH58" s="876"/>
      <c r="AI58" s="876"/>
      <c r="AJ58" s="876"/>
      <c r="AK58" s="876"/>
      <c r="AL58" s="876"/>
      <c r="AM58" s="1391"/>
      <c r="AN58" s="1391"/>
      <c r="AO58" s="1391"/>
      <c r="AP58" s="1391"/>
      <c r="AQ58" s="1391"/>
    </row>
    <row r="59" spans="1:43" ht="16.5" thickBot="1">
      <c r="A59" s="865" t="s">
        <v>134</v>
      </c>
      <c r="B59" s="1419"/>
      <c r="C59" s="1029"/>
      <c r="D59" s="1029"/>
      <c r="E59" s="2061"/>
      <c r="F59" s="2062"/>
      <c r="G59" s="2063"/>
      <c r="H59" s="2064"/>
      <c r="I59" s="876"/>
      <c r="J59" s="876"/>
      <c r="K59" s="876"/>
      <c r="L59" s="876"/>
      <c r="M59" s="922"/>
      <c r="N59" s="1420" t="s">
        <v>349</v>
      </c>
      <c r="O59" s="1421">
        <f>SUM(O51:O58)</f>
        <v>0</v>
      </c>
      <c r="P59" s="1422">
        <f>SUM(P51:P58)</f>
        <v>0</v>
      </c>
      <c r="Q59" s="1423">
        <f>SUM(Q51:Q58)</f>
        <v>0</v>
      </c>
      <c r="R59" s="1422">
        <f>SUM(R51:R58)</f>
        <v>0</v>
      </c>
      <c r="S59" s="876"/>
      <c r="T59" s="922"/>
      <c r="U59" s="922"/>
      <c r="V59" s="922"/>
      <c r="W59" s="922"/>
      <c r="X59" s="922"/>
      <c r="Y59" s="922"/>
      <c r="Z59" s="922"/>
      <c r="AA59" s="1393">
        <v>0.8</v>
      </c>
      <c r="AB59" s="1044">
        <f t="shared" si="35"/>
        <v>0</v>
      </c>
      <c r="AC59" s="1394">
        <f t="shared" si="31"/>
        <v>0</v>
      </c>
      <c r="AD59" s="1044">
        <f t="shared" si="32"/>
        <v>0</v>
      </c>
      <c r="AE59" s="922"/>
      <c r="AF59" s="1366"/>
      <c r="AG59" s="1366"/>
      <c r="AH59" s="876"/>
      <c r="AI59" s="876"/>
      <c r="AJ59" s="876"/>
      <c r="AK59" s="876"/>
      <c r="AL59" s="876"/>
      <c r="AM59" s="1391"/>
      <c r="AN59" s="1391"/>
      <c r="AO59" s="1391"/>
      <c r="AP59" s="1391"/>
      <c r="AQ59" s="1391"/>
    </row>
    <row r="60" spans="1:43">
      <c r="A60" s="865" t="s">
        <v>134</v>
      </c>
      <c r="B60" s="1419"/>
      <c r="C60" s="1029"/>
      <c r="D60" s="1029"/>
      <c r="E60" s="2061"/>
      <c r="F60" s="2062"/>
      <c r="G60" s="2063"/>
      <c r="H60" s="2064"/>
      <c r="I60" s="876"/>
      <c r="J60" s="876"/>
      <c r="K60" s="876"/>
      <c r="L60" s="876"/>
      <c r="M60" s="922"/>
      <c r="N60" s="1424"/>
      <c r="O60" s="1108"/>
      <c r="P60" s="1425"/>
      <c r="Q60" s="1426"/>
      <c r="R60" s="1425"/>
      <c r="S60" s="876"/>
      <c r="T60" s="922"/>
      <c r="U60" s="922"/>
      <c r="V60" s="922"/>
      <c r="W60" s="922"/>
      <c r="X60" s="922"/>
      <c r="Y60" s="922"/>
      <c r="Z60" s="922"/>
      <c r="AA60" s="1254">
        <v>0.9</v>
      </c>
      <c r="AB60" s="1093">
        <f t="shared" si="35"/>
        <v>0</v>
      </c>
      <c r="AC60" s="1394">
        <f t="shared" ref="AC60:AC63" si="36">IFERROR(+AB60/$AB$64,0)</f>
        <v>0</v>
      </c>
      <c r="AD60" s="1093">
        <f t="shared" si="32"/>
        <v>0</v>
      </c>
      <c r="AE60" s="922"/>
      <c r="AF60" s="1366"/>
      <c r="AG60" s="1366"/>
      <c r="AH60" s="876"/>
      <c r="AI60" s="876"/>
      <c r="AJ60" s="876"/>
      <c r="AK60" s="876"/>
      <c r="AL60" s="876"/>
      <c r="AM60" s="1391"/>
      <c r="AN60" s="1391"/>
      <c r="AO60" s="1391"/>
      <c r="AP60" s="1391"/>
      <c r="AQ60" s="1391"/>
    </row>
    <row r="61" spans="1:43">
      <c r="A61" s="1427"/>
      <c r="B61" s="1419"/>
      <c r="C61" s="1029"/>
      <c r="D61" s="1029"/>
      <c r="E61" s="1029"/>
      <c r="F61" s="1428"/>
      <c r="G61" s="2083"/>
      <c r="H61" s="2084"/>
      <c r="I61" s="876"/>
      <c r="J61" s="876"/>
      <c r="K61" s="876"/>
      <c r="L61" s="876"/>
      <c r="M61" s="922"/>
      <c r="N61" s="1393"/>
      <c r="O61" s="876"/>
      <c r="P61" s="922"/>
      <c r="Q61" s="876"/>
      <c r="R61" s="876"/>
      <c r="S61" s="876"/>
      <c r="T61" s="922"/>
      <c r="U61" s="922"/>
      <c r="V61" s="922"/>
      <c r="W61" s="922"/>
      <c r="X61" s="922"/>
      <c r="Y61" s="922"/>
      <c r="Z61" s="922"/>
      <c r="AA61" s="1393">
        <v>1</v>
      </c>
      <c r="AB61" s="1044">
        <f>SUMIF($B$7:$B$37,AA61,$C$7:$C$37)</f>
        <v>0</v>
      </c>
      <c r="AC61" s="1394">
        <f t="shared" si="36"/>
        <v>0</v>
      </c>
      <c r="AD61" s="1044">
        <f t="shared" si="32"/>
        <v>0</v>
      </c>
      <c r="AE61" s="922"/>
      <c r="AF61" s="1366"/>
      <c r="AG61" s="1366"/>
      <c r="AH61" s="876"/>
      <c r="AI61" s="876"/>
      <c r="AJ61" s="876"/>
      <c r="AK61" s="876"/>
      <c r="AL61" s="876"/>
      <c r="AM61" s="1391"/>
      <c r="AN61" s="1391"/>
      <c r="AO61" s="1391"/>
      <c r="AP61" s="1391"/>
      <c r="AQ61" s="1391"/>
    </row>
    <row r="62" spans="1:43" ht="15.75" customHeight="1">
      <c r="A62" s="1429" t="s">
        <v>132</v>
      </c>
      <c r="B62" s="1108"/>
      <c r="C62" s="1075"/>
      <c r="D62" s="1075"/>
      <c r="E62" s="1075"/>
      <c r="F62" s="1029"/>
      <c r="G62" s="2085">
        <f>SUM(G56:G60)</f>
        <v>0</v>
      </c>
      <c r="H62" s="2086"/>
      <c r="I62" s="876"/>
      <c r="J62" s="876"/>
      <c r="K62" s="876"/>
      <c r="L62" s="876"/>
      <c r="M62" s="922"/>
      <c r="N62" s="1393"/>
      <c r="O62" s="876"/>
      <c r="P62" s="922"/>
      <c r="Q62" s="876"/>
      <c r="R62" s="876"/>
      <c r="S62" s="876"/>
      <c r="T62" s="922"/>
      <c r="U62" s="922"/>
      <c r="V62" s="922"/>
      <c r="W62" s="922"/>
      <c r="X62" s="922"/>
      <c r="Y62" s="922"/>
      <c r="Z62" s="922"/>
      <c r="AA62" s="1393">
        <v>1.2</v>
      </c>
      <c r="AB62" s="1044">
        <f>SUMIF($B$7:$B$37,AA62,$C$7:$C$37)</f>
        <v>0</v>
      </c>
      <c r="AC62" s="1394">
        <f t="shared" si="36"/>
        <v>0</v>
      </c>
      <c r="AD62" s="1044">
        <f t="shared" si="32"/>
        <v>0</v>
      </c>
      <c r="AE62" s="922"/>
      <c r="AF62" s="1366"/>
      <c r="AG62" s="1366"/>
      <c r="AH62" s="876"/>
      <c r="AI62" s="876"/>
      <c r="AJ62" s="876"/>
      <c r="AK62" s="876"/>
      <c r="AL62" s="876"/>
      <c r="AM62" s="1391"/>
      <c r="AN62" s="1391"/>
      <c r="AO62" s="1391"/>
      <c r="AP62" s="1391"/>
      <c r="AQ62" s="1391"/>
    </row>
    <row r="63" spans="1:43" ht="14.1" customHeight="1">
      <c r="A63" s="1427"/>
      <c r="B63" s="1419"/>
      <c r="C63" s="1029"/>
      <c r="D63" s="1029"/>
      <c r="E63" s="1029"/>
      <c r="F63" s="1029"/>
      <c r="G63" s="2087"/>
      <c r="H63" s="2084"/>
      <c r="I63" s="876"/>
      <c r="J63" s="876"/>
      <c r="K63" s="876"/>
      <c r="L63" s="876"/>
      <c r="M63" s="922"/>
      <c r="N63" s="1393"/>
      <c r="O63" s="876"/>
      <c r="P63" s="922"/>
      <c r="Q63" s="876"/>
      <c r="R63" s="876"/>
      <c r="S63" s="876"/>
      <c r="T63" s="922"/>
      <c r="U63" s="922"/>
      <c r="V63" s="922"/>
      <c r="W63" s="922"/>
      <c r="X63" s="922"/>
      <c r="Y63" s="922"/>
      <c r="Z63" s="922"/>
      <c r="AA63" s="1044" t="s">
        <v>33</v>
      </c>
      <c r="AB63" s="1044">
        <f>+B52</f>
        <v>0</v>
      </c>
      <c r="AC63" s="1394">
        <f t="shared" si="36"/>
        <v>0</v>
      </c>
      <c r="AD63" s="1044">
        <f t="shared" si="32"/>
        <v>0</v>
      </c>
      <c r="AE63" s="922"/>
      <c r="AF63" s="1366"/>
      <c r="AG63" s="1366"/>
      <c r="AH63" s="876"/>
      <c r="AI63" s="876"/>
      <c r="AJ63" s="876"/>
      <c r="AK63" s="876"/>
      <c r="AL63" s="876"/>
      <c r="AM63" s="1391"/>
      <c r="AN63" s="1391"/>
      <c r="AO63" s="1391"/>
      <c r="AP63" s="1391"/>
      <c r="AQ63" s="1391"/>
    </row>
    <row r="64" spans="1:43" ht="18">
      <c r="A64" s="1429" t="s">
        <v>133</v>
      </c>
      <c r="B64" s="1419"/>
      <c r="C64" s="1029"/>
      <c r="D64" s="1029"/>
      <c r="E64" s="1029"/>
      <c r="F64" s="1029"/>
      <c r="G64" s="2085">
        <f>+E38+D52+M46</f>
        <v>0</v>
      </c>
      <c r="H64" s="2086"/>
      <c r="I64" s="876"/>
      <c r="J64" s="876"/>
      <c r="K64" s="876"/>
      <c r="L64" s="876"/>
      <c r="M64" s="922"/>
      <c r="N64" s="1393"/>
      <c r="O64" s="876"/>
      <c r="P64" s="922"/>
      <c r="Q64" s="876"/>
      <c r="R64" s="876"/>
      <c r="S64" s="876"/>
      <c r="T64" s="922"/>
      <c r="U64" s="922"/>
      <c r="V64" s="922"/>
      <c r="W64" s="922"/>
      <c r="X64" s="922"/>
      <c r="Y64" s="922"/>
      <c r="Z64" s="922"/>
      <c r="AA64" s="1075" t="s">
        <v>349</v>
      </c>
      <c r="AB64" s="1075">
        <f>SUM(AB49:AB63)</f>
        <v>0</v>
      </c>
      <c r="AC64" s="1424">
        <f>SUM(AC49:AC63)</f>
        <v>0</v>
      </c>
      <c r="AD64" s="1093">
        <f>SUM(AD49:AD63)</f>
        <v>0</v>
      </c>
      <c r="AE64" s="922"/>
      <c r="AF64" s="1366"/>
      <c r="AG64" s="1366"/>
      <c r="AH64" s="876"/>
      <c r="AI64" s="876"/>
      <c r="AJ64" s="876"/>
      <c r="AK64" s="876"/>
      <c r="AL64" s="876"/>
      <c r="AM64" s="1391"/>
      <c r="AN64" s="1391"/>
      <c r="AO64" s="1391"/>
      <c r="AP64" s="1391"/>
      <c r="AQ64" s="1391"/>
    </row>
    <row r="65" spans="1:43">
      <c r="A65" s="1429" t="s">
        <v>186</v>
      </c>
      <c r="B65" s="332"/>
      <c r="C65" s="1044"/>
      <c r="D65" s="1044"/>
      <c r="E65" s="1044"/>
      <c r="F65" s="1029"/>
      <c r="G65" s="2088"/>
      <c r="H65" s="2089"/>
      <c r="I65" s="876"/>
      <c r="J65" s="876"/>
      <c r="K65" s="876"/>
      <c r="L65" s="876"/>
      <c r="M65" s="876"/>
      <c r="N65" s="1393"/>
      <c r="O65" s="876"/>
      <c r="P65" s="922"/>
      <c r="Q65" s="876"/>
      <c r="R65" s="876"/>
      <c r="S65" s="876"/>
      <c r="T65" s="922"/>
      <c r="U65" s="922"/>
      <c r="V65" s="922"/>
      <c r="W65" s="922"/>
      <c r="X65" s="922"/>
      <c r="Y65" s="922"/>
      <c r="Z65" s="922"/>
      <c r="AA65" s="922"/>
      <c r="AB65" s="922"/>
      <c r="AC65" s="1365"/>
      <c r="AD65" s="1366"/>
      <c r="AE65" s="1366"/>
      <c r="AF65" s="1366"/>
      <c r="AG65" s="1366"/>
      <c r="AH65" s="1366"/>
      <c r="AI65" s="1366"/>
      <c r="AJ65" s="1366"/>
      <c r="AK65" s="1366"/>
      <c r="AL65" s="1366"/>
      <c r="AM65" s="922"/>
      <c r="AN65" s="922"/>
      <c r="AO65" s="922"/>
      <c r="AP65" s="922"/>
      <c r="AQ65" s="922"/>
    </row>
    <row r="66" spans="1:43">
      <c r="A66" s="1430" t="s">
        <v>131</v>
      </c>
      <c r="B66" s="332"/>
      <c r="C66" s="1044"/>
      <c r="D66" s="1044"/>
      <c r="E66" s="1044"/>
      <c r="F66" s="1029"/>
      <c r="G66" s="2090">
        <f>+P59</f>
        <v>0</v>
      </c>
      <c r="H66" s="2091"/>
      <c r="I66" s="876"/>
      <c r="J66" s="876"/>
      <c r="K66" s="876"/>
      <c r="L66" s="876"/>
      <c r="M66" s="876"/>
      <c r="N66" s="1393"/>
      <c r="O66" s="876"/>
      <c r="P66" s="922"/>
      <c r="Q66" s="876"/>
      <c r="R66" s="876"/>
      <c r="S66" s="876"/>
      <c r="T66" s="922"/>
      <c r="U66" s="922"/>
      <c r="V66" s="922"/>
      <c r="W66" s="922"/>
      <c r="X66" s="922"/>
      <c r="Y66" s="922"/>
      <c r="Z66" s="922"/>
      <c r="AA66" s="922"/>
      <c r="AB66" s="922"/>
      <c r="AC66" s="1366"/>
      <c r="AD66" s="1366"/>
      <c r="AE66" s="1366"/>
      <c r="AF66" s="1366"/>
      <c r="AG66" s="1366"/>
      <c r="AH66" s="1366"/>
      <c r="AI66" s="1366"/>
      <c r="AJ66" s="1366"/>
      <c r="AK66" s="922"/>
      <c r="AL66" s="922"/>
      <c r="AM66" s="922"/>
      <c r="AN66" s="922"/>
      <c r="AO66" s="922"/>
      <c r="AP66" s="922"/>
      <c r="AQ66" s="922"/>
    </row>
    <row r="67" spans="1:43" ht="16.5" thickBot="1">
      <c r="A67" s="1431" t="s">
        <v>37</v>
      </c>
      <c r="B67" s="1432"/>
      <c r="C67" s="1087"/>
      <c r="D67" s="1087"/>
      <c r="E67" s="1087"/>
      <c r="F67" s="1161"/>
      <c r="G67" s="2081">
        <f>IFERROR(+R59,0)</f>
        <v>0</v>
      </c>
      <c r="H67" s="2082"/>
      <c r="I67" s="876"/>
      <c r="J67" s="876"/>
      <c r="K67" s="876"/>
      <c r="L67" s="876"/>
      <c r="M67" s="876"/>
      <c r="N67" s="1393"/>
      <c r="O67" s="876"/>
      <c r="P67" s="922"/>
      <c r="Q67" s="876"/>
      <c r="R67" s="876"/>
      <c r="S67" s="876"/>
      <c r="T67" s="922"/>
      <c r="U67" s="922"/>
      <c r="V67" s="922"/>
      <c r="W67" s="922"/>
      <c r="X67" s="922"/>
      <c r="Y67" s="1365"/>
      <c r="Z67" s="922"/>
      <c r="AA67" s="922"/>
      <c r="AB67" s="922"/>
      <c r="AC67" s="1366"/>
      <c r="AD67" s="1366"/>
      <c r="AE67" s="1366"/>
      <c r="AF67" s="1366"/>
      <c r="AG67" s="1366"/>
      <c r="AH67" s="1366"/>
      <c r="AI67" s="1366"/>
      <c r="AJ67" s="1366"/>
      <c r="AK67" s="922"/>
      <c r="AL67" s="922"/>
      <c r="AM67" s="922"/>
      <c r="AN67" s="922"/>
      <c r="AO67" s="922"/>
      <c r="AP67" s="922"/>
      <c r="AQ67" s="922"/>
    </row>
    <row r="68" spans="1:43">
      <c r="A68" s="1383"/>
      <c r="B68" s="1383"/>
      <c r="C68" s="922"/>
      <c r="D68" s="922"/>
      <c r="E68" s="922"/>
      <c r="F68" s="922"/>
      <c r="G68" s="922"/>
      <c r="H68" s="922"/>
      <c r="I68" s="876"/>
      <c r="J68" s="876"/>
      <c r="K68" s="1433"/>
      <c r="L68" s="876"/>
      <c r="M68" s="1366"/>
      <c r="N68" s="1393"/>
      <c r="O68" s="876"/>
      <c r="P68" s="922"/>
      <c r="Q68" s="876"/>
      <c r="R68" s="876"/>
      <c r="S68" s="876"/>
      <c r="T68" s="922"/>
      <c r="U68" s="922"/>
      <c r="V68" s="922"/>
      <c r="W68" s="922"/>
      <c r="X68" s="922"/>
      <c r="Y68" s="1365"/>
      <c r="Z68" s="922"/>
      <c r="AA68" s="922"/>
      <c r="AB68" s="922"/>
      <c r="AC68" s="1366"/>
      <c r="AD68" s="1366"/>
      <c r="AE68" s="1366"/>
      <c r="AF68" s="1366"/>
      <c r="AG68" s="1366"/>
      <c r="AH68" s="1366"/>
      <c r="AI68" s="1366"/>
      <c r="AJ68" s="1366"/>
      <c r="AK68" s="922"/>
      <c r="AL68" s="922"/>
      <c r="AM68" s="922"/>
      <c r="AN68" s="922"/>
      <c r="AO68" s="922"/>
      <c r="AP68" s="922"/>
      <c r="AQ68" s="922"/>
    </row>
    <row r="69" spans="1:43">
      <c r="A69" s="1406"/>
      <c r="B69" s="1406"/>
      <c r="C69" s="876"/>
      <c r="D69" s="876"/>
      <c r="E69" s="876"/>
      <c r="F69" s="876"/>
      <c r="G69" s="876"/>
      <c r="H69" s="876"/>
      <c r="I69" s="876"/>
      <c r="J69" s="876"/>
      <c r="K69" s="876"/>
      <c r="L69" s="876"/>
      <c r="M69" s="1366"/>
      <c r="N69" s="1393"/>
      <c r="O69" s="876"/>
      <c r="P69" s="922"/>
      <c r="Q69" s="876"/>
      <c r="R69" s="876"/>
      <c r="S69" s="876"/>
      <c r="T69" s="922"/>
      <c r="U69" s="922"/>
      <c r="V69" s="922"/>
      <c r="W69" s="922"/>
      <c r="X69" s="922"/>
      <c r="Y69" s="1365"/>
      <c r="Z69" s="922"/>
      <c r="AA69" s="922"/>
      <c r="AB69" s="922"/>
      <c r="AC69" s="1366"/>
      <c r="AD69" s="1366"/>
      <c r="AE69" s="1366"/>
      <c r="AF69" s="1366"/>
      <c r="AG69" s="1366"/>
      <c r="AH69" s="1366"/>
      <c r="AI69" s="1366"/>
      <c r="AJ69" s="1366"/>
      <c r="AK69" s="922"/>
      <c r="AL69" s="922"/>
      <c r="AM69" s="922"/>
      <c r="AN69" s="922"/>
      <c r="AO69" s="922"/>
      <c r="AP69" s="922"/>
      <c r="AQ69" s="922"/>
    </row>
    <row r="70" spans="1:43">
      <c r="A70" s="1406"/>
      <c r="B70" s="1406"/>
      <c r="C70" s="876"/>
      <c r="D70" s="876"/>
      <c r="E70" s="876"/>
      <c r="F70" s="876"/>
      <c r="G70" s="876"/>
      <c r="H70" s="876"/>
      <c r="I70" s="876"/>
      <c r="J70" s="876"/>
      <c r="K70" s="876"/>
      <c r="L70" s="876"/>
      <c r="M70" s="922"/>
      <c r="N70" s="922"/>
      <c r="O70" s="876"/>
      <c r="P70" s="922"/>
      <c r="Q70" s="876"/>
      <c r="R70" s="876"/>
      <c r="S70" s="876"/>
      <c r="T70" s="922"/>
      <c r="U70" s="922"/>
      <c r="V70" s="922"/>
      <c r="W70" s="922"/>
      <c r="X70" s="922"/>
      <c r="Y70" s="1365"/>
      <c r="Z70" s="922"/>
      <c r="AA70" s="922"/>
      <c r="AB70" s="922"/>
      <c r="AC70" s="1366"/>
      <c r="AD70" s="1366"/>
      <c r="AE70" s="1366"/>
      <c r="AF70" s="1366"/>
      <c r="AG70" s="1366"/>
      <c r="AH70" s="1366"/>
      <c r="AI70" s="1366"/>
      <c r="AJ70" s="1366"/>
      <c r="AK70" s="922"/>
      <c r="AL70" s="922"/>
      <c r="AM70" s="922"/>
      <c r="AN70" s="922"/>
      <c r="AO70" s="922"/>
      <c r="AP70" s="922"/>
      <c r="AQ70" s="922"/>
    </row>
    <row r="71" spans="1:43">
      <c r="A71" s="1406"/>
      <c r="B71" s="1406"/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922"/>
      <c r="N71" s="922"/>
      <c r="O71" s="876"/>
      <c r="P71" s="922"/>
      <c r="Q71" s="876"/>
      <c r="R71" s="876"/>
      <c r="S71" s="876"/>
      <c r="T71" s="922"/>
      <c r="U71" s="922"/>
      <c r="V71" s="922"/>
      <c r="W71" s="922"/>
      <c r="X71" s="922"/>
      <c r="Y71" s="1365"/>
      <c r="Z71" s="922"/>
      <c r="AA71" s="922"/>
      <c r="AB71" s="922"/>
      <c r="AC71" s="1366"/>
      <c r="AD71" s="1366"/>
      <c r="AE71" s="1366"/>
      <c r="AF71" s="1366"/>
      <c r="AG71" s="1366"/>
      <c r="AH71" s="1366"/>
      <c r="AI71" s="1366"/>
      <c r="AJ71" s="1366"/>
      <c r="AK71" s="922"/>
      <c r="AL71" s="922"/>
      <c r="AM71" s="922"/>
      <c r="AN71" s="922"/>
      <c r="AO71" s="922"/>
      <c r="AP71" s="922"/>
      <c r="AQ71" s="922"/>
    </row>
    <row r="72" spans="1:43">
      <c r="A72" s="1406"/>
      <c r="B72" s="140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922"/>
      <c r="N72" s="922"/>
      <c r="O72" s="876"/>
      <c r="P72" s="922"/>
      <c r="Q72" s="876"/>
      <c r="R72" s="876"/>
      <c r="S72" s="876"/>
      <c r="T72" s="922"/>
      <c r="U72" s="922"/>
      <c r="V72" s="922"/>
      <c r="W72" s="922"/>
      <c r="X72" s="922"/>
      <c r="Y72" s="1365"/>
      <c r="Z72" s="922"/>
      <c r="AA72" s="922"/>
      <c r="AB72" s="922"/>
      <c r="AC72" s="1366"/>
      <c r="AD72" s="1366"/>
      <c r="AE72" s="1366"/>
      <c r="AF72" s="1366"/>
      <c r="AG72" s="1366"/>
      <c r="AH72" s="1366"/>
      <c r="AI72" s="1366"/>
      <c r="AJ72" s="1366"/>
      <c r="AK72" s="922"/>
      <c r="AL72" s="922"/>
      <c r="AM72" s="922"/>
      <c r="AN72" s="922"/>
      <c r="AO72" s="922"/>
      <c r="AP72" s="922"/>
      <c r="AQ72" s="922"/>
    </row>
    <row r="73" spans="1:43">
      <c r="A73" s="4"/>
      <c r="B73" s="4"/>
      <c r="C73" s="9"/>
      <c r="D73" s="9"/>
      <c r="E73" s="9"/>
      <c r="F73" s="9"/>
      <c r="G73" s="9"/>
      <c r="H73" s="9"/>
      <c r="I73" s="9"/>
      <c r="J73" s="9"/>
      <c r="K73" s="9"/>
      <c r="L73" s="9"/>
      <c r="O73" s="9"/>
    </row>
    <row r="74" spans="1:43">
      <c r="A74" s="4"/>
      <c r="B74" s="4"/>
      <c r="C74" s="9"/>
      <c r="D74" s="9"/>
      <c r="E74" s="9"/>
      <c r="F74" s="9"/>
      <c r="G74" s="9"/>
      <c r="H74" s="9"/>
      <c r="I74" s="9"/>
      <c r="J74" s="9"/>
      <c r="K74" s="9"/>
      <c r="L74" s="9"/>
      <c r="O74" s="9"/>
    </row>
    <row r="75" spans="1:43">
      <c r="A75" s="4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O75" s="9"/>
    </row>
    <row r="76" spans="1:43">
      <c r="A76" s="4"/>
      <c r="B76" s="4"/>
      <c r="C76" s="9"/>
      <c r="D76" s="9"/>
      <c r="E76" s="9"/>
      <c r="F76" s="9"/>
      <c r="G76" s="9"/>
      <c r="H76" s="9"/>
      <c r="I76" s="9"/>
      <c r="J76" s="9"/>
      <c r="K76" s="9"/>
      <c r="L76" s="9"/>
      <c r="O76" s="9"/>
    </row>
    <row r="77" spans="1:43">
      <c r="A77" s="4"/>
      <c r="B77" s="4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43">
      <c r="A78" s="4"/>
      <c r="B78" s="4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43">
      <c r="A79" s="4"/>
      <c r="B79" s="4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43">
      <c r="A80" s="4"/>
      <c r="B80" s="4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4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4"/>
      <c r="B82" s="4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4"/>
      <c r="B83" s="4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4"/>
      <c r="B84" s="4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4"/>
      <c r="B85" s="4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</row>
  </sheetData>
  <customSheetViews>
    <customSheetView guid="{1E06907C-2281-4617-B0F2-1AE7DC994915}" scale="115">
      <selection activeCell="A26" sqref="A26"/>
      <pageMargins left="0.7" right="0.7" top="0.75" bottom="0.75" header="0.3" footer="0.3"/>
    </customSheetView>
    <customSheetView guid="{51561219-1382-4CE8-929B-1B7C97EAD663}" scale="115">
      <selection activeCell="A26" sqref="A26"/>
      <pageMargins left="0.7" right="0.7" top="0.75" bottom="0.75" header="0.3" footer="0.3"/>
    </customSheetView>
  </customSheetViews>
  <mergeCells count="77">
    <mergeCell ref="A38:B38"/>
    <mergeCell ref="A39:B39"/>
    <mergeCell ref="V5:V6"/>
    <mergeCell ref="G5:G6"/>
    <mergeCell ref="Q5:Q6"/>
    <mergeCell ref="L5:L6"/>
    <mergeCell ref="P5:P6"/>
    <mergeCell ref="O5:O6"/>
    <mergeCell ref="S5:S6"/>
    <mergeCell ref="N5:N6"/>
    <mergeCell ref="J5:J6"/>
    <mergeCell ref="K5:K6"/>
    <mergeCell ref="R5:R6"/>
    <mergeCell ref="C52:C53"/>
    <mergeCell ref="N46:N47"/>
    <mergeCell ref="M46:M47"/>
    <mergeCell ref="N49:R49"/>
    <mergeCell ref="O46:O47"/>
    <mergeCell ref="F51:G51"/>
    <mergeCell ref="F50:G50"/>
    <mergeCell ref="F46:G46"/>
    <mergeCell ref="F47:G47"/>
    <mergeCell ref="F48:G48"/>
    <mergeCell ref="F49:G49"/>
    <mergeCell ref="J49:L49"/>
    <mergeCell ref="G67:H67"/>
    <mergeCell ref="G61:H61"/>
    <mergeCell ref="G62:H62"/>
    <mergeCell ref="G63:H63"/>
    <mergeCell ref="G64:H64"/>
    <mergeCell ref="G65:H65"/>
    <mergeCell ref="G66:H66"/>
    <mergeCell ref="A3:V3"/>
    <mergeCell ref="A4:R4"/>
    <mergeCell ref="C5:C6"/>
    <mergeCell ref="D5:D6"/>
    <mergeCell ref="B5:B6"/>
    <mergeCell ref="A5:A6"/>
    <mergeCell ref="S4:X4"/>
    <mergeCell ref="X5:X6"/>
    <mergeCell ref="W5:W6"/>
    <mergeCell ref="U5:U6"/>
    <mergeCell ref="T5:T6"/>
    <mergeCell ref="E5:E6"/>
    <mergeCell ref="H5:H6"/>
    <mergeCell ref="I5:I6"/>
    <mergeCell ref="M5:M6"/>
    <mergeCell ref="F5:F6"/>
    <mergeCell ref="E60:F60"/>
    <mergeCell ref="G60:H60"/>
    <mergeCell ref="N42:N43"/>
    <mergeCell ref="O42:O43"/>
    <mergeCell ref="E59:F59"/>
    <mergeCell ref="G56:H56"/>
    <mergeCell ref="G59:H59"/>
    <mergeCell ref="A55:H55"/>
    <mergeCell ref="F52:G53"/>
    <mergeCell ref="E52:E53"/>
    <mergeCell ref="B52:B53"/>
    <mergeCell ref="D52:D53"/>
    <mergeCell ref="G57:H57"/>
    <mergeCell ref="G58:H58"/>
    <mergeCell ref="F45:G45"/>
    <mergeCell ref="K42:K43"/>
    <mergeCell ref="L42:L43"/>
    <mergeCell ref="A41:G41"/>
    <mergeCell ref="AA47:AD47"/>
    <mergeCell ref="F44:G44"/>
    <mergeCell ref="E42:E43"/>
    <mergeCell ref="A42:A43"/>
    <mergeCell ref="B42:B43"/>
    <mergeCell ref="C42:C43"/>
    <mergeCell ref="D42:D43"/>
    <mergeCell ref="F42:G43"/>
    <mergeCell ref="J42:J43"/>
    <mergeCell ref="M42:M43"/>
    <mergeCell ref="J41:O41"/>
  </mergeCells>
  <phoneticPr fontId="12" type="noConversion"/>
  <dataValidations count="4">
    <dataValidation type="list" allowBlank="1" showInputMessage="1" showErrorMessage="1" sqref="A44:A51 J44:J45" xr:uid="{00000000-0002-0000-0400-000001000000}">
      <formula1>"NA,0,1,2,3,4"</formula1>
    </dataValidation>
    <dataValidation type="list" allowBlank="1" showInputMessage="1" showErrorMessage="1" sqref="A7:A37" xr:uid="{00000000-0002-0000-0400-000003000000}">
      <formula1>"NA,0,1,2,3,4,SRO"</formula1>
    </dataValidation>
    <dataValidation type="list" allowBlank="1" showInputMessage="1" showErrorMessage="1" sqref="F7:K37" xr:uid="{00000000-0002-0000-0400-000004000000}">
      <formula1>"Yes,No,-"</formula1>
    </dataValidation>
    <dataValidation type="list" allowBlank="1" showInputMessage="1" showErrorMessage="1" sqref="B7:B37" xr:uid="{F2BB95BD-8764-8640-A377-0798AA54AFC8}">
      <formula1>"20%,25%,30%,35%,40%,45%,50%,55%,60%,70%,80%,90%,100%,110%,120%,-"</formula1>
    </dataValidation>
  </dataValidations>
  <printOptions horizontalCentered="1" verticalCentered="1"/>
  <pageMargins left="0.6" right="0.62" top="0.75" bottom="0.42" header="0.3" footer="0.24"/>
  <pageSetup scale="50" orientation="landscape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AR235"/>
  <sheetViews>
    <sheetView workbookViewId="0"/>
  </sheetViews>
  <sheetFormatPr defaultColWidth="11.5546875" defaultRowHeight="15.75"/>
  <cols>
    <col min="1" max="1" width="3.88671875" style="169" customWidth="1"/>
    <col min="2" max="2" width="23.44140625" style="169" customWidth="1"/>
    <col min="3" max="3" width="11" style="169" customWidth="1"/>
    <col min="4" max="4" width="16.44140625" style="169" customWidth="1"/>
    <col min="5" max="5" width="5.44140625" style="170" customWidth="1"/>
    <col min="6" max="6" width="11.109375" style="169" customWidth="1"/>
    <col min="7" max="7" width="11" style="169" customWidth="1"/>
    <col min="8" max="8" width="7.44140625" style="169" customWidth="1"/>
    <col min="9" max="9" width="6.88671875" style="171" customWidth="1"/>
    <col min="10" max="10" width="10.33203125" style="171" customWidth="1"/>
    <col min="11" max="11" width="10.44140625" style="171" customWidth="1"/>
    <col min="12" max="12" width="10.44140625" style="172" customWidth="1"/>
    <col min="13" max="13" width="10.109375" style="172" customWidth="1"/>
    <col min="14" max="14" width="9" style="172" customWidth="1"/>
    <col min="15" max="15" width="10.109375" style="172" customWidth="1"/>
    <col min="16" max="16" width="10" style="172" customWidth="1"/>
    <col min="17" max="17" width="10.109375" style="169" customWidth="1"/>
    <col min="18" max="18" width="9.44140625" style="173" customWidth="1"/>
    <col min="19" max="20" width="10" style="174" customWidth="1"/>
    <col min="21" max="21" width="13.109375" style="175" bestFit="1" customWidth="1"/>
    <col min="22" max="22" width="11.109375" style="176" customWidth="1"/>
    <col min="23" max="25" width="11.5546875" style="169"/>
    <col min="26" max="26" width="13.5546875" style="169" customWidth="1"/>
    <col min="27" max="16384" width="11.5546875" style="169"/>
  </cols>
  <sheetData>
    <row r="1" spans="1:44" ht="18" customHeight="1">
      <c r="A1" s="922"/>
      <c r="B1" s="922"/>
      <c r="C1" s="922"/>
      <c r="D1" s="922"/>
      <c r="E1" s="336"/>
      <c r="F1" s="922"/>
      <c r="G1" s="922"/>
      <c r="H1" s="922"/>
      <c r="I1" s="1434"/>
      <c r="J1" s="1434"/>
      <c r="K1" s="1434"/>
      <c r="L1" s="1435"/>
      <c r="M1" s="1435"/>
      <c r="N1" s="1435"/>
      <c r="O1" s="1435"/>
      <c r="P1" s="1435"/>
      <c r="Q1" s="922"/>
      <c r="R1" s="1436"/>
      <c r="S1" s="1437"/>
      <c r="T1" s="1437"/>
      <c r="U1" s="1365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4" s="170" customFormat="1" ht="18" customHeight="1">
      <c r="A2" s="336"/>
      <c r="B2" s="2103" t="s">
        <v>343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3"/>
      <c r="P2" s="2103"/>
      <c r="Q2" s="2103"/>
      <c r="R2" s="2103"/>
      <c r="S2" s="2103"/>
      <c r="T2" s="2103"/>
      <c r="U2" s="1438"/>
      <c r="V2" s="178"/>
      <c r="W2" s="179"/>
      <c r="X2" s="180"/>
      <c r="Y2" s="177"/>
      <c r="Z2" s="181"/>
      <c r="AA2" s="180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</row>
    <row r="3" spans="1:44" s="184" customFormat="1" ht="18.95" customHeight="1">
      <c r="A3" s="1439"/>
      <c r="B3" s="1440" t="s">
        <v>824</v>
      </c>
      <c r="C3" s="1440">
        <f>'Project Info'!C28</f>
        <v>0</v>
      </c>
      <c r="D3" s="922"/>
      <c r="E3" s="922"/>
      <c r="F3" s="2107" t="s">
        <v>344</v>
      </c>
      <c r="G3" s="2116" t="s">
        <v>515</v>
      </c>
      <c r="H3" s="2117"/>
      <c r="I3" s="2118"/>
      <c r="J3" s="2110" t="s">
        <v>517</v>
      </c>
      <c r="K3" s="2110" t="s">
        <v>516</v>
      </c>
      <c r="L3" s="2110" t="s">
        <v>610</v>
      </c>
      <c r="M3" s="2110" t="s">
        <v>308</v>
      </c>
      <c r="N3" s="2107" t="s">
        <v>306</v>
      </c>
      <c r="O3" s="2107" t="s">
        <v>307</v>
      </c>
      <c r="P3" s="2105" t="s">
        <v>379</v>
      </c>
      <c r="Q3" s="2106"/>
      <c r="R3" s="2113" t="s">
        <v>27</v>
      </c>
      <c r="S3" s="2113" t="s">
        <v>39</v>
      </c>
      <c r="T3" s="2113" t="s">
        <v>40</v>
      </c>
      <c r="U3" s="1441"/>
      <c r="V3" s="183"/>
      <c r="X3" s="185"/>
      <c r="Y3" s="177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</row>
    <row r="4" spans="1:44" s="184" customFormat="1" ht="17.25" customHeight="1">
      <c r="A4" s="1439"/>
      <c r="B4" s="520" t="s">
        <v>825</v>
      </c>
      <c r="C4" s="521">
        <f>'Project Info'!K22</f>
        <v>0</v>
      </c>
      <c r="D4" s="519"/>
      <c r="E4" s="922"/>
      <c r="F4" s="2108"/>
      <c r="G4" s="2119"/>
      <c r="H4" s="2120"/>
      <c r="I4" s="2121"/>
      <c r="J4" s="2111"/>
      <c r="K4" s="2111"/>
      <c r="L4" s="2111"/>
      <c r="M4" s="2111"/>
      <c r="N4" s="2108"/>
      <c r="O4" s="2108"/>
      <c r="P4" s="1442" t="s">
        <v>634</v>
      </c>
      <c r="Q4" s="1443">
        <f>G5+J5</f>
        <v>0</v>
      </c>
      <c r="R4" s="2114"/>
      <c r="S4" s="2114"/>
      <c r="T4" s="2114"/>
      <c r="U4" s="1441"/>
      <c r="V4" s="183"/>
      <c r="X4" s="185"/>
      <c r="Y4" s="177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</row>
    <row r="5" spans="1:44" s="184" customFormat="1" ht="17.25" customHeight="1">
      <c r="A5" s="1439"/>
      <c r="B5" s="519"/>
      <c r="C5" s="519"/>
      <c r="D5" s="519"/>
      <c r="E5" s="1444"/>
      <c r="F5" s="2109"/>
      <c r="G5" s="411">
        <v>0</v>
      </c>
      <c r="H5" s="1445" t="s">
        <v>361</v>
      </c>
      <c r="I5" s="1445" t="s">
        <v>378</v>
      </c>
      <c r="J5" s="412">
        <f>'Project Info'!L26</f>
        <v>0</v>
      </c>
      <c r="K5" s="1446">
        <f>'Project Info'!L27</f>
        <v>0</v>
      </c>
      <c r="L5" s="2112"/>
      <c r="M5" s="2112"/>
      <c r="N5" s="2109"/>
      <c r="O5" s="2109"/>
      <c r="P5" s="1447" t="s">
        <v>305</v>
      </c>
      <c r="Q5" s="1448" t="s">
        <v>67</v>
      </c>
      <c r="R5" s="2115"/>
      <c r="S5" s="2115"/>
      <c r="T5" s="2115"/>
      <c r="U5" s="1441"/>
      <c r="V5" s="183"/>
      <c r="X5" s="185"/>
      <c r="Y5" s="177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s="184" customFormat="1" ht="6" customHeight="1" thickBot="1">
      <c r="A6" s="1439"/>
      <c r="B6" s="1449"/>
      <c r="C6" s="1450"/>
      <c r="D6" s="1450"/>
      <c r="E6" s="1451"/>
      <c r="F6" s="1452"/>
      <c r="G6" s="1452"/>
      <c r="H6" s="1453"/>
      <c r="I6" s="1454"/>
      <c r="J6" s="1454"/>
      <c r="K6" s="1454"/>
      <c r="L6" s="1454"/>
      <c r="M6" s="1454"/>
      <c r="N6" s="1454"/>
      <c r="O6" s="1454"/>
      <c r="P6" s="1455"/>
      <c r="Q6" s="1456"/>
      <c r="R6" s="1457"/>
      <c r="S6" s="1458"/>
      <c r="T6" s="1458"/>
      <c r="U6" s="1441"/>
      <c r="V6" s="183"/>
      <c r="X6" s="185"/>
      <c r="Y6" s="177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s="170" customFormat="1" ht="16.5" customHeight="1">
      <c r="A7" s="336"/>
      <c r="B7" s="2138" t="s">
        <v>178</v>
      </c>
      <c r="C7" s="2139"/>
      <c r="D7" s="2139"/>
      <c r="E7" s="2139"/>
      <c r="F7" s="2139"/>
      <c r="G7" s="2139"/>
      <c r="H7" s="2139"/>
      <c r="I7" s="2139"/>
      <c r="J7" s="2139"/>
      <c r="K7" s="2139"/>
      <c r="L7" s="2139"/>
      <c r="M7" s="2139"/>
      <c r="N7" s="2139"/>
      <c r="O7" s="2139"/>
      <c r="P7" s="2139"/>
      <c r="Q7" s="2139"/>
      <c r="R7" s="922"/>
      <c r="S7" s="1459"/>
      <c r="T7" s="1459"/>
      <c r="U7" s="1460"/>
      <c r="V7" s="178"/>
      <c r="W7" s="179"/>
      <c r="X7" s="180"/>
      <c r="Y7" s="177"/>
      <c r="Z7" s="186"/>
      <c r="AA7" s="180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s="170" customFormat="1" ht="16.5" customHeight="1">
      <c r="A8" s="336"/>
      <c r="B8" s="1461" t="s">
        <v>369</v>
      </c>
      <c r="C8" s="187"/>
      <c r="D8" s="1462" t="s">
        <v>370</v>
      </c>
      <c r="E8" s="1463">
        <f>IFERROR(+F8/$C$8,0)</f>
        <v>0</v>
      </c>
      <c r="F8" s="188"/>
      <c r="G8" s="1464" t="s">
        <v>1</v>
      </c>
      <c r="H8" s="1465"/>
      <c r="I8" s="1465"/>
      <c r="J8" s="1465"/>
      <c r="K8" s="1465"/>
      <c r="L8" s="1465"/>
      <c r="M8" s="1465"/>
      <c r="N8" s="1466"/>
      <c r="O8" s="809">
        <v>0</v>
      </c>
      <c r="P8" s="378" t="s">
        <v>28</v>
      </c>
      <c r="Q8" s="811"/>
      <c r="R8" s="1467"/>
      <c r="S8" s="1467"/>
      <c r="T8" s="1460"/>
      <c r="U8" s="1406"/>
      <c r="V8" s="179"/>
      <c r="W8" s="180"/>
      <c r="X8" s="177"/>
      <c r="Y8" s="186"/>
      <c r="Z8" s="180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</row>
    <row r="9" spans="1:44" s="170" customFormat="1" ht="16.5" customHeight="1">
      <c r="A9" s="336"/>
      <c r="B9" s="1468" t="s">
        <v>25</v>
      </c>
      <c r="C9" s="1469">
        <f>-N9</f>
        <v>0</v>
      </c>
      <c r="D9" s="1470" t="s">
        <v>373</v>
      </c>
      <c r="E9" s="1471">
        <f>IFERROR(+F9/$C$8,0)</f>
        <v>0</v>
      </c>
      <c r="F9" s="313">
        <f>+C8-F8</f>
        <v>0</v>
      </c>
      <c r="G9" s="1472" t="s">
        <v>0</v>
      </c>
      <c r="H9" s="1473"/>
      <c r="I9" s="1473"/>
      <c r="J9" s="1473"/>
      <c r="K9" s="1473"/>
      <c r="L9" s="1473"/>
      <c r="M9" s="1474"/>
      <c r="N9" s="810">
        <v>0</v>
      </c>
      <c r="O9" s="1475"/>
      <c r="P9" s="1475"/>
      <c r="Q9" s="1476"/>
      <c r="R9" s="1467"/>
      <c r="S9" s="1467"/>
      <c r="T9" s="1460"/>
      <c r="U9" s="1406"/>
      <c r="V9" s="179"/>
      <c r="W9" s="180"/>
      <c r="X9" s="177"/>
      <c r="Y9" s="186"/>
      <c r="Z9" s="180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</row>
    <row r="10" spans="1:44" s="170" customFormat="1" ht="16.5" customHeight="1" thickBot="1">
      <c r="A10" s="336"/>
      <c r="B10" s="1477" t="s">
        <v>24</v>
      </c>
      <c r="C10" s="191"/>
      <c r="D10" s="1478" t="s">
        <v>372</v>
      </c>
      <c r="E10" s="1479">
        <f>IFERROR(+F10/$C$8,0)</f>
        <v>0</v>
      </c>
      <c r="F10" s="192">
        <v>0</v>
      </c>
      <c r="G10" s="1480" t="s">
        <v>29</v>
      </c>
      <c r="H10" s="1481"/>
      <c r="I10" s="1481"/>
      <c r="J10" s="1481"/>
      <c r="K10" s="1481"/>
      <c r="L10" s="1481"/>
      <c r="M10" s="1481"/>
      <c r="N10" s="813"/>
      <c r="O10" s="812"/>
      <c r="P10" s="812"/>
      <c r="Q10" s="814"/>
      <c r="R10" s="1467"/>
      <c r="S10" s="1467"/>
      <c r="T10" s="1460"/>
      <c r="U10" s="1406"/>
      <c r="V10" s="179"/>
      <c r="W10" s="180"/>
      <c r="X10" s="177"/>
      <c r="Y10" s="186"/>
      <c r="Z10" s="180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</row>
    <row r="11" spans="1:44" s="170" customFormat="1" ht="16.5" customHeight="1" thickBot="1">
      <c r="A11" s="336"/>
      <c r="B11" s="2135" t="s">
        <v>77</v>
      </c>
      <c r="C11" s="2136"/>
      <c r="D11" s="2136"/>
      <c r="E11" s="2136"/>
      <c r="F11" s="2136"/>
      <c r="G11" s="2136"/>
      <c r="H11" s="2136"/>
      <c r="I11" s="2136"/>
      <c r="J11" s="2136"/>
      <c r="K11" s="2136"/>
      <c r="L11" s="2136"/>
      <c r="M11" s="2136"/>
      <c r="N11" s="2136"/>
      <c r="O11" s="2136"/>
      <c r="P11" s="2136"/>
      <c r="Q11" s="2137"/>
      <c r="R11" s="1482"/>
      <c r="S11" s="1467"/>
      <c r="T11" s="1467"/>
      <c r="U11" s="1460"/>
      <c r="V11" s="178"/>
      <c r="W11" s="179"/>
      <c r="X11" s="180"/>
      <c r="Y11" s="177"/>
      <c r="Z11" s="186"/>
      <c r="AA11" s="180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</row>
    <row r="12" spans="1:44" s="170" customFormat="1" ht="16.5" customHeight="1">
      <c r="A12" s="336"/>
      <c r="B12" s="1468" t="s">
        <v>77</v>
      </c>
      <c r="C12" s="379"/>
      <c r="D12" s="1462" t="s">
        <v>11</v>
      </c>
      <c r="E12" s="1463">
        <f>IFERROR(+F12/$C$12,0)</f>
        <v>0</v>
      </c>
      <c r="F12" s="188"/>
      <c r="G12" s="2125" t="s">
        <v>434</v>
      </c>
      <c r="H12" s="2126"/>
      <c r="I12" s="2126"/>
      <c r="J12" s="2126"/>
      <c r="K12" s="2126"/>
      <c r="L12" s="2126"/>
      <c r="M12" s="2126"/>
      <c r="N12" s="2126"/>
      <c r="O12" s="2129"/>
      <c r="P12" s="2130"/>
      <c r="Q12" s="2131"/>
      <c r="R12" s="1467"/>
      <c r="S12" s="1467"/>
      <c r="T12" s="1460"/>
      <c r="U12" s="1406"/>
      <c r="V12" s="179"/>
      <c r="W12" s="180"/>
      <c r="X12" s="177"/>
      <c r="Y12" s="186"/>
      <c r="Z12" s="180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</row>
    <row r="13" spans="1:44" s="170" customFormat="1" ht="16.5" customHeight="1">
      <c r="A13" s="336"/>
      <c r="B13" s="1483" t="s">
        <v>12</v>
      </c>
      <c r="C13" s="193"/>
      <c r="D13" s="1470" t="s">
        <v>373</v>
      </c>
      <c r="E13" s="1471">
        <f>IFERROR(+F13/$C$12,0)</f>
        <v>0</v>
      </c>
      <c r="F13" s="190">
        <f>+C12-F12</f>
        <v>0</v>
      </c>
      <c r="G13" s="2127"/>
      <c r="H13" s="2128"/>
      <c r="I13" s="2128"/>
      <c r="J13" s="2128"/>
      <c r="K13" s="2128"/>
      <c r="L13" s="2128"/>
      <c r="M13" s="2128"/>
      <c r="N13" s="2128"/>
      <c r="O13" s="2132"/>
      <c r="P13" s="2133"/>
      <c r="Q13" s="2134"/>
      <c r="R13" s="1467"/>
      <c r="S13" s="1467"/>
      <c r="T13" s="1460"/>
      <c r="U13" s="1406"/>
      <c r="V13" s="179"/>
      <c r="W13" s="180"/>
      <c r="X13" s="177"/>
      <c r="Y13" s="186"/>
      <c r="Z13" s="180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</row>
    <row r="14" spans="1:44" s="170" customFormat="1" ht="16.5" customHeight="1" thickBot="1">
      <c r="A14" s="336"/>
      <c r="B14" s="1484" t="s">
        <v>47</v>
      </c>
      <c r="C14" s="194"/>
      <c r="D14" s="1478" t="s">
        <v>372</v>
      </c>
      <c r="E14" s="1479">
        <f>IFERROR(+F14/$C$12,0)</f>
        <v>0</v>
      </c>
      <c r="F14" s="192">
        <v>0</v>
      </c>
      <c r="G14" s="2122" t="s">
        <v>435</v>
      </c>
      <c r="H14" s="2123"/>
      <c r="I14" s="2123"/>
      <c r="J14" s="2123"/>
      <c r="K14" s="2123"/>
      <c r="L14" s="2124"/>
      <c r="M14" s="1485" t="s">
        <v>436</v>
      </c>
      <c r="N14" s="294"/>
      <c r="O14" s="1486">
        <f>IFERROR('Stabilized Ops &amp; Debt'!E90/'Dev Costs'!N14,0)</f>
        <v>0</v>
      </c>
      <c r="P14" s="1487"/>
      <c r="Q14" s="1488"/>
      <c r="R14" s="1467"/>
      <c r="S14" s="1467"/>
      <c r="T14" s="1460"/>
      <c r="U14" s="1406"/>
      <c r="V14" s="179"/>
      <c r="W14" s="180"/>
      <c r="X14" s="177"/>
      <c r="Y14" s="186"/>
      <c r="Z14" s="180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</row>
    <row r="15" spans="1:44" s="170" customFormat="1" ht="4.5" customHeight="1">
      <c r="A15" s="336"/>
      <c r="B15" s="1141"/>
      <c r="C15" s="1489"/>
      <c r="D15" s="1490"/>
      <c r="E15" s="1491"/>
      <c r="F15" s="1492"/>
      <c r="G15" s="1492"/>
      <c r="H15" s="1492"/>
      <c r="I15" s="1493"/>
      <c r="J15" s="1493"/>
      <c r="K15" s="1493"/>
      <c r="L15" s="1494"/>
      <c r="M15" s="1494"/>
      <c r="N15" s="1494"/>
      <c r="O15" s="1494"/>
      <c r="P15" s="1494"/>
      <c r="Q15" s="1495"/>
      <c r="R15" s="333"/>
      <c r="S15" s="1467"/>
      <c r="T15" s="1467"/>
      <c r="U15" s="1460"/>
      <c r="V15" s="178"/>
      <c r="W15" s="179"/>
      <c r="X15" s="180"/>
      <c r="Y15" s="177"/>
      <c r="Z15" s="186"/>
      <c r="AA15" s="180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</row>
    <row r="16" spans="1:44" s="170" customFormat="1">
      <c r="A16" s="1496">
        <v>1</v>
      </c>
      <c r="B16" s="2104" t="s">
        <v>518</v>
      </c>
      <c r="C16" s="2104"/>
      <c r="D16" s="1490"/>
      <c r="E16" s="1491"/>
      <c r="F16" s="1492"/>
      <c r="G16" s="1492"/>
      <c r="H16" s="1492"/>
      <c r="I16" s="1493"/>
      <c r="J16" s="1493"/>
      <c r="K16" s="1493"/>
      <c r="L16" s="1494"/>
      <c r="M16" s="1494"/>
      <c r="N16" s="1494"/>
      <c r="O16" s="1494"/>
      <c r="P16" s="1494"/>
      <c r="Q16" s="1495"/>
      <c r="R16" s="333"/>
      <c r="S16" s="1467"/>
      <c r="T16" s="1467"/>
      <c r="U16" s="1460" t="s">
        <v>746</v>
      </c>
      <c r="V16" s="446"/>
      <c r="W16" s="179"/>
      <c r="X16" s="180"/>
      <c r="Y16" s="177"/>
      <c r="Z16" s="186"/>
      <c r="AA16" s="180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</row>
    <row r="17" spans="1:44" s="170" customFormat="1">
      <c r="A17" s="1497"/>
      <c r="B17" s="2140" t="s">
        <v>371</v>
      </c>
      <c r="C17" s="2140"/>
      <c r="D17" s="303">
        <f>IFERROR(F17/('Project Info'!K9*43560),0)</f>
        <v>0</v>
      </c>
      <c r="E17" s="1498"/>
      <c r="F17" s="307">
        <f>+F8</f>
        <v>0</v>
      </c>
      <c r="G17" s="307">
        <f>$F17*G$5</f>
        <v>0</v>
      </c>
      <c r="H17" s="316">
        <f>IFERROR(+G17/Rents!$K$56,0)</f>
        <v>0</v>
      </c>
      <c r="I17" s="317">
        <f>IFERROR(+G17/$G$120,0)</f>
        <v>0</v>
      </c>
      <c r="J17" s="307">
        <f>$F17*J$5</f>
        <v>0</v>
      </c>
      <c r="K17" s="380">
        <f>F17-G17-J17</f>
        <v>0</v>
      </c>
      <c r="L17" s="317"/>
      <c r="M17" s="319">
        <f>+F17</f>
        <v>0</v>
      </c>
      <c r="N17" s="316"/>
      <c r="O17" s="316"/>
      <c r="P17" s="1499"/>
      <c r="Q17" s="1500"/>
      <c r="R17" s="324"/>
      <c r="S17" s="324"/>
      <c r="T17" s="324"/>
      <c r="U17" s="330">
        <f>+R17+Q17+P17+O17+N17+M17</f>
        <v>0</v>
      </c>
      <c r="V17" s="331"/>
      <c r="W17" s="196"/>
      <c r="X17" s="180"/>
      <c r="Y17" s="177"/>
      <c r="Z17" s="180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</row>
    <row r="18" spans="1:44" s="170" customFormat="1">
      <c r="A18" s="1497"/>
      <c r="B18" s="2140" t="s">
        <v>377</v>
      </c>
      <c r="C18" s="2140"/>
      <c r="D18" s="304">
        <f>IFERROR(+F18/C4,0)</f>
        <v>0</v>
      </c>
      <c r="E18" s="1491"/>
      <c r="F18" s="307">
        <f>+F9+F10</f>
        <v>0</v>
      </c>
      <c r="G18" s="307">
        <f t="shared" ref="G18:G26" si="0">F18*G$5</f>
        <v>0</v>
      </c>
      <c r="H18" s="316">
        <f>IFERROR(+G18/Rents!$K$56,0)</f>
        <v>0</v>
      </c>
      <c r="I18" s="317">
        <f t="shared" ref="I18:I21" si="1">IFERROR(+G18/$G$120,0)</f>
        <v>0</v>
      </c>
      <c r="J18" s="307">
        <f t="shared" ref="J18:J20" si="2">$F18*J$5</f>
        <v>0</v>
      </c>
      <c r="K18" s="380">
        <f t="shared" ref="K18:K26" si="3">F18-G18-J18</f>
        <v>0</v>
      </c>
      <c r="L18" s="316">
        <f>+F18</f>
        <v>0</v>
      </c>
      <c r="M18" s="319"/>
      <c r="N18" s="320"/>
      <c r="O18" s="316"/>
      <c r="P18" s="307">
        <f>+L18*Q4</f>
        <v>0</v>
      </c>
      <c r="Q18" s="1501"/>
      <c r="R18" s="323"/>
      <c r="S18" s="324"/>
      <c r="T18" s="324"/>
      <c r="U18" s="330">
        <f t="shared" ref="U18:U27" si="4">+R18+Q18+P18+O18+N18+M18</f>
        <v>0</v>
      </c>
      <c r="V18" s="331"/>
      <c r="W18" s="196"/>
      <c r="X18" s="180"/>
      <c r="Y18" s="177"/>
      <c r="Z18" s="180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</row>
    <row r="19" spans="1:44" s="170" customFormat="1">
      <c r="A19" s="1497"/>
      <c r="B19" s="2140" t="s">
        <v>552</v>
      </c>
      <c r="C19" s="2140"/>
      <c r="D19" s="305"/>
      <c r="E19" s="1491"/>
      <c r="F19" s="198"/>
      <c r="G19" s="307">
        <f t="shared" si="0"/>
        <v>0</v>
      </c>
      <c r="H19" s="316">
        <f>IFERROR(+G19/Rents!$K$56,0)</f>
        <v>0</v>
      </c>
      <c r="I19" s="317">
        <f t="shared" si="1"/>
        <v>0</v>
      </c>
      <c r="J19" s="307">
        <f t="shared" si="2"/>
        <v>0</v>
      </c>
      <c r="K19" s="380">
        <f t="shared" si="3"/>
        <v>0</v>
      </c>
      <c r="L19" s="317"/>
      <c r="M19" s="319">
        <f>+F19</f>
        <v>0</v>
      </c>
      <c r="N19" s="316"/>
      <c r="O19" s="316"/>
      <c r="P19" s="307">
        <f>IF(P18=0,0,F19)</f>
        <v>0</v>
      </c>
      <c r="Q19" s="1501"/>
      <c r="R19" s="323"/>
      <c r="S19" s="324"/>
      <c r="T19" s="324"/>
      <c r="U19" s="330">
        <f t="shared" si="4"/>
        <v>0</v>
      </c>
      <c r="V19" s="331"/>
      <c r="W19" s="196"/>
      <c r="X19" s="180"/>
      <c r="Y19" s="177"/>
      <c r="Z19" s="180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</row>
    <row r="20" spans="1:44" s="170" customFormat="1">
      <c r="A20" s="1497"/>
      <c r="B20" s="2140" t="s">
        <v>374</v>
      </c>
      <c r="C20" s="2140"/>
      <c r="D20" s="305"/>
      <c r="E20" s="1498"/>
      <c r="F20" s="198"/>
      <c r="G20" s="307">
        <f t="shared" si="0"/>
        <v>0</v>
      </c>
      <c r="H20" s="316">
        <f>IFERROR(+G20/Rents!$K$56,0)</f>
        <v>0</v>
      </c>
      <c r="I20" s="317">
        <f t="shared" si="1"/>
        <v>0</v>
      </c>
      <c r="J20" s="307">
        <f t="shared" si="2"/>
        <v>0</v>
      </c>
      <c r="K20" s="380">
        <f t="shared" si="3"/>
        <v>0</v>
      </c>
      <c r="L20" s="316">
        <f>+F20*E9</f>
        <v>0</v>
      </c>
      <c r="M20" s="316">
        <f>+F20*E8</f>
        <v>0</v>
      </c>
      <c r="N20" s="316"/>
      <c r="O20" s="316"/>
      <c r="P20" s="307">
        <v>0</v>
      </c>
      <c r="Q20" s="1501"/>
      <c r="R20" s="323"/>
      <c r="S20" s="324"/>
      <c r="T20" s="324"/>
      <c r="U20" s="330">
        <f t="shared" si="4"/>
        <v>0</v>
      </c>
      <c r="V20" s="331"/>
      <c r="W20" s="196"/>
      <c r="X20" s="180"/>
      <c r="Y20" s="177"/>
      <c r="Z20" s="180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</row>
    <row r="21" spans="1:44" s="170" customFormat="1" ht="16.5" thickBot="1">
      <c r="A21" s="1497"/>
      <c r="B21" s="2142" t="s">
        <v>386</v>
      </c>
      <c r="C21" s="2142"/>
      <c r="D21" s="1502"/>
      <c r="E21" s="1498"/>
      <c r="F21" s="308">
        <f>SUM(F17:F20)</f>
        <v>0</v>
      </c>
      <c r="G21" s="308">
        <f>SUM(G17:G20)</f>
        <v>0</v>
      </c>
      <c r="H21" s="309">
        <f>IFERROR(+G21/Rents!$K$56,0)</f>
        <v>0</v>
      </c>
      <c r="I21" s="318">
        <f t="shared" si="1"/>
        <v>0</v>
      </c>
      <c r="J21" s="308">
        <f>SUM(J12:J20)</f>
        <v>0</v>
      </c>
      <c r="K21" s="308">
        <f>SUM(K17:K20)</f>
        <v>0</v>
      </c>
      <c r="L21" s="309">
        <f>SUM(L12:L20)</f>
        <v>0</v>
      </c>
      <c r="M21" s="308">
        <f>SUM(M17:M20)</f>
        <v>0</v>
      </c>
      <c r="N21" s="308">
        <f t="shared" ref="N21:T21" si="5">SUM(N17:N20)</f>
        <v>0</v>
      </c>
      <c r="O21" s="308">
        <f t="shared" si="5"/>
        <v>0</v>
      </c>
      <c r="P21" s="308">
        <f t="shared" si="5"/>
        <v>0</v>
      </c>
      <c r="Q21" s="308">
        <f t="shared" si="5"/>
        <v>0</v>
      </c>
      <c r="R21" s="308">
        <f t="shared" si="5"/>
        <v>0</v>
      </c>
      <c r="S21" s="308">
        <f t="shared" si="5"/>
        <v>0</v>
      </c>
      <c r="T21" s="308">
        <f t="shared" si="5"/>
        <v>0</v>
      </c>
      <c r="U21" s="330">
        <f t="shared" ref="U21" si="6">+R21+Q21+P21+O21+N21+M21</f>
        <v>0</v>
      </c>
      <c r="V21" s="331"/>
      <c r="W21" s="196"/>
      <c r="X21" s="180"/>
      <c r="Y21" s="200"/>
      <c r="Z21" s="180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</row>
    <row r="22" spans="1:44" s="170" customFormat="1" ht="3" customHeight="1" thickTop="1">
      <c r="A22" s="1497"/>
      <c r="B22" s="1141"/>
      <c r="C22" s="1141"/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331"/>
      <c r="W22" s="196"/>
      <c r="X22" s="180"/>
      <c r="Y22" s="177"/>
      <c r="Z22" s="180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</row>
    <row r="23" spans="1:44" s="170" customFormat="1">
      <c r="A23" s="1497">
        <v>2</v>
      </c>
      <c r="B23" s="1503" t="s">
        <v>553</v>
      </c>
      <c r="C23" s="1141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331"/>
      <c r="W23" s="196"/>
      <c r="X23" s="180"/>
      <c r="Y23" s="177"/>
      <c r="Z23" s="180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</row>
    <row r="24" spans="1:44" s="170" customFormat="1">
      <c r="A24" s="1497"/>
      <c r="B24" s="2140" t="s">
        <v>380</v>
      </c>
      <c r="C24" s="2140"/>
      <c r="D24" s="305"/>
      <c r="E24" s="1498"/>
      <c r="F24" s="198"/>
      <c r="G24" s="307">
        <f t="shared" si="0"/>
        <v>0</v>
      </c>
      <c r="H24" s="316">
        <f>IFERROR(+G24/Rents!$K$56,0)</f>
        <v>0</v>
      </c>
      <c r="I24" s="317">
        <f t="shared" ref="I24:I27" si="7">IFERROR(+G24/$G$120,0)</f>
        <v>0</v>
      </c>
      <c r="J24" s="307">
        <f t="shared" ref="J24:J26" si="8">$F24*J$5</f>
        <v>0</v>
      </c>
      <c r="K24" s="380">
        <f t="shared" si="3"/>
        <v>0</v>
      </c>
      <c r="L24" s="316"/>
      <c r="M24" s="316">
        <f>+F24*E10</f>
        <v>0</v>
      </c>
      <c r="N24" s="316"/>
      <c r="O24" s="316"/>
      <c r="P24" s="1501"/>
      <c r="Q24" s="1501"/>
      <c r="R24" s="860"/>
      <c r="S24" s="324"/>
      <c r="T24" s="324"/>
      <c r="U24" s="330">
        <f t="shared" si="4"/>
        <v>0</v>
      </c>
      <c r="V24" s="331"/>
      <c r="W24" s="196"/>
      <c r="X24" s="180"/>
      <c r="Y24" s="177"/>
      <c r="Z24" s="180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</row>
    <row r="25" spans="1:44" s="170" customFormat="1">
      <c r="A25" s="1497"/>
      <c r="B25" s="2140" t="s">
        <v>375</v>
      </c>
      <c r="C25" s="2140"/>
      <c r="D25" s="306">
        <f>IFERROR(+F25/Rents!K56,0)</f>
        <v>0</v>
      </c>
      <c r="E25" s="1498"/>
      <c r="F25" s="198"/>
      <c r="G25" s="307">
        <f t="shared" si="0"/>
        <v>0</v>
      </c>
      <c r="H25" s="316">
        <f>IFERROR(+G25/Rents!$K$56,0)</f>
        <v>0</v>
      </c>
      <c r="I25" s="317">
        <f t="shared" si="7"/>
        <v>0</v>
      </c>
      <c r="J25" s="307">
        <f t="shared" si="8"/>
        <v>0</v>
      </c>
      <c r="K25" s="380">
        <f t="shared" si="3"/>
        <v>0</v>
      </c>
      <c r="L25" s="316">
        <f>+F25-M25-N25-O25-T25</f>
        <v>0</v>
      </c>
      <c r="M25" s="198"/>
      <c r="N25" s="198"/>
      <c r="O25" s="198"/>
      <c r="P25" s="1501"/>
      <c r="Q25" s="322">
        <f>+L25-R25</f>
        <v>0</v>
      </c>
      <c r="R25" s="860"/>
      <c r="S25" s="324"/>
      <c r="T25" s="324"/>
      <c r="U25" s="330">
        <f t="shared" si="4"/>
        <v>0</v>
      </c>
      <c r="V25" s="331"/>
      <c r="W25" s="196"/>
      <c r="X25" s="180"/>
      <c r="Y25" s="177"/>
      <c r="Z25" s="180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</row>
    <row r="26" spans="1:44" s="170" customFormat="1">
      <c r="A26" s="1497"/>
      <c r="B26" s="1141" t="s">
        <v>376</v>
      </c>
      <c r="C26" s="815"/>
      <c r="D26" s="816"/>
      <c r="E26" s="1504"/>
      <c r="F26" s="198"/>
      <c r="G26" s="307">
        <f t="shared" si="0"/>
        <v>0</v>
      </c>
      <c r="H26" s="316">
        <f>IFERROR(+G26/Rents!$K$56,0)</f>
        <v>0</v>
      </c>
      <c r="I26" s="317">
        <f t="shared" si="7"/>
        <v>0</v>
      </c>
      <c r="J26" s="307">
        <f t="shared" si="8"/>
        <v>0</v>
      </c>
      <c r="K26" s="380">
        <f t="shared" si="3"/>
        <v>0</v>
      </c>
      <c r="L26" s="316">
        <f>+F26-M26-N26-O26-T26</f>
        <v>0</v>
      </c>
      <c r="M26" s="198"/>
      <c r="N26" s="198"/>
      <c r="O26" s="198"/>
      <c r="P26" s="1501"/>
      <c r="Q26" s="198"/>
      <c r="R26" s="860"/>
      <c r="S26" s="324"/>
      <c r="T26" s="324"/>
      <c r="U26" s="330">
        <f t="shared" si="4"/>
        <v>0</v>
      </c>
      <c r="V26" s="331"/>
      <c r="W26" s="196"/>
      <c r="X26" s="180"/>
      <c r="Y26" s="177"/>
      <c r="Z26" s="180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</row>
    <row r="27" spans="1:44" s="170" customFormat="1" ht="16.5" thickBot="1">
      <c r="A27" s="1497"/>
      <c r="B27" s="2142" t="s">
        <v>572</v>
      </c>
      <c r="C27" s="2142"/>
      <c r="D27" s="1502"/>
      <c r="E27" s="1498"/>
      <c r="F27" s="308">
        <f>SUM(F24:F26)</f>
        <v>0</v>
      </c>
      <c r="G27" s="308">
        <f t="shared" ref="G27" si="9">SUM(G24:G26)</f>
        <v>0</v>
      </c>
      <c r="H27" s="309">
        <f>IFERROR(+G27/Rents!$K$56,0)</f>
        <v>0</v>
      </c>
      <c r="I27" s="318">
        <f t="shared" si="7"/>
        <v>0</v>
      </c>
      <c r="J27" s="308">
        <f t="shared" ref="J27:T27" si="10">SUM(J24:J26)</f>
        <v>0</v>
      </c>
      <c r="K27" s="381">
        <f t="shared" si="10"/>
        <v>0</v>
      </c>
      <c r="L27" s="309">
        <f t="shared" si="10"/>
        <v>0</v>
      </c>
      <c r="M27" s="321">
        <f t="shared" si="10"/>
        <v>0</v>
      </c>
      <c r="N27" s="321">
        <f t="shared" si="10"/>
        <v>0</v>
      </c>
      <c r="O27" s="321">
        <f t="shared" si="10"/>
        <v>0</v>
      </c>
      <c r="P27" s="321">
        <f t="shared" si="10"/>
        <v>0</v>
      </c>
      <c r="Q27" s="321">
        <f t="shared" si="10"/>
        <v>0</v>
      </c>
      <c r="R27" s="321">
        <f t="shared" si="10"/>
        <v>0</v>
      </c>
      <c r="S27" s="321">
        <f t="shared" si="10"/>
        <v>0</v>
      </c>
      <c r="T27" s="321">
        <f t="shared" si="10"/>
        <v>0</v>
      </c>
      <c r="U27" s="330">
        <f t="shared" si="4"/>
        <v>0</v>
      </c>
      <c r="V27" s="331"/>
      <c r="W27" s="196"/>
      <c r="X27" s="180"/>
      <c r="Y27" s="200"/>
      <c r="Z27" s="180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</row>
    <row r="28" spans="1:44" s="170" customFormat="1" ht="3.75" customHeight="1" thickTop="1">
      <c r="A28" s="1497"/>
      <c r="B28" s="1505"/>
      <c r="C28" s="866"/>
      <c r="D28" s="1502"/>
      <c r="E28" s="1498"/>
      <c r="F28" s="1506"/>
      <c r="G28" s="1506"/>
      <c r="H28" s="1507"/>
      <c r="I28" s="1508"/>
      <c r="J28" s="1508"/>
      <c r="K28" s="1509"/>
      <c r="L28" s="1508"/>
      <c r="M28" s="1508"/>
      <c r="N28" s="1510"/>
      <c r="O28" s="1510"/>
      <c r="P28" s="1511"/>
      <c r="Q28" s="333"/>
      <c r="R28" s="1460"/>
      <c r="S28" s="1512"/>
      <c r="T28" s="1512"/>
      <c r="U28" s="332"/>
      <c r="V28" s="331"/>
      <c r="W28" s="196"/>
      <c r="X28" s="180"/>
      <c r="Y28" s="204"/>
      <c r="Z28" s="180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</row>
    <row r="29" spans="1:44" s="170" customFormat="1">
      <c r="A29" s="1497">
        <v>3</v>
      </c>
      <c r="B29" s="2104" t="s">
        <v>551</v>
      </c>
      <c r="C29" s="2104"/>
      <c r="D29" s="1502"/>
      <c r="E29" s="1498"/>
      <c r="F29" s="1506"/>
      <c r="G29" s="1506"/>
      <c r="H29" s="1507"/>
      <c r="I29" s="1508"/>
      <c r="J29" s="1508"/>
      <c r="K29" s="1509"/>
      <c r="L29" s="1508"/>
      <c r="M29" s="1508"/>
      <c r="N29" s="1510"/>
      <c r="O29" s="1510"/>
      <c r="P29" s="1511"/>
      <c r="Q29" s="333"/>
      <c r="R29" s="1460"/>
      <c r="S29" s="1512"/>
      <c r="T29" s="1512"/>
      <c r="U29" s="332"/>
      <c r="V29" s="331"/>
      <c r="W29" s="196"/>
      <c r="X29" s="180"/>
      <c r="Y29" s="204"/>
      <c r="Z29" s="180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</row>
    <row r="30" spans="1:44" s="170" customFormat="1">
      <c r="A30" s="1497"/>
      <c r="B30" s="2141" t="s">
        <v>665</v>
      </c>
      <c r="C30" s="2141"/>
      <c r="D30" s="304">
        <f>IFERROR(+F30/$C$4,0)</f>
        <v>0</v>
      </c>
      <c r="E30" s="1498"/>
      <c r="F30" s="198"/>
      <c r="G30" s="307">
        <f t="shared" ref="G30" si="11">F30*G$5</f>
        <v>0</v>
      </c>
      <c r="H30" s="316">
        <f>IFERROR(+G30/Rents!$K$56,0)</f>
        <v>0</v>
      </c>
      <c r="I30" s="317">
        <f t="shared" ref="I30:I40" si="12">IFERROR(+G30/$G$120,0)</f>
        <v>0</v>
      </c>
      <c r="J30" s="307">
        <f t="shared" ref="J30:J39" si="13">$F30*J$5</f>
        <v>0</v>
      </c>
      <c r="K30" s="380">
        <f t="shared" ref="K30" si="14">F30-G30-J30</f>
        <v>0</v>
      </c>
      <c r="L30" s="316">
        <f t="shared" ref="L30" si="15">+F30-M30-N30-O30-T30</f>
        <v>0</v>
      </c>
      <c r="M30" s="205"/>
      <c r="N30" s="206"/>
      <c r="O30" s="206"/>
      <c r="P30" s="1513"/>
      <c r="Q30" s="326">
        <f>+L30-R30</f>
        <v>0</v>
      </c>
      <c r="R30" s="323">
        <f>K$5*L30</f>
        <v>0</v>
      </c>
      <c r="S30" s="860"/>
      <c r="T30" s="860"/>
      <c r="U30" s="330">
        <f t="shared" ref="U30" si="16">+R30+Q30+P30+O30+N30+M30</f>
        <v>0</v>
      </c>
      <c r="V30" s="331"/>
      <c r="W30" s="196"/>
      <c r="X30" s="180"/>
      <c r="Y30" s="204"/>
      <c r="Z30" s="180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</row>
    <row r="31" spans="1:44" s="170" customFormat="1">
      <c r="A31" s="1497"/>
      <c r="B31" s="1514" t="s">
        <v>750</v>
      </c>
      <c r="C31" s="1514"/>
      <c r="D31" s="304">
        <f>IFERROR(+F31/$C$4,0)</f>
        <v>0</v>
      </c>
      <c r="E31" s="1498"/>
      <c r="F31" s="198"/>
      <c r="G31" s="307"/>
      <c r="H31" s="316">
        <f>IFERROR(+G31/Rents!$K$56,0)</f>
        <v>0</v>
      </c>
      <c r="I31" s="317">
        <f t="shared" si="12"/>
        <v>0</v>
      </c>
      <c r="J31" s="307"/>
      <c r="K31" s="380"/>
      <c r="L31" s="316"/>
      <c r="M31" s="205"/>
      <c r="N31" s="206"/>
      <c r="O31" s="206"/>
      <c r="P31" s="1513"/>
      <c r="Q31" s="326"/>
      <c r="R31" s="323"/>
      <c r="S31" s="860"/>
      <c r="T31" s="860"/>
      <c r="U31" s="330"/>
      <c r="V31" s="331"/>
      <c r="W31" s="196"/>
      <c r="X31" s="180"/>
      <c r="Y31" s="204"/>
      <c r="Z31" s="180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</row>
    <row r="32" spans="1:44" s="170" customFormat="1">
      <c r="A32" s="1497"/>
      <c r="B32" s="2140" t="s">
        <v>381</v>
      </c>
      <c r="C32" s="2140"/>
      <c r="D32" s="304">
        <f>IFERROR(+F32/$C$4,0)</f>
        <v>0</v>
      </c>
      <c r="E32" s="1498"/>
      <c r="F32" s="198"/>
      <c r="G32" s="307">
        <f t="shared" ref="G32:G39" si="17">F32*G$5</f>
        <v>0</v>
      </c>
      <c r="H32" s="316">
        <f>IFERROR(+G32/Rents!$K$56,0)</f>
        <v>0</v>
      </c>
      <c r="I32" s="317">
        <f t="shared" si="12"/>
        <v>0</v>
      </c>
      <c r="J32" s="307">
        <f t="shared" si="13"/>
        <v>0</v>
      </c>
      <c r="K32" s="380">
        <f t="shared" ref="K32:K39" si="18">F32-G32-J32</f>
        <v>0</v>
      </c>
      <c r="L32" s="316">
        <f t="shared" ref="L32:L39" si="19">+F32-M32-N32-O32-T32</f>
        <v>0</v>
      </c>
      <c r="M32" s="205"/>
      <c r="N32" s="206"/>
      <c r="O32" s="206"/>
      <c r="P32" s="1513"/>
      <c r="Q32" s="326">
        <f>+L32-R32</f>
        <v>0</v>
      </c>
      <c r="R32" s="323">
        <f>K$5*L32</f>
        <v>0</v>
      </c>
      <c r="S32" s="860"/>
      <c r="T32" s="860"/>
      <c r="U32" s="330">
        <f>+R32+Q32+P32+O32+N32+M32</f>
        <v>0</v>
      </c>
      <c r="V32" s="331"/>
      <c r="W32" s="196"/>
      <c r="X32" s="180"/>
      <c r="Y32" s="204"/>
      <c r="Z32" s="180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</row>
    <row r="33" spans="1:44" s="170" customFormat="1">
      <c r="A33" s="1497"/>
      <c r="B33" s="2140" t="s">
        <v>638</v>
      </c>
      <c r="C33" s="2140"/>
      <c r="D33" s="314"/>
      <c r="E33" s="1498"/>
      <c r="F33" s="198"/>
      <c r="G33" s="307">
        <f t="shared" si="17"/>
        <v>0</v>
      </c>
      <c r="H33" s="316">
        <f>IFERROR(+G33/Rents!$K$56,0)</f>
        <v>0</v>
      </c>
      <c r="I33" s="317">
        <f t="shared" si="12"/>
        <v>0</v>
      </c>
      <c r="J33" s="307">
        <f t="shared" si="13"/>
        <v>0</v>
      </c>
      <c r="K33" s="380">
        <f t="shared" si="18"/>
        <v>0</v>
      </c>
      <c r="L33" s="316">
        <f t="shared" si="19"/>
        <v>0</v>
      </c>
      <c r="M33" s="205"/>
      <c r="N33" s="206"/>
      <c r="O33" s="206"/>
      <c r="P33" s="1513"/>
      <c r="Q33" s="326">
        <f t="shared" ref="Q33:Q39" si="20">+L33-R33</f>
        <v>0</v>
      </c>
      <c r="R33" s="323">
        <f t="shared" ref="R33:R39" si="21">K$5*L33</f>
        <v>0</v>
      </c>
      <c r="S33" s="860"/>
      <c r="T33" s="860"/>
      <c r="U33" s="330">
        <f t="shared" ref="U33:U40" si="22">+R33+Q33+P33+O33+N33+M33</f>
        <v>0</v>
      </c>
      <c r="V33" s="331"/>
      <c r="W33" s="196"/>
      <c r="X33" s="180"/>
      <c r="Y33" s="204"/>
      <c r="Z33" s="180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</row>
    <row r="34" spans="1:44" s="170" customFormat="1">
      <c r="A34" s="1497"/>
      <c r="B34" s="2140" t="s">
        <v>635</v>
      </c>
      <c r="C34" s="2140"/>
      <c r="D34" s="315">
        <f>IFERROR((+F34/$F$32),0)</f>
        <v>0</v>
      </c>
      <c r="E34" s="1498"/>
      <c r="F34" s="198"/>
      <c r="G34" s="307">
        <f t="shared" si="17"/>
        <v>0</v>
      </c>
      <c r="H34" s="316">
        <f>IFERROR(+G34/Rents!$K$56,0)</f>
        <v>0</v>
      </c>
      <c r="I34" s="317">
        <f t="shared" si="12"/>
        <v>0</v>
      </c>
      <c r="J34" s="307">
        <f t="shared" si="13"/>
        <v>0</v>
      </c>
      <c r="K34" s="380">
        <f t="shared" si="18"/>
        <v>0</v>
      </c>
      <c r="L34" s="316">
        <f t="shared" si="19"/>
        <v>0</v>
      </c>
      <c r="M34" s="205"/>
      <c r="N34" s="206"/>
      <c r="O34" s="206"/>
      <c r="P34" s="1513"/>
      <c r="Q34" s="326">
        <f t="shared" si="20"/>
        <v>0</v>
      </c>
      <c r="R34" s="323">
        <f t="shared" si="21"/>
        <v>0</v>
      </c>
      <c r="S34" s="860"/>
      <c r="T34" s="860"/>
      <c r="U34" s="330">
        <f t="shared" si="22"/>
        <v>0</v>
      </c>
      <c r="V34" s="331"/>
      <c r="W34" s="196"/>
      <c r="X34" s="180"/>
      <c r="Y34" s="204"/>
      <c r="Z34" s="180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</row>
    <row r="35" spans="1:44" s="170" customFormat="1">
      <c r="A35" s="1497"/>
      <c r="B35" s="2140" t="s">
        <v>382</v>
      </c>
      <c r="C35" s="2140"/>
      <c r="D35" s="315">
        <f>IFERROR(+F35/$F$32,0)</f>
        <v>0</v>
      </c>
      <c r="E35" s="1498"/>
      <c r="F35" s="198"/>
      <c r="G35" s="307">
        <f t="shared" si="17"/>
        <v>0</v>
      </c>
      <c r="H35" s="316">
        <f>IFERROR(+G35/Rents!$K$56,0)</f>
        <v>0</v>
      </c>
      <c r="I35" s="317">
        <f t="shared" si="12"/>
        <v>0</v>
      </c>
      <c r="J35" s="307">
        <f t="shared" si="13"/>
        <v>0</v>
      </c>
      <c r="K35" s="380">
        <f t="shared" si="18"/>
        <v>0</v>
      </c>
      <c r="L35" s="316">
        <f t="shared" si="19"/>
        <v>0</v>
      </c>
      <c r="M35" s="205"/>
      <c r="N35" s="206"/>
      <c r="O35" s="206"/>
      <c r="P35" s="1513"/>
      <c r="Q35" s="326">
        <f t="shared" si="20"/>
        <v>0</v>
      </c>
      <c r="R35" s="323">
        <f t="shared" si="21"/>
        <v>0</v>
      </c>
      <c r="S35" s="860"/>
      <c r="T35" s="860"/>
      <c r="U35" s="330">
        <f t="shared" si="22"/>
        <v>0</v>
      </c>
      <c r="V35" s="331"/>
      <c r="W35" s="196"/>
      <c r="X35" s="180"/>
      <c r="Y35" s="204"/>
      <c r="Z35" s="180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</row>
    <row r="36" spans="1:44" s="170" customFormat="1">
      <c r="A36" s="1497"/>
      <c r="B36" s="2140" t="s">
        <v>383</v>
      </c>
      <c r="C36" s="2140"/>
      <c r="D36" s="315">
        <f>IFERROR(+F36/$F$32,0)</f>
        <v>0</v>
      </c>
      <c r="E36" s="1498"/>
      <c r="F36" s="198"/>
      <c r="G36" s="307">
        <f t="shared" si="17"/>
        <v>0</v>
      </c>
      <c r="H36" s="316">
        <f>IFERROR(+G36/Rents!$K$56,0)</f>
        <v>0</v>
      </c>
      <c r="I36" s="317">
        <f t="shared" si="12"/>
        <v>0</v>
      </c>
      <c r="J36" s="307">
        <f t="shared" si="13"/>
        <v>0</v>
      </c>
      <c r="K36" s="380">
        <f t="shared" si="18"/>
        <v>0</v>
      </c>
      <c r="L36" s="316">
        <f t="shared" si="19"/>
        <v>0</v>
      </c>
      <c r="M36" s="205"/>
      <c r="N36" s="206"/>
      <c r="O36" s="206"/>
      <c r="P36" s="1513"/>
      <c r="Q36" s="326">
        <f t="shared" si="20"/>
        <v>0</v>
      </c>
      <c r="R36" s="323">
        <f t="shared" si="21"/>
        <v>0</v>
      </c>
      <c r="S36" s="860"/>
      <c r="T36" s="860"/>
      <c r="U36" s="330">
        <f t="shared" si="22"/>
        <v>0</v>
      </c>
      <c r="V36" s="331"/>
      <c r="W36" s="196"/>
      <c r="X36" s="180"/>
      <c r="Y36" s="204"/>
      <c r="Z36" s="180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</row>
    <row r="37" spans="1:44" s="170" customFormat="1">
      <c r="A37" s="1497"/>
      <c r="B37" s="2140" t="s">
        <v>384</v>
      </c>
      <c r="C37" s="2140"/>
      <c r="D37" s="315">
        <f>IFERROR(+F37/$F$32,0)</f>
        <v>0</v>
      </c>
      <c r="E37" s="1498"/>
      <c r="F37" s="198"/>
      <c r="G37" s="307">
        <f t="shared" si="17"/>
        <v>0</v>
      </c>
      <c r="H37" s="316">
        <f>IFERROR(+G37/Rents!$K$56,0)</f>
        <v>0</v>
      </c>
      <c r="I37" s="317">
        <f t="shared" si="12"/>
        <v>0</v>
      </c>
      <c r="J37" s="307">
        <f t="shared" si="13"/>
        <v>0</v>
      </c>
      <c r="K37" s="380">
        <f t="shared" si="18"/>
        <v>0</v>
      </c>
      <c r="L37" s="316">
        <f t="shared" si="19"/>
        <v>0</v>
      </c>
      <c r="M37" s="205"/>
      <c r="N37" s="206"/>
      <c r="O37" s="206"/>
      <c r="P37" s="1513"/>
      <c r="Q37" s="326">
        <f t="shared" si="20"/>
        <v>0</v>
      </c>
      <c r="R37" s="323">
        <f t="shared" si="21"/>
        <v>0</v>
      </c>
      <c r="S37" s="860"/>
      <c r="T37" s="860"/>
      <c r="U37" s="330">
        <f t="shared" si="22"/>
        <v>0</v>
      </c>
      <c r="V37" s="331"/>
      <c r="W37" s="196"/>
      <c r="X37" s="180"/>
      <c r="Y37" s="204"/>
      <c r="Z37" s="180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</row>
    <row r="38" spans="1:44" s="170" customFormat="1">
      <c r="A38" s="1497"/>
      <c r="B38" s="2140" t="s">
        <v>385</v>
      </c>
      <c r="C38" s="2140"/>
      <c r="D38" s="315">
        <f>IFERROR(+F38/$F$32,0)</f>
        <v>0</v>
      </c>
      <c r="E38" s="1498"/>
      <c r="F38" s="198"/>
      <c r="G38" s="307">
        <f t="shared" si="17"/>
        <v>0</v>
      </c>
      <c r="H38" s="316">
        <f>IFERROR(+G38/Rents!$K$56,0)</f>
        <v>0</v>
      </c>
      <c r="I38" s="317">
        <f t="shared" si="12"/>
        <v>0</v>
      </c>
      <c r="J38" s="307">
        <f t="shared" si="13"/>
        <v>0</v>
      </c>
      <c r="K38" s="380">
        <f t="shared" si="18"/>
        <v>0</v>
      </c>
      <c r="L38" s="316">
        <f t="shared" si="19"/>
        <v>0</v>
      </c>
      <c r="M38" s="205"/>
      <c r="N38" s="206"/>
      <c r="O38" s="206"/>
      <c r="P38" s="1513"/>
      <c r="Q38" s="326">
        <f t="shared" si="20"/>
        <v>0</v>
      </c>
      <c r="R38" s="323">
        <f t="shared" si="21"/>
        <v>0</v>
      </c>
      <c r="S38" s="860"/>
      <c r="T38" s="860"/>
      <c r="U38" s="330">
        <f t="shared" si="22"/>
        <v>0</v>
      </c>
      <c r="V38" s="331"/>
      <c r="W38" s="196"/>
      <c r="X38" s="180"/>
      <c r="Y38" s="204"/>
      <c r="Z38" s="180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44" s="170" customFormat="1">
      <c r="A39" s="1497"/>
      <c r="B39" s="2140" t="s">
        <v>636</v>
      </c>
      <c r="C39" s="2140"/>
      <c r="D39" s="315">
        <f>IFERROR(+F39/(F30+F31+$F$32+F34+F35+F36),0)</f>
        <v>0</v>
      </c>
      <c r="E39" s="1498"/>
      <c r="F39" s="198"/>
      <c r="G39" s="307">
        <f t="shared" si="17"/>
        <v>0</v>
      </c>
      <c r="H39" s="316">
        <f>IFERROR(+G39/Rents!$K$56,0)</f>
        <v>0</v>
      </c>
      <c r="I39" s="317">
        <f t="shared" si="12"/>
        <v>0</v>
      </c>
      <c r="J39" s="307">
        <f t="shared" si="13"/>
        <v>0</v>
      </c>
      <c r="K39" s="380">
        <f t="shared" si="18"/>
        <v>0</v>
      </c>
      <c r="L39" s="316">
        <f t="shared" si="19"/>
        <v>0</v>
      </c>
      <c r="M39" s="205"/>
      <c r="N39" s="206"/>
      <c r="O39" s="206"/>
      <c r="P39" s="1513"/>
      <c r="Q39" s="326">
        <f t="shared" si="20"/>
        <v>0</v>
      </c>
      <c r="R39" s="323">
        <f t="shared" si="21"/>
        <v>0</v>
      </c>
      <c r="S39" s="860"/>
      <c r="T39" s="860"/>
      <c r="U39" s="330">
        <f t="shared" si="22"/>
        <v>0</v>
      </c>
      <c r="V39" s="331"/>
      <c r="W39" s="196"/>
      <c r="X39" s="180"/>
      <c r="Y39" s="204"/>
      <c r="Z39" s="180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</row>
    <row r="40" spans="1:44" s="170" customFormat="1" ht="16.5" thickBot="1">
      <c r="A40" s="1497"/>
      <c r="B40" s="2142" t="s">
        <v>569</v>
      </c>
      <c r="C40" s="2142"/>
      <c r="D40" s="304">
        <f>IFERROR(+F40/$C$4,0)</f>
        <v>0</v>
      </c>
      <c r="E40" s="1498"/>
      <c r="F40" s="309">
        <f>SUM(F30:F39)</f>
        <v>0</v>
      </c>
      <c r="G40" s="309">
        <f>SUM(G30:G39)</f>
        <v>0</v>
      </c>
      <c r="H40" s="309">
        <f>IFERROR(+G40/Rents!$K$56,0)</f>
        <v>0</v>
      </c>
      <c r="I40" s="318">
        <f t="shared" si="12"/>
        <v>0</v>
      </c>
      <c r="J40" s="309">
        <f t="shared" ref="J40:O40" si="23">SUM(J30:J39)</f>
        <v>0</v>
      </c>
      <c r="K40" s="382">
        <f t="shared" si="23"/>
        <v>0</v>
      </c>
      <c r="L40" s="325">
        <f t="shared" si="23"/>
        <v>0</v>
      </c>
      <c r="M40" s="325">
        <f t="shared" si="23"/>
        <v>0</v>
      </c>
      <c r="N40" s="325">
        <f t="shared" si="23"/>
        <v>0</v>
      </c>
      <c r="O40" s="325">
        <f t="shared" si="23"/>
        <v>0</v>
      </c>
      <c r="P40" s="328"/>
      <c r="Q40" s="327">
        <f>SUM(Q30:Q39)</f>
        <v>0</v>
      </c>
      <c r="R40" s="327">
        <f>SUM(R30:R39)</f>
        <v>0</v>
      </c>
      <c r="S40" s="327">
        <f t="shared" ref="S40:T40" si="24">SUM(S32:S39)</f>
        <v>0</v>
      </c>
      <c r="T40" s="327">
        <f t="shared" si="24"/>
        <v>0</v>
      </c>
      <c r="U40" s="330">
        <f t="shared" si="22"/>
        <v>0</v>
      </c>
      <c r="V40" s="331"/>
      <c r="W40" s="196"/>
      <c r="X40" s="180"/>
      <c r="Y40" s="204"/>
      <c r="Z40" s="180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</row>
    <row r="41" spans="1:44" s="170" customFormat="1" ht="3" customHeight="1" thickTop="1">
      <c r="A41" s="1497"/>
      <c r="B41" s="1515"/>
      <c r="C41" s="866"/>
      <c r="D41" s="1516" t="e">
        <f t="shared" ref="D41" si="25">+F41/$F$32</f>
        <v>#DIV/0!</v>
      </c>
      <c r="E41" s="1498"/>
      <c r="F41" s="1506"/>
      <c r="G41" s="1506"/>
      <c r="H41" s="1507"/>
      <c r="I41" s="1508"/>
      <c r="J41" s="1508"/>
      <c r="K41" s="1509"/>
      <c r="L41" s="1508"/>
      <c r="M41" s="1508"/>
      <c r="N41" s="1510"/>
      <c r="O41" s="1510"/>
      <c r="P41" s="1511"/>
      <c r="Q41" s="333"/>
      <c r="R41" s="1460"/>
      <c r="S41" s="1512"/>
      <c r="T41" s="1512"/>
      <c r="U41" s="332"/>
      <c r="V41" s="331"/>
      <c r="W41" s="196"/>
      <c r="X41" s="180"/>
      <c r="Y41" s="204"/>
      <c r="Z41" s="180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</row>
    <row r="42" spans="1:44" s="170" customFormat="1">
      <c r="A42" s="1497">
        <v>4</v>
      </c>
      <c r="B42" s="2144" t="s">
        <v>519</v>
      </c>
      <c r="C42" s="2144"/>
      <c r="D42" s="1502"/>
      <c r="E42" s="1498"/>
      <c r="F42" s="1506">
        <f>F40+F19</f>
        <v>0</v>
      </c>
      <c r="G42" s="1506"/>
      <c r="H42" s="1507"/>
      <c r="I42" s="1508"/>
      <c r="J42" s="1508"/>
      <c r="K42" s="1509"/>
      <c r="L42" s="1508"/>
      <c r="M42" s="1508"/>
      <c r="N42" s="1510"/>
      <c r="O42" s="1510"/>
      <c r="P42" s="1511"/>
      <c r="Q42" s="333"/>
      <c r="R42" s="1460"/>
      <c r="S42" s="1512"/>
      <c r="T42" s="1512"/>
      <c r="U42" s="332"/>
      <c r="V42" s="331"/>
      <c r="W42" s="196"/>
      <c r="X42" s="180"/>
      <c r="Y42" s="204"/>
      <c r="Z42" s="180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</row>
    <row r="43" spans="1:44" s="170" customFormat="1">
      <c r="A43" s="1497"/>
      <c r="B43" s="1517" t="s">
        <v>298</v>
      </c>
      <c r="C43" s="1518"/>
      <c r="D43" s="315"/>
      <c r="E43" s="1498"/>
      <c r="F43" s="198"/>
      <c r="G43" s="307">
        <f t="shared" ref="G43:G67" si="26">F43*G$5</f>
        <v>0</v>
      </c>
      <c r="H43" s="316">
        <f>IFERROR(+G43/Rents!$K$56,0)</f>
        <v>0</v>
      </c>
      <c r="I43" s="317">
        <f t="shared" ref="I43:I68" si="27">IFERROR(+G43/$G$120,0)</f>
        <v>0</v>
      </c>
      <c r="J43" s="307">
        <f t="shared" ref="J43:J67" si="28">$F43*J$5</f>
        <v>0</v>
      </c>
      <c r="K43" s="380">
        <f t="shared" ref="K43:K67" si="29">F43-G43-J43</f>
        <v>0</v>
      </c>
      <c r="L43" s="316">
        <f t="shared" ref="L43:L67" si="30">+F43-M43-N43-O43-T43</f>
        <v>0</v>
      </c>
      <c r="M43" s="205"/>
      <c r="N43" s="206"/>
      <c r="O43" s="206"/>
      <c r="P43" s="1513"/>
      <c r="Q43" s="326">
        <f t="shared" ref="Q43:Q67" si="31">+L43-R43</f>
        <v>0</v>
      </c>
      <c r="R43" s="323">
        <f>K$5*L43</f>
        <v>0</v>
      </c>
      <c r="S43" s="860"/>
      <c r="T43" s="860"/>
      <c r="U43" s="330">
        <f t="shared" ref="U43:U68" si="32">+R43+Q43+P43+O43+N43+M43</f>
        <v>0</v>
      </c>
      <c r="V43" s="331"/>
      <c r="W43" s="196"/>
      <c r="X43" s="180"/>
      <c r="Y43" s="204"/>
      <c r="Z43" s="180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</row>
    <row r="44" spans="1:44" s="170" customFormat="1">
      <c r="A44" s="1497"/>
      <c r="B44" s="1517" t="s">
        <v>545</v>
      </c>
      <c r="C44" s="1518"/>
      <c r="D44" s="315"/>
      <c r="E44" s="1498"/>
      <c r="F44" s="198"/>
      <c r="G44" s="307">
        <f t="shared" si="26"/>
        <v>0</v>
      </c>
      <c r="H44" s="316">
        <f>IFERROR(+G44/Rents!$K$56,0)</f>
        <v>0</v>
      </c>
      <c r="I44" s="317">
        <f t="shared" si="27"/>
        <v>0</v>
      </c>
      <c r="J44" s="307">
        <f t="shared" si="28"/>
        <v>0</v>
      </c>
      <c r="K44" s="380">
        <f t="shared" si="29"/>
        <v>0</v>
      </c>
      <c r="L44" s="316">
        <f t="shared" si="30"/>
        <v>0</v>
      </c>
      <c r="M44" s="205"/>
      <c r="N44" s="206"/>
      <c r="O44" s="206"/>
      <c r="P44" s="1513"/>
      <c r="Q44" s="326">
        <f t="shared" si="31"/>
        <v>0</v>
      </c>
      <c r="R44" s="323">
        <f t="shared" ref="R44:R67" si="33">K$5*L44</f>
        <v>0</v>
      </c>
      <c r="S44" s="860"/>
      <c r="T44" s="860"/>
      <c r="U44" s="330">
        <f t="shared" si="32"/>
        <v>0</v>
      </c>
      <c r="V44" s="331"/>
      <c r="W44" s="196"/>
      <c r="X44" s="180"/>
      <c r="Y44" s="204"/>
      <c r="Z44" s="180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</row>
    <row r="45" spans="1:44" s="170" customFormat="1">
      <c r="A45" s="1497"/>
      <c r="B45" s="1517" t="s">
        <v>387</v>
      </c>
      <c r="C45" s="1518"/>
      <c r="D45" s="315"/>
      <c r="E45" s="1498"/>
      <c r="F45" s="198"/>
      <c r="G45" s="307">
        <f t="shared" si="26"/>
        <v>0</v>
      </c>
      <c r="H45" s="316">
        <f>IFERROR(+G45/Rents!$K$56,0)</f>
        <v>0</v>
      </c>
      <c r="I45" s="317">
        <f t="shared" si="27"/>
        <v>0</v>
      </c>
      <c r="J45" s="307">
        <f t="shared" si="28"/>
        <v>0</v>
      </c>
      <c r="K45" s="380">
        <f t="shared" si="29"/>
        <v>0</v>
      </c>
      <c r="L45" s="316">
        <f t="shared" si="30"/>
        <v>0</v>
      </c>
      <c r="M45" s="205"/>
      <c r="N45" s="206"/>
      <c r="O45" s="206"/>
      <c r="P45" s="1513"/>
      <c r="Q45" s="326">
        <f t="shared" si="31"/>
        <v>0</v>
      </c>
      <c r="R45" s="323">
        <f t="shared" si="33"/>
        <v>0</v>
      </c>
      <c r="S45" s="860"/>
      <c r="T45" s="860"/>
      <c r="U45" s="330">
        <f t="shared" si="32"/>
        <v>0</v>
      </c>
      <c r="V45" s="331"/>
      <c r="W45" s="196"/>
      <c r="X45" s="180"/>
      <c r="Y45" s="204"/>
      <c r="Z45" s="180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</row>
    <row r="46" spans="1:44" s="170" customFormat="1">
      <c r="A46" s="1497"/>
      <c r="B46" s="1517" t="s">
        <v>546</v>
      </c>
      <c r="C46" s="1518"/>
      <c r="D46" s="315"/>
      <c r="E46" s="1498"/>
      <c r="F46" s="198"/>
      <c r="G46" s="307">
        <f t="shared" si="26"/>
        <v>0</v>
      </c>
      <c r="H46" s="316">
        <f>IFERROR(+G46/Rents!$K$56,0)</f>
        <v>0</v>
      </c>
      <c r="I46" s="317">
        <f t="shared" si="27"/>
        <v>0</v>
      </c>
      <c r="J46" s="307">
        <f t="shared" si="28"/>
        <v>0</v>
      </c>
      <c r="K46" s="380">
        <f t="shared" si="29"/>
        <v>0</v>
      </c>
      <c r="L46" s="316">
        <f t="shared" si="30"/>
        <v>0</v>
      </c>
      <c r="M46" s="205"/>
      <c r="N46" s="206"/>
      <c r="O46" s="206"/>
      <c r="P46" s="1513"/>
      <c r="Q46" s="326">
        <f t="shared" si="31"/>
        <v>0</v>
      </c>
      <c r="R46" s="323">
        <f t="shared" si="33"/>
        <v>0</v>
      </c>
      <c r="S46" s="860"/>
      <c r="T46" s="860"/>
      <c r="U46" s="330">
        <f t="shared" si="32"/>
        <v>0</v>
      </c>
      <c r="V46" s="331"/>
      <c r="W46" s="196"/>
      <c r="X46" s="180"/>
      <c r="Y46" s="204"/>
      <c r="Z46" s="180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</row>
    <row r="47" spans="1:44" s="170" customFormat="1">
      <c r="A47" s="1497"/>
      <c r="B47" s="1517" t="s">
        <v>547</v>
      </c>
      <c r="C47" s="1518"/>
      <c r="D47" s="315"/>
      <c r="E47" s="1498"/>
      <c r="F47" s="198"/>
      <c r="G47" s="307">
        <f t="shared" si="26"/>
        <v>0</v>
      </c>
      <c r="H47" s="316">
        <f>IFERROR(+G47/Rents!$K$56,0)</f>
        <v>0</v>
      </c>
      <c r="I47" s="317">
        <f t="shared" si="27"/>
        <v>0</v>
      </c>
      <c r="J47" s="307">
        <f t="shared" si="28"/>
        <v>0</v>
      </c>
      <c r="K47" s="380">
        <f t="shared" si="29"/>
        <v>0</v>
      </c>
      <c r="L47" s="316">
        <f t="shared" si="30"/>
        <v>0</v>
      </c>
      <c r="M47" s="205"/>
      <c r="N47" s="206"/>
      <c r="O47" s="206"/>
      <c r="P47" s="1513"/>
      <c r="Q47" s="326">
        <f t="shared" si="31"/>
        <v>0</v>
      </c>
      <c r="R47" s="323">
        <f t="shared" si="33"/>
        <v>0</v>
      </c>
      <c r="S47" s="860"/>
      <c r="T47" s="860"/>
      <c r="U47" s="330">
        <f t="shared" si="32"/>
        <v>0</v>
      </c>
      <c r="V47" s="331"/>
      <c r="W47" s="196"/>
      <c r="X47" s="180"/>
      <c r="Y47" s="204"/>
      <c r="Z47" s="180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</row>
    <row r="48" spans="1:44" s="170" customFormat="1">
      <c r="A48" s="1497"/>
      <c r="B48" s="1517" t="s">
        <v>548</v>
      </c>
      <c r="C48" s="1518"/>
      <c r="D48" s="315"/>
      <c r="E48" s="1498"/>
      <c r="F48" s="198"/>
      <c r="G48" s="307">
        <f t="shared" si="26"/>
        <v>0</v>
      </c>
      <c r="H48" s="316">
        <f>IFERROR(+G48/Rents!$K$56,0)</f>
        <v>0</v>
      </c>
      <c r="I48" s="317">
        <f t="shared" si="27"/>
        <v>0</v>
      </c>
      <c r="J48" s="307">
        <f t="shared" si="28"/>
        <v>0</v>
      </c>
      <c r="K48" s="380">
        <f t="shared" si="29"/>
        <v>0</v>
      </c>
      <c r="L48" s="316">
        <f t="shared" si="30"/>
        <v>0</v>
      </c>
      <c r="M48" s="205"/>
      <c r="N48" s="206"/>
      <c r="O48" s="206"/>
      <c r="P48" s="1513"/>
      <c r="Q48" s="326">
        <f t="shared" si="31"/>
        <v>0</v>
      </c>
      <c r="R48" s="323">
        <f t="shared" si="33"/>
        <v>0</v>
      </c>
      <c r="S48" s="860"/>
      <c r="T48" s="860"/>
      <c r="U48" s="330">
        <f t="shared" si="32"/>
        <v>0</v>
      </c>
      <c r="V48" s="331"/>
      <c r="W48" s="196"/>
      <c r="X48" s="180"/>
      <c r="Y48" s="204"/>
      <c r="Z48" s="180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</row>
    <row r="49" spans="1:44" s="170" customFormat="1">
      <c r="A49" s="1497"/>
      <c r="B49" s="1517" t="s">
        <v>549</v>
      </c>
      <c r="C49" s="1518"/>
      <c r="D49" s="315"/>
      <c r="E49" s="1498"/>
      <c r="F49" s="198"/>
      <c r="G49" s="307">
        <f t="shared" si="26"/>
        <v>0</v>
      </c>
      <c r="H49" s="316">
        <f>IFERROR(+G49/Rents!$K$56,0)</f>
        <v>0</v>
      </c>
      <c r="I49" s="317">
        <f t="shared" si="27"/>
        <v>0</v>
      </c>
      <c r="J49" s="307">
        <f t="shared" si="28"/>
        <v>0</v>
      </c>
      <c r="K49" s="380">
        <f t="shared" si="29"/>
        <v>0</v>
      </c>
      <c r="L49" s="316">
        <f t="shared" si="30"/>
        <v>0</v>
      </c>
      <c r="M49" s="205"/>
      <c r="N49" s="206"/>
      <c r="O49" s="206"/>
      <c r="P49" s="1513"/>
      <c r="Q49" s="326">
        <f t="shared" si="31"/>
        <v>0</v>
      </c>
      <c r="R49" s="323">
        <f t="shared" si="33"/>
        <v>0</v>
      </c>
      <c r="S49" s="860"/>
      <c r="T49" s="860"/>
      <c r="U49" s="330">
        <f t="shared" si="32"/>
        <v>0</v>
      </c>
      <c r="V49" s="331"/>
      <c r="W49" s="196"/>
      <c r="X49" s="180"/>
      <c r="Y49" s="204"/>
      <c r="Z49" s="180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</row>
    <row r="50" spans="1:44" s="170" customFormat="1">
      <c r="A50" s="1497"/>
      <c r="B50" s="1141" t="s">
        <v>550</v>
      </c>
      <c r="C50" s="1141"/>
      <c r="D50" s="315"/>
      <c r="E50" s="1498"/>
      <c r="F50" s="198"/>
      <c r="G50" s="307">
        <f t="shared" si="26"/>
        <v>0</v>
      </c>
      <c r="H50" s="316">
        <f>IFERROR(+G50/Rents!$K$56,0)</f>
        <v>0</v>
      </c>
      <c r="I50" s="317">
        <f t="shared" si="27"/>
        <v>0</v>
      </c>
      <c r="J50" s="307">
        <f t="shared" si="28"/>
        <v>0</v>
      </c>
      <c r="K50" s="380">
        <f t="shared" ref="K50:K66" si="34">F50-G50-J50</f>
        <v>0</v>
      </c>
      <c r="L50" s="316">
        <f t="shared" ref="L50:L66" si="35">+F50-M50-N50-O50-T50</f>
        <v>0</v>
      </c>
      <c r="M50" s="205"/>
      <c r="N50" s="206"/>
      <c r="O50" s="206"/>
      <c r="P50" s="1513"/>
      <c r="Q50" s="326">
        <f t="shared" si="31"/>
        <v>0</v>
      </c>
      <c r="R50" s="323">
        <f t="shared" si="33"/>
        <v>0</v>
      </c>
      <c r="S50" s="860"/>
      <c r="T50" s="860"/>
      <c r="U50" s="330">
        <f t="shared" si="32"/>
        <v>0</v>
      </c>
      <c r="V50" s="331"/>
      <c r="W50" s="196"/>
      <c r="X50" s="180"/>
      <c r="Y50" s="204"/>
      <c r="Z50" s="180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</row>
    <row r="51" spans="1:44" s="170" customFormat="1">
      <c r="A51" s="1497"/>
      <c r="B51" s="1141" t="s">
        <v>631</v>
      </c>
      <c r="C51" s="1141"/>
      <c r="D51" s="315"/>
      <c r="E51" s="1498"/>
      <c r="F51" s="198"/>
      <c r="G51" s="307">
        <f t="shared" si="26"/>
        <v>0</v>
      </c>
      <c r="H51" s="316">
        <f>IFERROR(+G51/Rents!$K$56,0)</f>
        <v>0</v>
      </c>
      <c r="I51" s="317">
        <f t="shared" si="27"/>
        <v>0</v>
      </c>
      <c r="J51" s="307">
        <f t="shared" si="28"/>
        <v>0</v>
      </c>
      <c r="K51" s="380">
        <f t="shared" si="34"/>
        <v>0</v>
      </c>
      <c r="L51" s="316">
        <f t="shared" si="35"/>
        <v>0</v>
      </c>
      <c r="M51" s="205"/>
      <c r="N51" s="206"/>
      <c r="O51" s="206"/>
      <c r="P51" s="1513"/>
      <c r="Q51" s="326">
        <f t="shared" si="31"/>
        <v>0</v>
      </c>
      <c r="R51" s="323">
        <f t="shared" si="33"/>
        <v>0</v>
      </c>
      <c r="S51" s="860"/>
      <c r="T51" s="860"/>
      <c r="U51" s="330">
        <f t="shared" si="32"/>
        <v>0</v>
      </c>
      <c r="V51" s="331"/>
      <c r="W51" s="196"/>
      <c r="X51" s="180"/>
      <c r="Y51" s="204"/>
      <c r="Z51" s="180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</row>
    <row r="52" spans="1:44" s="170" customFormat="1">
      <c r="A52" s="1497"/>
      <c r="B52" s="1141" t="s">
        <v>632</v>
      </c>
      <c r="C52" s="1141"/>
      <c r="D52" s="315"/>
      <c r="E52" s="1498"/>
      <c r="F52" s="198"/>
      <c r="G52" s="307">
        <f t="shared" si="26"/>
        <v>0</v>
      </c>
      <c r="H52" s="316">
        <f>IFERROR(+G52/Rents!$K$56,0)</f>
        <v>0</v>
      </c>
      <c r="I52" s="317">
        <f t="shared" si="27"/>
        <v>0</v>
      </c>
      <c r="J52" s="307">
        <f t="shared" si="28"/>
        <v>0</v>
      </c>
      <c r="K52" s="380">
        <f t="shared" si="34"/>
        <v>0</v>
      </c>
      <c r="L52" s="316">
        <f t="shared" si="35"/>
        <v>0</v>
      </c>
      <c r="M52" s="205"/>
      <c r="N52" s="206"/>
      <c r="O52" s="206"/>
      <c r="P52" s="1513"/>
      <c r="Q52" s="326">
        <f t="shared" si="31"/>
        <v>0</v>
      </c>
      <c r="R52" s="323">
        <f t="shared" si="33"/>
        <v>0</v>
      </c>
      <c r="S52" s="860"/>
      <c r="T52" s="860"/>
      <c r="U52" s="330">
        <f t="shared" si="32"/>
        <v>0</v>
      </c>
      <c r="V52" s="331"/>
      <c r="W52" s="196"/>
      <c r="X52" s="180"/>
      <c r="Y52" s="204"/>
      <c r="Z52" s="180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</row>
    <row r="53" spans="1:44" s="170" customFormat="1">
      <c r="A53" s="1497"/>
      <c r="B53" s="1141" t="s">
        <v>622</v>
      </c>
      <c r="C53" s="1141"/>
      <c r="D53" s="315"/>
      <c r="E53" s="1498"/>
      <c r="F53" s="198"/>
      <c r="G53" s="307">
        <f t="shared" ref="G53" si="36">F53*G$5</f>
        <v>0</v>
      </c>
      <c r="H53" s="316">
        <f>IFERROR(+G53/Rents!$K$56,0)</f>
        <v>0</v>
      </c>
      <c r="I53" s="317">
        <f t="shared" si="27"/>
        <v>0</v>
      </c>
      <c r="J53" s="307">
        <f t="shared" si="28"/>
        <v>0</v>
      </c>
      <c r="K53" s="380">
        <f t="shared" ref="K53" si="37">F53-G53-J53</f>
        <v>0</v>
      </c>
      <c r="L53" s="316">
        <f t="shared" ref="L53" si="38">+F53-M53-N53-O53-T53</f>
        <v>0</v>
      </c>
      <c r="M53" s="205"/>
      <c r="N53" s="206"/>
      <c r="O53" s="206"/>
      <c r="P53" s="1513"/>
      <c r="Q53" s="326">
        <f t="shared" ref="Q53" si="39">+L53-R53</f>
        <v>0</v>
      </c>
      <c r="R53" s="323">
        <f t="shared" ref="R53" si="40">K$5*L53</f>
        <v>0</v>
      </c>
      <c r="S53" s="860"/>
      <c r="T53" s="860"/>
      <c r="U53" s="330">
        <f t="shared" ref="U53" si="41">+R53+Q53+P53+O53+N53+M53</f>
        <v>0</v>
      </c>
      <c r="V53" s="331"/>
      <c r="W53" s="196"/>
      <c r="X53" s="180"/>
      <c r="Y53" s="204"/>
      <c r="Z53" s="180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</row>
    <row r="54" spans="1:44" s="170" customFormat="1">
      <c r="A54" s="1497"/>
      <c r="B54" s="1141" t="s">
        <v>623</v>
      </c>
      <c r="C54" s="1141"/>
      <c r="D54" s="315"/>
      <c r="E54" s="1498"/>
      <c r="F54" s="198"/>
      <c r="G54" s="307">
        <f t="shared" si="26"/>
        <v>0</v>
      </c>
      <c r="H54" s="316">
        <f>IFERROR(+G54/Rents!$K$56,0)</f>
        <v>0</v>
      </c>
      <c r="I54" s="317">
        <f t="shared" si="27"/>
        <v>0</v>
      </c>
      <c r="J54" s="307">
        <f t="shared" si="28"/>
        <v>0</v>
      </c>
      <c r="K54" s="380">
        <f t="shared" si="34"/>
        <v>0</v>
      </c>
      <c r="L54" s="316">
        <f t="shared" si="35"/>
        <v>0</v>
      </c>
      <c r="M54" s="205"/>
      <c r="N54" s="206"/>
      <c r="O54" s="206"/>
      <c r="P54" s="1513"/>
      <c r="Q54" s="1513"/>
      <c r="R54" s="323">
        <f t="shared" si="33"/>
        <v>0</v>
      </c>
      <c r="S54" s="860"/>
      <c r="T54" s="860"/>
      <c r="U54" s="330">
        <f t="shared" si="32"/>
        <v>0</v>
      </c>
      <c r="V54" s="331"/>
      <c r="W54" s="196"/>
      <c r="X54" s="180"/>
      <c r="Y54" s="204"/>
      <c r="Z54" s="180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</row>
    <row r="55" spans="1:44" s="170" customFormat="1">
      <c r="A55" s="1497"/>
      <c r="B55" s="1141" t="s">
        <v>520</v>
      </c>
      <c r="C55" s="1141"/>
      <c r="D55" s="315"/>
      <c r="E55" s="1498"/>
      <c r="F55" s="198"/>
      <c r="G55" s="307">
        <f t="shared" si="26"/>
        <v>0</v>
      </c>
      <c r="H55" s="316">
        <f>IFERROR(+G55/Rents!$K$56,0)</f>
        <v>0</v>
      </c>
      <c r="I55" s="317">
        <f t="shared" si="27"/>
        <v>0</v>
      </c>
      <c r="J55" s="307">
        <f t="shared" si="28"/>
        <v>0</v>
      </c>
      <c r="K55" s="380">
        <f t="shared" si="34"/>
        <v>0</v>
      </c>
      <c r="L55" s="316">
        <f t="shared" si="35"/>
        <v>0</v>
      </c>
      <c r="M55" s="205"/>
      <c r="N55" s="206"/>
      <c r="O55" s="206"/>
      <c r="P55" s="1513"/>
      <c r="Q55" s="326">
        <f t="shared" si="31"/>
        <v>0</v>
      </c>
      <c r="R55" s="323">
        <f t="shared" si="33"/>
        <v>0</v>
      </c>
      <c r="S55" s="860"/>
      <c r="T55" s="860"/>
      <c r="U55" s="330">
        <f t="shared" si="32"/>
        <v>0</v>
      </c>
      <c r="V55" s="331"/>
      <c r="W55" s="196"/>
      <c r="X55" s="180"/>
      <c r="Y55" s="204"/>
      <c r="Z55" s="180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</row>
    <row r="56" spans="1:44" s="170" customFormat="1">
      <c r="A56" s="1497"/>
      <c r="B56" s="1141" t="s">
        <v>521</v>
      </c>
      <c r="C56" s="1141"/>
      <c r="D56" s="315"/>
      <c r="E56" s="1498"/>
      <c r="F56" s="198"/>
      <c r="G56" s="307">
        <f t="shared" si="26"/>
        <v>0</v>
      </c>
      <c r="H56" s="316">
        <f>IFERROR(+G56/Rents!$K$56,0)</f>
        <v>0</v>
      </c>
      <c r="I56" s="317">
        <f t="shared" si="27"/>
        <v>0</v>
      </c>
      <c r="J56" s="307">
        <f t="shared" si="28"/>
        <v>0</v>
      </c>
      <c r="K56" s="380">
        <f t="shared" si="34"/>
        <v>0</v>
      </c>
      <c r="L56" s="316">
        <f t="shared" si="35"/>
        <v>0</v>
      </c>
      <c r="M56" s="205"/>
      <c r="N56" s="206"/>
      <c r="O56" s="206"/>
      <c r="P56" s="1513"/>
      <c r="Q56" s="326">
        <f t="shared" si="31"/>
        <v>0</v>
      </c>
      <c r="R56" s="323">
        <f t="shared" si="33"/>
        <v>0</v>
      </c>
      <c r="S56" s="860"/>
      <c r="T56" s="860"/>
      <c r="U56" s="330">
        <f t="shared" si="32"/>
        <v>0</v>
      </c>
      <c r="V56" s="331"/>
      <c r="W56" s="196"/>
      <c r="X56" s="180"/>
      <c r="Y56" s="204"/>
      <c r="Z56" s="180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</row>
    <row r="57" spans="1:44" s="170" customFormat="1">
      <c r="A57" s="1497"/>
      <c r="B57" s="1141" t="s">
        <v>522</v>
      </c>
      <c r="C57" s="1141"/>
      <c r="D57" s="315"/>
      <c r="E57" s="1498"/>
      <c r="F57" s="198"/>
      <c r="G57" s="307">
        <f t="shared" si="26"/>
        <v>0</v>
      </c>
      <c r="H57" s="316">
        <f>IFERROR(+G57/Rents!$K$56,0)</f>
        <v>0</v>
      </c>
      <c r="I57" s="317">
        <f t="shared" si="27"/>
        <v>0</v>
      </c>
      <c r="J57" s="307">
        <f t="shared" si="28"/>
        <v>0</v>
      </c>
      <c r="K57" s="380">
        <f t="shared" si="34"/>
        <v>0</v>
      </c>
      <c r="L57" s="316">
        <f t="shared" si="35"/>
        <v>0</v>
      </c>
      <c r="M57" s="205"/>
      <c r="N57" s="206"/>
      <c r="O57" s="206"/>
      <c r="P57" s="1513"/>
      <c r="Q57" s="326">
        <f t="shared" si="31"/>
        <v>0</v>
      </c>
      <c r="R57" s="323">
        <f t="shared" si="33"/>
        <v>0</v>
      </c>
      <c r="S57" s="860"/>
      <c r="T57" s="860"/>
      <c r="U57" s="330">
        <f t="shared" si="32"/>
        <v>0</v>
      </c>
      <c r="V57" s="331"/>
      <c r="W57" s="196"/>
      <c r="X57" s="180"/>
      <c r="Y57" s="204"/>
      <c r="Z57" s="180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</row>
    <row r="58" spans="1:44" s="170" customFormat="1">
      <c r="A58" s="1497"/>
      <c r="B58" s="1141" t="s">
        <v>375</v>
      </c>
      <c r="C58" s="1141"/>
      <c r="D58" s="315"/>
      <c r="E58" s="1498"/>
      <c r="F58" s="198"/>
      <c r="G58" s="307">
        <f t="shared" si="26"/>
        <v>0</v>
      </c>
      <c r="H58" s="316">
        <f>IFERROR(+G58/Rents!$K$56,0)</f>
        <v>0</v>
      </c>
      <c r="I58" s="317">
        <f t="shared" si="27"/>
        <v>0</v>
      </c>
      <c r="J58" s="307">
        <f t="shared" si="28"/>
        <v>0</v>
      </c>
      <c r="K58" s="380">
        <f t="shared" si="34"/>
        <v>0</v>
      </c>
      <c r="L58" s="316">
        <f t="shared" si="35"/>
        <v>0</v>
      </c>
      <c r="M58" s="205"/>
      <c r="N58" s="206"/>
      <c r="O58" s="206"/>
      <c r="P58" s="1513"/>
      <c r="Q58" s="326">
        <f t="shared" si="31"/>
        <v>0</v>
      </c>
      <c r="R58" s="323">
        <f t="shared" si="33"/>
        <v>0</v>
      </c>
      <c r="S58" s="860"/>
      <c r="T58" s="860"/>
      <c r="U58" s="330">
        <f t="shared" si="32"/>
        <v>0</v>
      </c>
      <c r="V58" s="331"/>
      <c r="W58" s="196"/>
      <c r="X58" s="180"/>
      <c r="Y58" s="204"/>
      <c r="Z58" s="180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</row>
    <row r="59" spans="1:44" s="394" customFormat="1">
      <c r="A59" s="1519"/>
      <c r="B59" s="1520" t="s">
        <v>523</v>
      </c>
      <c r="C59" s="1521"/>
      <c r="D59" s="384"/>
      <c r="E59" s="1522"/>
      <c r="F59" s="385"/>
      <c r="G59" s="307">
        <f t="shared" si="26"/>
        <v>0</v>
      </c>
      <c r="H59" s="316">
        <f>IFERROR(+G59/Rents!$K$56,0)</f>
        <v>0</v>
      </c>
      <c r="I59" s="317">
        <f t="shared" si="27"/>
        <v>0</v>
      </c>
      <c r="J59" s="307">
        <f t="shared" si="28"/>
        <v>0</v>
      </c>
      <c r="K59" s="380">
        <f t="shared" si="34"/>
        <v>0</v>
      </c>
      <c r="L59" s="316">
        <f t="shared" si="35"/>
        <v>0</v>
      </c>
      <c r="M59" s="386"/>
      <c r="N59" s="387"/>
      <c r="O59" s="387"/>
      <c r="P59" s="1523"/>
      <c r="Q59" s="326">
        <f t="shared" si="31"/>
        <v>0</v>
      </c>
      <c r="R59" s="323">
        <f t="shared" si="33"/>
        <v>0</v>
      </c>
      <c r="S59" s="388"/>
      <c r="T59" s="388"/>
      <c r="U59" s="330">
        <f t="shared" si="32"/>
        <v>0</v>
      </c>
      <c r="V59" s="389"/>
      <c r="W59" s="390"/>
      <c r="X59" s="391"/>
      <c r="Y59" s="392"/>
      <c r="Z59" s="391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</row>
    <row r="60" spans="1:44" s="394" customFormat="1">
      <c r="A60" s="1519"/>
      <c r="B60" s="1520" t="s">
        <v>524</v>
      </c>
      <c r="C60" s="1521"/>
      <c r="D60" s="384"/>
      <c r="E60" s="1522"/>
      <c r="F60" s="385"/>
      <c r="G60" s="307">
        <f t="shared" si="26"/>
        <v>0</v>
      </c>
      <c r="H60" s="316">
        <f>IFERROR(+G60/Rents!$K$56,0)</f>
        <v>0</v>
      </c>
      <c r="I60" s="317">
        <f t="shared" si="27"/>
        <v>0</v>
      </c>
      <c r="J60" s="307">
        <f t="shared" si="28"/>
        <v>0</v>
      </c>
      <c r="K60" s="380">
        <f t="shared" si="34"/>
        <v>0</v>
      </c>
      <c r="L60" s="316">
        <f t="shared" si="35"/>
        <v>0</v>
      </c>
      <c r="M60" s="386"/>
      <c r="N60" s="387"/>
      <c r="O60" s="387"/>
      <c r="P60" s="1523"/>
      <c r="Q60" s="326">
        <f t="shared" si="31"/>
        <v>0</v>
      </c>
      <c r="R60" s="323">
        <f t="shared" si="33"/>
        <v>0</v>
      </c>
      <c r="S60" s="388"/>
      <c r="T60" s="388"/>
      <c r="U60" s="330">
        <f t="shared" si="32"/>
        <v>0</v>
      </c>
      <c r="V60" s="389"/>
      <c r="W60" s="390"/>
      <c r="X60" s="391"/>
      <c r="Y60" s="392"/>
      <c r="Z60" s="391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</row>
    <row r="61" spans="1:44" s="394" customFormat="1">
      <c r="A61" s="1519"/>
      <c r="B61" s="1521" t="s">
        <v>525</v>
      </c>
      <c r="C61" s="1521"/>
      <c r="D61" s="384"/>
      <c r="E61" s="1522"/>
      <c r="F61" s="385"/>
      <c r="G61" s="307">
        <f t="shared" si="26"/>
        <v>0</v>
      </c>
      <c r="H61" s="316">
        <f>IFERROR(+G61/Rents!$K$56,0)</f>
        <v>0</v>
      </c>
      <c r="I61" s="317">
        <f t="shared" si="27"/>
        <v>0</v>
      </c>
      <c r="J61" s="307">
        <f t="shared" si="28"/>
        <v>0</v>
      </c>
      <c r="K61" s="380">
        <f t="shared" si="34"/>
        <v>0</v>
      </c>
      <c r="L61" s="316">
        <f t="shared" si="35"/>
        <v>0</v>
      </c>
      <c r="M61" s="386"/>
      <c r="N61" s="387"/>
      <c r="O61" s="387"/>
      <c r="P61" s="1523"/>
      <c r="Q61" s="326">
        <f t="shared" si="31"/>
        <v>0</v>
      </c>
      <c r="R61" s="323">
        <f t="shared" si="33"/>
        <v>0</v>
      </c>
      <c r="S61" s="388"/>
      <c r="T61" s="388"/>
      <c r="U61" s="330">
        <f t="shared" si="32"/>
        <v>0</v>
      </c>
      <c r="V61" s="389"/>
      <c r="W61" s="390"/>
      <c r="X61" s="391"/>
      <c r="Y61" s="392"/>
      <c r="Z61" s="391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</row>
    <row r="62" spans="1:44" s="394" customFormat="1">
      <c r="A62" s="1519"/>
      <c r="B62" s="1521" t="s">
        <v>228</v>
      </c>
      <c r="C62" s="1521"/>
      <c r="D62" s="384"/>
      <c r="E62" s="1522"/>
      <c r="F62" s="385"/>
      <c r="G62" s="307">
        <f t="shared" si="26"/>
        <v>0</v>
      </c>
      <c r="H62" s="316">
        <f>IFERROR(+G62/Rents!$K$56,0)</f>
        <v>0</v>
      </c>
      <c r="I62" s="317">
        <f t="shared" si="27"/>
        <v>0</v>
      </c>
      <c r="J62" s="307">
        <f t="shared" si="28"/>
        <v>0</v>
      </c>
      <c r="K62" s="380">
        <f t="shared" si="34"/>
        <v>0</v>
      </c>
      <c r="L62" s="316">
        <f t="shared" si="35"/>
        <v>0</v>
      </c>
      <c r="M62" s="386"/>
      <c r="N62" s="387"/>
      <c r="O62" s="387"/>
      <c r="P62" s="1523"/>
      <c r="Q62" s="1536">
        <f t="shared" si="31"/>
        <v>0</v>
      </c>
      <c r="R62" s="197">
        <f t="shared" si="33"/>
        <v>0</v>
      </c>
      <c r="S62" s="388"/>
      <c r="T62" s="388"/>
      <c r="U62" s="330">
        <f t="shared" si="32"/>
        <v>0</v>
      </c>
      <c r="V62" s="389"/>
      <c r="W62" s="390"/>
      <c r="X62" s="391"/>
      <c r="Y62" s="392"/>
      <c r="Z62" s="391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</row>
    <row r="63" spans="1:44" s="394" customFormat="1">
      <c r="A63" s="1519"/>
      <c r="B63" s="1521" t="s">
        <v>526</v>
      </c>
      <c r="C63" s="1521"/>
      <c r="D63" s="384"/>
      <c r="E63" s="1522"/>
      <c r="F63" s="385"/>
      <c r="G63" s="307">
        <f t="shared" si="26"/>
        <v>0</v>
      </c>
      <c r="H63" s="316">
        <f>IFERROR(+G63/Rents!$K$56,0)</f>
        <v>0</v>
      </c>
      <c r="I63" s="317">
        <f t="shared" si="27"/>
        <v>0</v>
      </c>
      <c r="J63" s="307">
        <f t="shared" si="28"/>
        <v>0</v>
      </c>
      <c r="K63" s="380">
        <f t="shared" si="34"/>
        <v>0</v>
      </c>
      <c r="L63" s="316">
        <f t="shared" si="35"/>
        <v>0</v>
      </c>
      <c r="M63" s="386"/>
      <c r="N63" s="387"/>
      <c r="O63" s="387"/>
      <c r="P63" s="1523"/>
      <c r="Q63" s="1536">
        <f t="shared" si="31"/>
        <v>0</v>
      </c>
      <c r="R63" s="197">
        <f t="shared" si="33"/>
        <v>0</v>
      </c>
      <c r="S63" s="388"/>
      <c r="T63" s="388"/>
      <c r="U63" s="330">
        <f t="shared" si="32"/>
        <v>0</v>
      </c>
      <c r="V63" s="389"/>
      <c r="W63" s="390"/>
      <c r="X63" s="391"/>
      <c r="Y63" s="392"/>
      <c r="Z63" s="391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</row>
    <row r="64" spans="1:44" s="394" customFormat="1">
      <c r="A64" s="1519"/>
      <c r="B64" s="1521" t="s">
        <v>352</v>
      </c>
      <c r="C64" s="1521"/>
      <c r="D64" s="384"/>
      <c r="E64" s="1522"/>
      <c r="F64" s="385"/>
      <c r="G64" s="307">
        <f t="shared" si="26"/>
        <v>0</v>
      </c>
      <c r="H64" s="316">
        <f>IFERROR(+G64/Rents!$K$56,0)</f>
        <v>0</v>
      </c>
      <c r="I64" s="317">
        <f t="shared" si="27"/>
        <v>0</v>
      </c>
      <c r="J64" s="307">
        <f t="shared" si="28"/>
        <v>0</v>
      </c>
      <c r="K64" s="380">
        <f t="shared" si="34"/>
        <v>0</v>
      </c>
      <c r="L64" s="316">
        <f t="shared" si="35"/>
        <v>0</v>
      </c>
      <c r="M64" s="386"/>
      <c r="N64" s="387"/>
      <c r="O64" s="387"/>
      <c r="P64" s="1523"/>
      <c r="Q64" s="1536">
        <f t="shared" si="31"/>
        <v>0</v>
      </c>
      <c r="R64" s="197">
        <f t="shared" si="33"/>
        <v>0</v>
      </c>
      <c r="S64" s="388"/>
      <c r="T64" s="388"/>
      <c r="U64" s="330">
        <f t="shared" si="32"/>
        <v>0</v>
      </c>
      <c r="V64" s="389"/>
      <c r="W64" s="390"/>
      <c r="X64" s="391"/>
      <c r="Y64" s="392"/>
      <c r="Z64" s="391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</row>
    <row r="65" spans="1:44" s="394" customFormat="1">
      <c r="A65" s="1519"/>
      <c r="B65" s="1521" t="s">
        <v>527</v>
      </c>
      <c r="C65" s="1521"/>
      <c r="D65" s="384"/>
      <c r="E65" s="1522"/>
      <c r="F65" s="385"/>
      <c r="G65" s="307">
        <f t="shared" si="26"/>
        <v>0</v>
      </c>
      <c r="H65" s="316">
        <f>IFERROR(+G65/Rents!$K$56,0)</f>
        <v>0</v>
      </c>
      <c r="I65" s="317">
        <f t="shared" si="27"/>
        <v>0</v>
      </c>
      <c r="J65" s="307">
        <f t="shared" si="28"/>
        <v>0</v>
      </c>
      <c r="K65" s="380">
        <f t="shared" si="34"/>
        <v>0</v>
      </c>
      <c r="L65" s="316">
        <f t="shared" si="35"/>
        <v>0</v>
      </c>
      <c r="M65" s="386"/>
      <c r="N65" s="387"/>
      <c r="O65" s="387"/>
      <c r="P65" s="1523"/>
      <c r="Q65" s="1536">
        <f t="shared" si="31"/>
        <v>0</v>
      </c>
      <c r="R65" s="197">
        <f t="shared" si="33"/>
        <v>0</v>
      </c>
      <c r="S65" s="388"/>
      <c r="T65" s="388"/>
      <c r="U65" s="330">
        <f t="shared" si="32"/>
        <v>0</v>
      </c>
      <c r="V65" s="389"/>
      <c r="W65" s="390"/>
      <c r="X65" s="391"/>
      <c r="Y65" s="392"/>
      <c r="Z65" s="391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1:44" s="394" customFormat="1">
      <c r="A66" s="1519"/>
      <c r="B66" s="1521" t="s">
        <v>527</v>
      </c>
      <c r="C66" s="1521"/>
      <c r="D66" s="384"/>
      <c r="E66" s="1522"/>
      <c r="F66" s="385"/>
      <c r="G66" s="307">
        <f t="shared" si="26"/>
        <v>0</v>
      </c>
      <c r="H66" s="316">
        <f>IFERROR(+G66/Rents!$K$56,0)</f>
        <v>0</v>
      </c>
      <c r="I66" s="317">
        <f t="shared" si="27"/>
        <v>0</v>
      </c>
      <c r="J66" s="307">
        <f t="shared" si="28"/>
        <v>0</v>
      </c>
      <c r="K66" s="380">
        <f t="shared" si="34"/>
        <v>0</v>
      </c>
      <c r="L66" s="316">
        <f t="shared" si="35"/>
        <v>0</v>
      </c>
      <c r="M66" s="386"/>
      <c r="N66" s="387"/>
      <c r="O66" s="387"/>
      <c r="P66" s="1523"/>
      <c r="Q66" s="326">
        <f t="shared" si="31"/>
        <v>0</v>
      </c>
      <c r="R66" s="323">
        <f t="shared" si="33"/>
        <v>0</v>
      </c>
      <c r="S66" s="388"/>
      <c r="T66" s="388"/>
      <c r="U66" s="330">
        <f t="shared" si="32"/>
        <v>0</v>
      </c>
      <c r="V66" s="389"/>
      <c r="W66" s="390"/>
      <c r="X66" s="391"/>
      <c r="Y66" s="392"/>
      <c r="Z66" s="391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</row>
    <row r="67" spans="1:44" s="170" customFormat="1">
      <c r="A67" s="1497"/>
      <c r="B67" s="2140" t="s">
        <v>637</v>
      </c>
      <c r="C67" s="2140"/>
      <c r="D67" s="439">
        <f>IFERROR(+F67/SUM(F43:F66),0)</f>
        <v>0</v>
      </c>
      <c r="E67" s="1498"/>
      <c r="F67" s="385"/>
      <c r="G67" s="307">
        <f t="shared" si="26"/>
        <v>0</v>
      </c>
      <c r="H67" s="316">
        <f>IFERROR(+G67/Rents!$K$56,0)</f>
        <v>0</v>
      </c>
      <c r="I67" s="317">
        <f t="shared" si="27"/>
        <v>0</v>
      </c>
      <c r="J67" s="307">
        <f t="shared" si="28"/>
        <v>0</v>
      </c>
      <c r="K67" s="380">
        <f t="shared" si="29"/>
        <v>0</v>
      </c>
      <c r="L67" s="316">
        <f t="shared" si="30"/>
        <v>0</v>
      </c>
      <c r="M67" s="205"/>
      <c r="N67" s="206"/>
      <c r="O67" s="206"/>
      <c r="P67" s="1513"/>
      <c r="Q67" s="326">
        <f t="shared" si="31"/>
        <v>0</v>
      </c>
      <c r="R67" s="323">
        <f t="shared" si="33"/>
        <v>0</v>
      </c>
      <c r="S67" s="860"/>
      <c r="T67" s="860"/>
      <c r="U67" s="330">
        <f t="shared" si="32"/>
        <v>0</v>
      </c>
      <c r="V67" s="331"/>
      <c r="W67" s="196"/>
      <c r="X67" s="180"/>
      <c r="Y67" s="204"/>
      <c r="Z67" s="180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</row>
    <row r="68" spans="1:44" s="170" customFormat="1" ht="16.5" thickBot="1">
      <c r="A68" s="1497"/>
      <c r="B68" s="2142" t="s">
        <v>528</v>
      </c>
      <c r="C68" s="2142"/>
      <c r="D68" s="304">
        <f>IFERROR(+F68/$C$4,0)</f>
        <v>0</v>
      </c>
      <c r="E68" s="1498"/>
      <c r="F68" s="309">
        <f>SUM(F43:F67)</f>
        <v>0</v>
      </c>
      <c r="G68" s="309">
        <f>SUM(G43:G67)</f>
        <v>0</v>
      </c>
      <c r="H68" s="309">
        <f>IFERROR(+G68/Rents!$K$56,0)</f>
        <v>0</v>
      </c>
      <c r="I68" s="318">
        <f t="shared" si="27"/>
        <v>0</v>
      </c>
      <c r="J68" s="309">
        <f t="shared" ref="J68:O68" si="42">SUM(J43:J67)</f>
        <v>0</v>
      </c>
      <c r="K68" s="382">
        <f t="shared" si="42"/>
        <v>0</v>
      </c>
      <c r="L68" s="325">
        <f t="shared" si="42"/>
        <v>0</v>
      </c>
      <c r="M68" s="325">
        <f t="shared" si="42"/>
        <v>0</v>
      </c>
      <c r="N68" s="325">
        <f t="shared" si="42"/>
        <v>0</v>
      </c>
      <c r="O68" s="325">
        <f t="shared" si="42"/>
        <v>0</v>
      </c>
      <c r="P68" s="328"/>
      <c r="Q68" s="327">
        <f>SUM(Q43:Q67)</f>
        <v>0</v>
      </c>
      <c r="R68" s="327">
        <f>SUM(R43:R67)</f>
        <v>0</v>
      </c>
      <c r="S68" s="327">
        <f>SUM(S43:S67)</f>
        <v>0</v>
      </c>
      <c r="T68" s="327">
        <f>SUM(T43:T67)</f>
        <v>0</v>
      </c>
      <c r="U68" s="330">
        <f t="shared" si="32"/>
        <v>0</v>
      </c>
      <c r="V68" s="331"/>
      <c r="W68" s="196"/>
      <c r="X68" s="180"/>
      <c r="Y68" s="204"/>
      <c r="Z68" s="180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</row>
    <row r="69" spans="1:44" s="170" customFormat="1" ht="3" customHeight="1" thickTop="1">
      <c r="A69" s="1497"/>
      <c r="B69" s="1515"/>
      <c r="C69" s="866"/>
      <c r="D69" s="1502"/>
      <c r="E69" s="1498"/>
      <c r="F69" s="1506"/>
      <c r="G69" s="1506"/>
      <c r="H69" s="1507"/>
      <c r="I69" s="1508"/>
      <c r="J69" s="1508"/>
      <c r="K69" s="1509"/>
      <c r="L69" s="1508"/>
      <c r="M69" s="1508"/>
      <c r="N69" s="1510"/>
      <c r="O69" s="1510"/>
      <c r="P69" s="1511"/>
      <c r="Q69" s="333"/>
      <c r="R69" s="1460"/>
      <c r="S69" s="1512"/>
      <c r="T69" s="1512"/>
      <c r="U69" s="332"/>
      <c r="V69" s="331"/>
      <c r="W69" s="196"/>
      <c r="X69" s="180"/>
      <c r="Y69" s="204"/>
      <c r="Z69" s="180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</row>
    <row r="70" spans="1:44" s="170" customFormat="1" ht="6" customHeight="1">
      <c r="A70" s="1497"/>
      <c r="B70" s="1515"/>
      <c r="C70" s="866"/>
      <c r="D70" s="1502"/>
      <c r="E70" s="1498"/>
      <c r="F70" s="1506"/>
      <c r="G70" s="1506"/>
      <c r="H70" s="1507"/>
      <c r="I70" s="1508"/>
      <c r="J70" s="1508"/>
      <c r="K70" s="1509"/>
      <c r="L70" s="1508"/>
      <c r="M70" s="1508"/>
      <c r="N70" s="1510"/>
      <c r="O70" s="1510"/>
      <c r="P70" s="1511"/>
      <c r="Q70" s="333"/>
      <c r="R70" s="1460"/>
      <c r="S70" s="1460"/>
      <c r="T70" s="1460"/>
      <c r="U70" s="332"/>
      <c r="V70" s="331"/>
      <c r="W70" s="196"/>
      <c r="X70" s="180"/>
      <c r="Y70" s="204"/>
      <c r="Z70" s="180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</row>
    <row r="71" spans="1:44" s="170" customFormat="1" ht="3" customHeight="1">
      <c r="A71" s="1497"/>
      <c r="B71" s="1515"/>
      <c r="C71" s="866"/>
      <c r="D71" s="1502"/>
      <c r="E71" s="1498"/>
      <c r="F71" s="1506"/>
      <c r="G71" s="1506"/>
      <c r="H71" s="1507"/>
      <c r="I71" s="1508"/>
      <c r="J71" s="1508"/>
      <c r="K71" s="1509"/>
      <c r="L71" s="1508"/>
      <c r="M71" s="1508"/>
      <c r="N71" s="1510"/>
      <c r="O71" s="1510"/>
      <c r="P71" s="1511"/>
      <c r="Q71" s="333"/>
      <c r="R71" s="1460"/>
      <c r="S71" s="1460"/>
      <c r="T71" s="1460"/>
      <c r="U71" s="332"/>
      <c r="V71" s="331"/>
      <c r="W71" s="196"/>
      <c r="X71" s="180"/>
      <c r="Y71" s="204"/>
      <c r="Z71" s="180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</row>
    <row r="72" spans="1:44" s="170" customFormat="1">
      <c r="A72" s="1497">
        <v>5</v>
      </c>
      <c r="B72" s="2104" t="s">
        <v>535</v>
      </c>
      <c r="C72" s="2104"/>
      <c r="D72" s="1502"/>
      <c r="E72" s="1524" t="s">
        <v>309</v>
      </c>
      <c r="F72" s="1506"/>
      <c r="G72" s="1506"/>
      <c r="H72" s="1507"/>
      <c r="I72" s="1508"/>
      <c r="J72" s="1508"/>
      <c r="K72" s="1509"/>
      <c r="L72" s="1508"/>
      <c r="M72" s="1508"/>
      <c r="N72" s="1510"/>
      <c r="O72" s="1510"/>
      <c r="P72" s="1511"/>
      <c r="Q72" s="333"/>
      <c r="R72" s="1460"/>
      <c r="S72" s="1460"/>
      <c r="T72" s="1460"/>
      <c r="U72" s="332"/>
      <c r="V72" s="331"/>
      <c r="W72" s="196"/>
      <c r="X72" s="180"/>
      <c r="Y72" s="204"/>
      <c r="Z72" s="180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</row>
    <row r="73" spans="1:44" s="170" customFormat="1">
      <c r="A73" s="1497"/>
      <c r="B73" s="1517" t="s">
        <v>529</v>
      </c>
      <c r="C73" s="1517"/>
      <c r="D73" s="1502"/>
      <c r="E73" s="329" t="str">
        <f>IFERROR(L73/F73,"NA")</f>
        <v>NA</v>
      </c>
      <c r="F73" s="198"/>
      <c r="G73" s="307">
        <f>F73*G$5</f>
        <v>0</v>
      </c>
      <c r="H73" s="316">
        <f>IFERROR(+G73/Rents!$K$56,0)</f>
        <v>0</v>
      </c>
      <c r="I73" s="317">
        <f t="shared" ref="I73:I90" si="43">IFERROR(+G73/$G$120,0)</f>
        <v>0</v>
      </c>
      <c r="J73" s="307">
        <f t="shared" ref="J73:J89" si="44">$F73*J$5</f>
        <v>0</v>
      </c>
      <c r="K73" s="380">
        <f t="shared" ref="K73:K89" si="45">F73-G73-J73</f>
        <v>0</v>
      </c>
      <c r="L73" s="316">
        <f t="shared" ref="L73:L87" si="46">+F73-M73-N73-O73-T73</f>
        <v>0</v>
      </c>
      <c r="M73" s="205"/>
      <c r="N73" s="207"/>
      <c r="O73" s="319">
        <v>0</v>
      </c>
      <c r="P73" s="1525"/>
      <c r="Q73" s="326">
        <f>+L73-R73</f>
        <v>0</v>
      </c>
      <c r="R73" s="323">
        <f t="shared" ref="R73:R89" si="47">K$5*L73</f>
        <v>0</v>
      </c>
      <c r="S73" s="860">
        <v>0</v>
      </c>
      <c r="T73" s="860">
        <v>0</v>
      </c>
      <c r="U73" s="330">
        <f>+R73+Q73+P73+O73+N73+M73</f>
        <v>0</v>
      </c>
      <c r="V73" s="331"/>
      <c r="W73" s="208"/>
      <c r="X73" s="180"/>
      <c r="Y73" s="204"/>
      <c r="Z73" s="180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</row>
    <row r="74" spans="1:44" s="170" customFormat="1">
      <c r="A74" s="1497"/>
      <c r="B74" s="1141" t="s">
        <v>530</v>
      </c>
      <c r="C74" s="1141"/>
      <c r="D74" s="1502"/>
      <c r="E74" s="329" t="str">
        <f t="shared" ref="E74:E89" si="48">IFERROR(L74/F74,"NA")</f>
        <v>NA</v>
      </c>
      <c r="F74" s="198"/>
      <c r="G74" s="307">
        <f t="shared" ref="G74:G88" si="49">F74*G$5</f>
        <v>0</v>
      </c>
      <c r="H74" s="316">
        <f>IFERROR(+G74/Rents!$K$56,0)</f>
        <v>0</v>
      </c>
      <c r="I74" s="317">
        <f t="shared" si="43"/>
        <v>0</v>
      </c>
      <c r="J74" s="307">
        <f t="shared" si="44"/>
        <v>0</v>
      </c>
      <c r="K74" s="380">
        <f t="shared" si="45"/>
        <v>0</v>
      </c>
      <c r="L74" s="316">
        <f t="shared" si="46"/>
        <v>0</v>
      </c>
      <c r="M74" s="205"/>
      <c r="N74" s="207"/>
      <c r="O74" s="319"/>
      <c r="P74" s="1525"/>
      <c r="Q74" s="326">
        <f t="shared" ref="Q74:Q89" si="50">+L74-R74</f>
        <v>0</v>
      </c>
      <c r="R74" s="323">
        <f t="shared" si="47"/>
        <v>0</v>
      </c>
      <c r="S74" s="860"/>
      <c r="T74" s="860"/>
      <c r="U74" s="330">
        <f t="shared" ref="U74:U87" si="51">+R74+Q74+P74+O74+N74+M74</f>
        <v>0</v>
      </c>
      <c r="V74" s="331"/>
      <c r="W74" s="208"/>
      <c r="X74" s="180"/>
      <c r="Y74" s="204"/>
      <c r="Z74" s="180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</row>
    <row r="75" spans="1:44" s="170" customFormat="1">
      <c r="A75" s="1497"/>
      <c r="B75" s="1141" t="s">
        <v>531</v>
      </c>
      <c r="C75" s="1141"/>
      <c r="D75" s="1502"/>
      <c r="E75" s="329" t="str">
        <f t="shared" si="48"/>
        <v>NA</v>
      </c>
      <c r="F75" s="198"/>
      <c r="G75" s="307">
        <f t="shared" si="49"/>
        <v>0</v>
      </c>
      <c r="H75" s="316">
        <f>IFERROR(+G75/Rents!$K$56,0)</f>
        <v>0</v>
      </c>
      <c r="I75" s="317">
        <f t="shared" si="43"/>
        <v>0</v>
      </c>
      <c r="J75" s="307">
        <f t="shared" si="44"/>
        <v>0</v>
      </c>
      <c r="K75" s="380">
        <f t="shared" si="45"/>
        <v>0</v>
      </c>
      <c r="L75" s="316">
        <f t="shared" si="46"/>
        <v>0</v>
      </c>
      <c r="M75" s="205"/>
      <c r="N75" s="207"/>
      <c r="O75" s="319"/>
      <c r="P75" s="1525"/>
      <c r="Q75" s="326">
        <f t="shared" si="50"/>
        <v>0</v>
      </c>
      <c r="R75" s="323">
        <f t="shared" si="47"/>
        <v>0</v>
      </c>
      <c r="S75" s="860"/>
      <c r="T75" s="860"/>
      <c r="U75" s="330">
        <f t="shared" si="51"/>
        <v>0</v>
      </c>
      <c r="V75" s="331"/>
      <c r="W75" s="208"/>
      <c r="X75" s="180"/>
      <c r="Y75" s="204"/>
      <c r="Z75" s="180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</row>
    <row r="76" spans="1:44" s="170" customFormat="1">
      <c r="A76" s="1497"/>
      <c r="B76" s="1141" t="s">
        <v>532</v>
      </c>
      <c r="C76" s="1141"/>
      <c r="D76" s="1502"/>
      <c r="E76" s="329" t="str">
        <f t="shared" si="48"/>
        <v>NA</v>
      </c>
      <c r="F76" s="198"/>
      <c r="G76" s="307">
        <f t="shared" si="49"/>
        <v>0</v>
      </c>
      <c r="H76" s="316">
        <f>IFERROR(+G76/Rents!$K$56,0)</f>
        <v>0</v>
      </c>
      <c r="I76" s="317">
        <f t="shared" si="43"/>
        <v>0</v>
      </c>
      <c r="J76" s="307">
        <f t="shared" si="44"/>
        <v>0</v>
      </c>
      <c r="K76" s="380">
        <f t="shared" si="45"/>
        <v>0</v>
      </c>
      <c r="L76" s="316">
        <f t="shared" si="46"/>
        <v>0</v>
      </c>
      <c r="M76" s="205"/>
      <c r="N76" s="207"/>
      <c r="O76" s="319"/>
      <c r="P76" s="1525"/>
      <c r="Q76" s="326">
        <f t="shared" si="50"/>
        <v>0</v>
      </c>
      <c r="R76" s="323">
        <f t="shared" si="47"/>
        <v>0</v>
      </c>
      <c r="S76" s="860"/>
      <c r="T76" s="860"/>
      <c r="U76" s="330">
        <f t="shared" si="51"/>
        <v>0</v>
      </c>
      <c r="V76" s="331"/>
      <c r="W76" s="208"/>
      <c r="X76" s="180"/>
      <c r="Y76" s="204"/>
      <c r="Z76" s="180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</row>
    <row r="77" spans="1:44" s="170" customFormat="1">
      <c r="A77" s="1497"/>
      <c r="B77" s="1141" t="s">
        <v>533</v>
      </c>
      <c r="C77" s="1141"/>
      <c r="D77" s="1502"/>
      <c r="E77" s="329" t="str">
        <f t="shared" si="48"/>
        <v>NA</v>
      </c>
      <c r="F77" s="198"/>
      <c r="G77" s="307">
        <f t="shared" si="49"/>
        <v>0</v>
      </c>
      <c r="H77" s="316">
        <f>IFERROR(+G77/Rents!$K$56,0)</f>
        <v>0</v>
      </c>
      <c r="I77" s="317">
        <f t="shared" si="43"/>
        <v>0</v>
      </c>
      <c r="J77" s="307">
        <f t="shared" si="44"/>
        <v>0</v>
      </c>
      <c r="K77" s="380">
        <f t="shared" si="45"/>
        <v>0</v>
      </c>
      <c r="L77" s="316">
        <f t="shared" si="46"/>
        <v>0</v>
      </c>
      <c r="M77" s="205"/>
      <c r="N77" s="207"/>
      <c r="O77" s="319"/>
      <c r="P77" s="1525"/>
      <c r="Q77" s="326">
        <f t="shared" si="50"/>
        <v>0</v>
      </c>
      <c r="R77" s="323">
        <f t="shared" si="47"/>
        <v>0</v>
      </c>
      <c r="S77" s="860"/>
      <c r="T77" s="860"/>
      <c r="U77" s="330">
        <f t="shared" si="51"/>
        <v>0</v>
      </c>
      <c r="V77" s="331"/>
      <c r="W77" s="208"/>
      <c r="X77" s="180"/>
      <c r="Y77" s="204"/>
      <c r="Z77" s="180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</row>
    <row r="78" spans="1:44" s="170" customFormat="1">
      <c r="A78" s="1497"/>
      <c r="B78" s="1514" t="s">
        <v>621</v>
      </c>
      <c r="C78" s="1514"/>
      <c r="D78" s="1534">
        <v>0</v>
      </c>
      <c r="E78" s="329" t="str">
        <f t="shared" si="48"/>
        <v>NA</v>
      </c>
      <c r="F78" s="198"/>
      <c r="G78" s="307">
        <f t="shared" si="49"/>
        <v>0</v>
      </c>
      <c r="H78" s="316">
        <f>IFERROR(+G78/Rents!$K$56,0)</f>
        <v>0</v>
      </c>
      <c r="I78" s="317">
        <f t="shared" si="43"/>
        <v>0</v>
      </c>
      <c r="J78" s="307">
        <f t="shared" si="44"/>
        <v>0</v>
      </c>
      <c r="K78" s="380">
        <f t="shared" si="45"/>
        <v>0</v>
      </c>
      <c r="L78" s="316">
        <f t="shared" si="46"/>
        <v>0</v>
      </c>
      <c r="M78" s="319">
        <f>F78-N78</f>
        <v>0</v>
      </c>
      <c r="N78" s="207"/>
      <c r="O78" s="319"/>
      <c r="P78" s="1525"/>
      <c r="Q78" s="326">
        <f t="shared" si="50"/>
        <v>0</v>
      </c>
      <c r="R78" s="323">
        <f t="shared" si="47"/>
        <v>0</v>
      </c>
      <c r="S78" s="860"/>
      <c r="T78" s="860"/>
      <c r="U78" s="330">
        <f t="shared" si="51"/>
        <v>0</v>
      </c>
      <c r="V78" s="331"/>
      <c r="W78" s="208"/>
      <c r="X78" s="180"/>
      <c r="Y78" s="204"/>
      <c r="Z78" s="180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</row>
    <row r="79" spans="1:44" s="170" customFormat="1">
      <c r="A79" s="1497"/>
      <c r="B79" s="1514" t="s">
        <v>560</v>
      </c>
      <c r="C79" s="1514"/>
      <c r="D79" s="1502"/>
      <c r="E79" s="329" t="str">
        <f t="shared" si="48"/>
        <v>NA</v>
      </c>
      <c r="F79" s="198"/>
      <c r="G79" s="307">
        <f t="shared" si="49"/>
        <v>0</v>
      </c>
      <c r="H79" s="316">
        <f>IFERROR(+G79/Rents!$K$56,0)</f>
        <v>0</v>
      </c>
      <c r="I79" s="317">
        <f t="shared" si="43"/>
        <v>0</v>
      </c>
      <c r="J79" s="307">
        <f t="shared" si="44"/>
        <v>0</v>
      </c>
      <c r="K79" s="380">
        <f t="shared" si="45"/>
        <v>0</v>
      </c>
      <c r="L79" s="316">
        <f t="shared" si="46"/>
        <v>0</v>
      </c>
      <c r="M79" s="1526"/>
      <c r="N79" s="1526"/>
      <c r="O79" s="319"/>
      <c r="P79" s="1525"/>
      <c r="Q79" s="326">
        <f t="shared" si="50"/>
        <v>0</v>
      </c>
      <c r="R79" s="323">
        <f t="shared" si="47"/>
        <v>0</v>
      </c>
      <c r="S79" s="860"/>
      <c r="T79" s="860"/>
      <c r="U79" s="330">
        <f t="shared" si="51"/>
        <v>0</v>
      </c>
      <c r="V79" s="331"/>
      <c r="W79" s="208"/>
      <c r="X79" s="180"/>
      <c r="Y79" s="204"/>
      <c r="Z79" s="180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</row>
    <row r="80" spans="1:44" s="170" customFormat="1">
      <c r="A80" s="1497"/>
      <c r="B80" s="1514" t="s">
        <v>561</v>
      </c>
      <c r="C80" s="1514"/>
      <c r="D80" s="1502"/>
      <c r="E80" s="329" t="str">
        <f t="shared" si="48"/>
        <v>NA</v>
      </c>
      <c r="F80" s="198"/>
      <c r="G80" s="307">
        <f t="shared" si="49"/>
        <v>0</v>
      </c>
      <c r="H80" s="316">
        <f>IFERROR(+G80/Rents!$K$56,0)</f>
        <v>0</v>
      </c>
      <c r="I80" s="317">
        <f t="shared" si="43"/>
        <v>0</v>
      </c>
      <c r="J80" s="307">
        <f t="shared" si="44"/>
        <v>0</v>
      </c>
      <c r="K80" s="380">
        <f t="shared" si="45"/>
        <v>0</v>
      </c>
      <c r="L80" s="316">
        <f t="shared" si="46"/>
        <v>0</v>
      </c>
      <c r="M80" s="1526"/>
      <c r="N80" s="1525"/>
      <c r="O80" s="319">
        <f>F80</f>
        <v>0</v>
      </c>
      <c r="P80" s="1525"/>
      <c r="Q80" s="326">
        <f t="shared" si="50"/>
        <v>0</v>
      </c>
      <c r="R80" s="323">
        <f t="shared" si="47"/>
        <v>0</v>
      </c>
      <c r="S80" s="860"/>
      <c r="T80" s="860"/>
      <c r="U80" s="330">
        <f t="shared" si="51"/>
        <v>0</v>
      </c>
      <c r="V80" s="331"/>
      <c r="W80" s="208"/>
      <c r="X80" s="180"/>
      <c r="Y80" s="204"/>
      <c r="Z80" s="180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</row>
    <row r="81" spans="1:44" s="170" customFormat="1">
      <c r="A81" s="1497"/>
      <c r="B81" s="1514" t="s">
        <v>536</v>
      </c>
      <c r="C81" s="1514"/>
      <c r="D81" s="1502"/>
      <c r="E81" s="329" t="str">
        <f t="shared" si="48"/>
        <v>NA</v>
      </c>
      <c r="F81" s="198"/>
      <c r="G81" s="307">
        <f t="shared" si="49"/>
        <v>0</v>
      </c>
      <c r="H81" s="316">
        <f>IFERROR(+G81/Rents!$K$56,0)</f>
        <v>0</v>
      </c>
      <c r="I81" s="317">
        <f t="shared" si="43"/>
        <v>0</v>
      </c>
      <c r="J81" s="307">
        <f t="shared" si="44"/>
        <v>0</v>
      </c>
      <c r="K81" s="380">
        <f t="shared" si="45"/>
        <v>0</v>
      </c>
      <c r="L81" s="316">
        <f t="shared" si="46"/>
        <v>0</v>
      </c>
      <c r="M81" s="1526"/>
      <c r="N81" s="1525"/>
      <c r="O81" s="319">
        <f>F81</f>
        <v>0</v>
      </c>
      <c r="P81" s="1525"/>
      <c r="Q81" s="1525"/>
      <c r="R81" s="1525"/>
      <c r="S81" s="860"/>
      <c r="T81" s="860"/>
      <c r="U81" s="330">
        <f t="shared" si="51"/>
        <v>0</v>
      </c>
      <c r="V81" s="331"/>
      <c r="W81" s="208"/>
      <c r="X81" s="180"/>
      <c r="Y81" s="204"/>
      <c r="Z81" s="180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</row>
    <row r="82" spans="1:44" s="170" customFormat="1">
      <c r="A82" s="1497"/>
      <c r="B82" s="1514" t="s">
        <v>537</v>
      </c>
      <c r="C82" s="1514"/>
      <c r="D82" s="1535">
        <v>0</v>
      </c>
      <c r="E82" s="329" t="str">
        <f t="shared" si="48"/>
        <v>NA</v>
      </c>
      <c r="F82" s="401"/>
      <c r="G82" s="307">
        <f t="shared" si="49"/>
        <v>0</v>
      </c>
      <c r="H82" s="316">
        <f>IFERROR(+G82/Rents!$K$56,0)</f>
        <v>0</v>
      </c>
      <c r="I82" s="317">
        <f t="shared" si="43"/>
        <v>0</v>
      </c>
      <c r="J82" s="307">
        <f t="shared" si="44"/>
        <v>0</v>
      </c>
      <c r="K82" s="380">
        <f t="shared" si="45"/>
        <v>0</v>
      </c>
      <c r="L82" s="316">
        <f t="shared" si="46"/>
        <v>0</v>
      </c>
      <c r="M82" s="1527">
        <f>F82-N82</f>
        <v>0</v>
      </c>
      <c r="N82" s="209"/>
      <c r="O82" s="319"/>
      <c r="P82" s="1525"/>
      <c r="Q82" s="1525"/>
      <c r="R82" s="1525"/>
      <c r="S82" s="860">
        <v>0</v>
      </c>
      <c r="T82" s="860">
        <v>0</v>
      </c>
      <c r="U82" s="330">
        <f t="shared" si="51"/>
        <v>0</v>
      </c>
      <c r="V82" s="331"/>
      <c r="W82" s="208"/>
      <c r="X82" s="180"/>
      <c r="Y82" s="204"/>
      <c r="Z82" s="180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</row>
    <row r="83" spans="1:44" s="170" customFormat="1">
      <c r="A83" s="1497"/>
      <c r="B83" s="2140" t="s">
        <v>310</v>
      </c>
      <c r="C83" s="2140"/>
      <c r="D83" s="1502"/>
      <c r="E83" s="329" t="str">
        <f t="shared" si="48"/>
        <v>NA</v>
      </c>
      <c r="F83" s="198"/>
      <c r="G83" s="307">
        <f t="shared" si="49"/>
        <v>0</v>
      </c>
      <c r="H83" s="316">
        <f>IFERROR(+G83/Rents!$K$56,0)</f>
        <v>0</v>
      </c>
      <c r="I83" s="317">
        <f t="shared" si="43"/>
        <v>0</v>
      </c>
      <c r="J83" s="307">
        <f t="shared" si="44"/>
        <v>0</v>
      </c>
      <c r="K83" s="380">
        <f t="shared" si="45"/>
        <v>0</v>
      </c>
      <c r="L83" s="316">
        <f t="shared" si="46"/>
        <v>0</v>
      </c>
      <c r="M83" s="198">
        <v>0</v>
      </c>
      <c r="N83" s="209"/>
      <c r="O83" s="209"/>
      <c r="P83" s="1525"/>
      <c r="Q83" s="326">
        <f t="shared" si="50"/>
        <v>0</v>
      </c>
      <c r="R83" s="323">
        <f t="shared" si="47"/>
        <v>0</v>
      </c>
      <c r="S83" s="860"/>
      <c r="T83" s="860"/>
      <c r="U83" s="330">
        <f t="shared" si="51"/>
        <v>0</v>
      </c>
      <c r="V83" s="331"/>
      <c r="W83" s="196"/>
      <c r="X83" s="180"/>
      <c r="Y83" s="204"/>
      <c r="Z83" s="180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</row>
    <row r="84" spans="1:44" s="170" customFormat="1">
      <c r="A84" s="1497"/>
      <c r="B84" s="2140" t="s">
        <v>312</v>
      </c>
      <c r="C84" s="2140"/>
      <c r="D84" s="1502"/>
      <c r="E84" s="329" t="str">
        <f t="shared" si="48"/>
        <v>NA</v>
      </c>
      <c r="F84" s="198"/>
      <c r="G84" s="307">
        <f t="shared" si="49"/>
        <v>0</v>
      </c>
      <c r="H84" s="316">
        <f>IFERROR(+G84/Rents!$K$56,0)</f>
        <v>0</v>
      </c>
      <c r="I84" s="317">
        <f t="shared" si="43"/>
        <v>0</v>
      </c>
      <c r="J84" s="307">
        <f t="shared" si="44"/>
        <v>0</v>
      </c>
      <c r="K84" s="380">
        <f t="shared" si="45"/>
        <v>0</v>
      </c>
      <c r="L84" s="316">
        <f t="shared" si="46"/>
        <v>0</v>
      </c>
      <c r="M84" s="198">
        <v>0</v>
      </c>
      <c r="N84" s="209"/>
      <c r="O84" s="209"/>
      <c r="P84" s="1525"/>
      <c r="Q84" s="326">
        <f t="shared" si="50"/>
        <v>0</v>
      </c>
      <c r="R84" s="323">
        <f t="shared" si="47"/>
        <v>0</v>
      </c>
      <c r="S84" s="860"/>
      <c r="T84" s="860"/>
      <c r="U84" s="330">
        <f t="shared" si="51"/>
        <v>0</v>
      </c>
      <c r="V84" s="331"/>
      <c r="W84" s="196"/>
      <c r="X84" s="180"/>
      <c r="Y84" s="204"/>
      <c r="Z84" s="180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</row>
    <row r="85" spans="1:44" s="170" customFormat="1">
      <c r="A85" s="1497"/>
      <c r="B85" s="1141" t="s">
        <v>538</v>
      </c>
      <c r="C85" s="1141"/>
      <c r="D85" s="1502"/>
      <c r="E85" s="329" t="str">
        <f t="shared" si="48"/>
        <v>NA</v>
      </c>
      <c r="F85" s="198"/>
      <c r="G85" s="307">
        <f t="shared" si="49"/>
        <v>0</v>
      </c>
      <c r="H85" s="316">
        <f>IFERROR(+G85/Rents!$K$56,0)</f>
        <v>0</v>
      </c>
      <c r="I85" s="317">
        <f t="shared" si="43"/>
        <v>0</v>
      </c>
      <c r="J85" s="307">
        <f t="shared" si="44"/>
        <v>0</v>
      </c>
      <c r="K85" s="380">
        <f t="shared" si="45"/>
        <v>0</v>
      </c>
      <c r="L85" s="316">
        <f t="shared" si="46"/>
        <v>0</v>
      </c>
      <c r="M85" s="198">
        <v>0</v>
      </c>
      <c r="N85" s="209"/>
      <c r="O85" s="209"/>
      <c r="P85" s="1525"/>
      <c r="Q85" s="326">
        <f t="shared" si="50"/>
        <v>0</v>
      </c>
      <c r="R85" s="323">
        <f t="shared" si="47"/>
        <v>0</v>
      </c>
      <c r="S85" s="860"/>
      <c r="T85" s="860"/>
      <c r="U85" s="330">
        <f t="shared" si="51"/>
        <v>0</v>
      </c>
      <c r="V85" s="331"/>
      <c r="W85" s="196"/>
      <c r="X85" s="180"/>
      <c r="Y85" s="204"/>
      <c r="Z85" s="180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</row>
    <row r="86" spans="1:44" s="170" customFormat="1">
      <c r="A86" s="1497"/>
      <c r="B86" s="2140" t="s">
        <v>620</v>
      </c>
      <c r="C86" s="2140"/>
      <c r="D86" s="1502"/>
      <c r="E86" s="329" t="str">
        <f t="shared" si="48"/>
        <v>NA</v>
      </c>
      <c r="F86" s="198"/>
      <c r="G86" s="307">
        <f t="shared" si="49"/>
        <v>0</v>
      </c>
      <c r="H86" s="316">
        <f>IFERROR(+G86/Rents!$K$56,0)</f>
        <v>0</v>
      </c>
      <c r="I86" s="317">
        <f t="shared" si="43"/>
        <v>0</v>
      </c>
      <c r="J86" s="307">
        <f t="shared" si="44"/>
        <v>0</v>
      </c>
      <c r="K86" s="380">
        <f t="shared" si="45"/>
        <v>0</v>
      </c>
      <c r="L86" s="316">
        <f t="shared" si="46"/>
        <v>0</v>
      </c>
      <c r="M86" s="198">
        <v>0</v>
      </c>
      <c r="N86" s="209"/>
      <c r="O86" s="209"/>
      <c r="P86" s="1525"/>
      <c r="Q86" s="326">
        <f t="shared" si="50"/>
        <v>0</v>
      </c>
      <c r="R86" s="323">
        <f t="shared" si="47"/>
        <v>0</v>
      </c>
      <c r="S86" s="860"/>
      <c r="T86" s="860"/>
      <c r="U86" s="330">
        <f t="shared" si="51"/>
        <v>0</v>
      </c>
      <c r="V86" s="331"/>
      <c r="W86" s="196"/>
      <c r="X86" s="180"/>
      <c r="Y86" s="204"/>
      <c r="Z86" s="180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</row>
    <row r="87" spans="1:44" s="170" customFormat="1">
      <c r="A87" s="1497"/>
      <c r="B87" s="2140" t="s">
        <v>390</v>
      </c>
      <c r="C87" s="2140"/>
      <c r="D87" s="1502"/>
      <c r="E87" s="329" t="str">
        <f t="shared" si="48"/>
        <v>NA</v>
      </c>
      <c r="F87" s="198"/>
      <c r="G87" s="307">
        <f t="shared" si="49"/>
        <v>0</v>
      </c>
      <c r="H87" s="316">
        <f>IFERROR(+G87/Rents!$K$56,0)</f>
        <v>0</v>
      </c>
      <c r="I87" s="317">
        <f t="shared" si="43"/>
        <v>0</v>
      </c>
      <c r="J87" s="307">
        <f t="shared" si="44"/>
        <v>0</v>
      </c>
      <c r="K87" s="380">
        <f t="shared" si="45"/>
        <v>0</v>
      </c>
      <c r="L87" s="316">
        <f t="shared" si="46"/>
        <v>0</v>
      </c>
      <c r="M87" s="198">
        <v>0</v>
      </c>
      <c r="N87" s="209"/>
      <c r="O87" s="209"/>
      <c r="P87" s="1525"/>
      <c r="Q87" s="326">
        <f t="shared" si="50"/>
        <v>0</v>
      </c>
      <c r="R87" s="323">
        <f t="shared" si="47"/>
        <v>0</v>
      </c>
      <c r="S87" s="860"/>
      <c r="T87" s="860"/>
      <c r="U87" s="330">
        <f t="shared" si="51"/>
        <v>0</v>
      </c>
      <c r="V87" s="331"/>
      <c r="W87" s="196"/>
      <c r="X87" s="180"/>
      <c r="Y87" s="204"/>
      <c r="Z87" s="180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</row>
    <row r="88" spans="1:44" s="170" customFormat="1">
      <c r="A88" s="1497"/>
      <c r="B88" s="2140" t="s">
        <v>388</v>
      </c>
      <c r="C88" s="2140"/>
      <c r="D88" s="1502"/>
      <c r="E88" s="329" t="str">
        <f t="shared" si="48"/>
        <v>NA</v>
      </c>
      <c r="F88" s="198"/>
      <c r="G88" s="307">
        <f t="shared" si="49"/>
        <v>0</v>
      </c>
      <c r="H88" s="316">
        <f>IFERROR(+G88/Rents!$K$56,0)</f>
        <v>0</v>
      </c>
      <c r="I88" s="317">
        <f t="shared" si="43"/>
        <v>0</v>
      </c>
      <c r="J88" s="307">
        <f t="shared" si="44"/>
        <v>0</v>
      </c>
      <c r="K88" s="380">
        <f t="shared" si="45"/>
        <v>0</v>
      </c>
      <c r="L88" s="316">
        <f t="shared" ref="L88" si="52">+F88-M88-N88-O88-T88</f>
        <v>0</v>
      </c>
      <c r="M88" s="198">
        <v>0</v>
      </c>
      <c r="N88" s="209"/>
      <c r="O88" s="209"/>
      <c r="P88" s="1525"/>
      <c r="Q88" s="326">
        <f t="shared" si="50"/>
        <v>0</v>
      </c>
      <c r="R88" s="323">
        <f t="shared" si="47"/>
        <v>0</v>
      </c>
      <c r="S88" s="860"/>
      <c r="T88" s="860"/>
      <c r="U88" s="330">
        <f t="shared" ref="U88:U90" si="53">+R88+Q88+P88+O88+N88+M88</f>
        <v>0</v>
      </c>
      <c r="V88" s="331"/>
      <c r="W88" s="196"/>
      <c r="X88" s="180"/>
      <c r="Y88" s="204"/>
      <c r="Z88" s="180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</row>
    <row r="89" spans="1:44" s="170" customFormat="1">
      <c r="A89" s="1497"/>
      <c r="B89" s="1517" t="s">
        <v>348</v>
      </c>
      <c r="C89" s="2143"/>
      <c r="D89" s="2143"/>
      <c r="E89" s="329" t="str">
        <f t="shared" si="48"/>
        <v>NA</v>
      </c>
      <c r="F89" s="198"/>
      <c r="G89" s="307">
        <f t="shared" ref="G89" si="54">F89*G$5</f>
        <v>0</v>
      </c>
      <c r="H89" s="316">
        <f>IFERROR(+G89/Rents!$K$56,0)</f>
        <v>0</v>
      </c>
      <c r="I89" s="317">
        <f t="shared" si="43"/>
        <v>0</v>
      </c>
      <c r="J89" s="307">
        <f t="shared" si="44"/>
        <v>0</v>
      </c>
      <c r="K89" s="380">
        <f t="shared" si="45"/>
        <v>0</v>
      </c>
      <c r="L89" s="316">
        <f>+F89-M89-N89-O89</f>
        <v>0</v>
      </c>
      <c r="M89" s="198">
        <v>0</v>
      </c>
      <c r="N89" s="209"/>
      <c r="O89" s="209"/>
      <c r="P89" s="1525"/>
      <c r="Q89" s="326">
        <f t="shared" si="50"/>
        <v>0</v>
      </c>
      <c r="R89" s="323">
        <f t="shared" si="47"/>
        <v>0</v>
      </c>
      <c r="S89" s="860"/>
      <c r="T89" s="860"/>
      <c r="U89" s="330">
        <f t="shared" si="53"/>
        <v>0</v>
      </c>
      <c r="V89" s="331"/>
      <c r="W89" s="196"/>
      <c r="X89" s="180"/>
      <c r="Y89" s="204"/>
      <c r="Z89" s="180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</row>
    <row r="90" spans="1:44" s="170" customFormat="1" ht="16.5" thickBot="1">
      <c r="A90" s="1497"/>
      <c r="B90" s="2142" t="s">
        <v>539</v>
      </c>
      <c r="C90" s="2142"/>
      <c r="D90" s="1502"/>
      <c r="E90" s="1498"/>
      <c r="F90" s="309">
        <f>SUM(F73:F89)</f>
        <v>0</v>
      </c>
      <c r="G90" s="309">
        <f>SUM(G73:G89)</f>
        <v>0</v>
      </c>
      <c r="H90" s="309">
        <f>IFERROR(+G90/Rents!$K$56,0)</f>
        <v>0</v>
      </c>
      <c r="I90" s="318">
        <f t="shared" si="43"/>
        <v>0</v>
      </c>
      <c r="J90" s="309">
        <f t="shared" ref="J90:T90" si="55">SUM(J73:J89)</f>
        <v>0</v>
      </c>
      <c r="K90" s="382">
        <f t="shared" si="55"/>
        <v>0</v>
      </c>
      <c r="L90" s="325">
        <f t="shared" si="55"/>
        <v>0</v>
      </c>
      <c r="M90" s="309">
        <f t="shared" si="55"/>
        <v>0</v>
      </c>
      <c r="N90" s="309">
        <f t="shared" si="55"/>
        <v>0</v>
      </c>
      <c r="O90" s="309">
        <f t="shared" si="55"/>
        <v>0</v>
      </c>
      <c r="P90" s="309">
        <f t="shared" si="55"/>
        <v>0</v>
      </c>
      <c r="Q90" s="309">
        <f t="shared" si="55"/>
        <v>0</v>
      </c>
      <c r="R90" s="309">
        <f t="shared" si="55"/>
        <v>0</v>
      </c>
      <c r="S90" s="309">
        <f t="shared" si="55"/>
        <v>0</v>
      </c>
      <c r="T90" s="309">
        <f t="shared" si="55"/>
        <v>0</v>
      </c>
      <c r="U90" s="330">
        <f t="shared" si="53"/>
        <v>0</v>
      </c>
      <c r="V90" s="331"/>
      <c r="W90" s="196"/>
      <c r="X90" s="180"/>
      <c r="Y90" s="204"/>
      <c r="Z90" s="180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</row>
    <row r="91" spans="1:44" s="170" customFormat="1" ht="6.75" customHeight="1" thickTop="1">
      <c r="A91" s="1497"/>
      <c r="B91" s="1515"/>
      <c r="C91" s="866"/>
      <c r="D91" s="1502"/>
      <c r="E91" s="1498"/>
      <c r="F91" s="1506"/>
      <c r="G91" s="1506"/>
      <c r="H91" s="1507"/>
      <c r="I91" s="1508"/>
      <c r="J91" s="1508"/>
      <c r="K91" s="1509"/>
      <c r="L91" s="1508"/>
      <c r="M91" s="1508"/>
      <c r="N91" s="1510"/>
      <c r="O91" s="1510"/>
      <c r="P91" s="1511"/>
      <c r="Q91" s="333"/>
      <c r="R91" s="1460"/>
      <c r="S91" s="1460"/>
      <c r="T91" s="1460"/>
      <c r="U91" s="332"/>
      <c r="V91" s="331"/>
      <c r="W91" s="196"/>
      <c r="X91" s="180"/>
      <c r="Y91" s="204"/>
      <c r="Z91" s="180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</row>
    <row r="92" spans="1:44" s="170" customFormat="1">
      <c r="A92" s="1497">
        <v>6</v>
      </c>
      <c r="B92" s="2104" t="s">
        <v>540</v>
      </c>
      <c r="C92" s="2104"/>
      <c r="D92" s="1502"/>
      <c r="E92" s="1524" t="s">
        <v>309</v>
      </c>
      <c r="F92" s="1506"/>
      <c r="G92" s="1506"/>
      <c r="H92" s="1507"/>
      <c r="I92" s="1508"/>
      <c r="J92" s="1508"/>
      <c r="K92" s="1509"/>
      <c r="L92" s="1508"/>
      <c r="M92" s="1508"/>
      <c r="N92" s="1510"/>
      <c r="O92" s="1510"/>
      <c r="P92" s="1511"/>
      <c r="Q92" s="333"/>
      <c r="R92" s="1460"/>
      <c r="S92" s="1460"/>
      <c r="T92" s="1460"/>
      <c r="U92" s="332"/>
      <c r="V92" s="331"/>
      <c r="W92" s="196"/>
      <c r="X92" s="180"/>
      <c r="Y92" s="204"/>
      <c r="Z92" s="180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</row>
    <row r="93" spans="1:44" s="170" customFormat="1">
      <c r="A93" s="1497"/>
      <c r="B93" s="876" t="s">
        <v>544</v>
      </c>
      <c r="C93" s="1517"/>
      <c r="D93" s="1502"/>
      <c r="E93" s="329" t="str">
        <f t="shared" ref="E93:E101" si="56">IFERROR(L93/F93,"NA")</f>
        <v>NA</v>
      </c>
      <c r="F93" s="198"/>
      <c r="G93" s="307">
        <f t="shared" ref="G93:G101" si="57">F93*G$5</f>
        <v>0</v>
      </c>
      <c r="H93" s="316">
        <f>IFERROR(+G93/Rents!$K$56,0)</f>
        <v>0</v>
      </c>
      <c r="I93" s="317">
        <f t="shared" ref="I93:I102" si="58">IFERROR(+G93/$G$120,0)</f>
        <v>0</v>
      </c>
      <c r="J93" s="317"/>
      <c r="K93" s="380"/>
      <c r="L93" s="316">
        <f t="shared" ref="L93:L101" si="59">+F93-M93-N93-O93-T93</f>
        <v>0</v>
      </c>
      <c r="M93" s="205"/>
      <c r="N93" s="207"/>
      <c r="O93" s="207"/>
      <c r="P93" s="1528"/>
      <c r="Q93" s="326">
        <f t="shared" ref="Q93:Q101" si="60">+L93-R93</f>
        <v>0</v>
      </c>
      <c r="R93" s="323">
        <f t="shared" ref="R93:R101" si="61">K$5*L93</f>
        <v>0</v>
      </c>
      <c r="S93" s="860"/>
      <c r="T93" s="860"/>
      <c r="U93" s="330">
        <f t="shared" ref="U93:U102" si="62">+R93+Q93+P93+O93+N93+M93</f>
        <v>0</v>
      </c>
      <c r="V93" s="331"/>
      <c r="W93" s="196"/>
      <c r="X93" s="180"/>
      <c r="Y93" s="204"/>
      <c r="Z93" s="180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</row>
    <row r="94" spans="1:44" s="170" customFormat="1">
      <c r="A94" s="1497"/>
      <c r="B94" s="876" t="s">
        <v>541</v>
      </c>
      <c r="C94" s="1517"/>
      <c r="D94" s="1502"/>
      <c r="E94" s="329" t="str">
        <f t="shared" si="56"/>
        <v>NA</v>
      </c>
      <c r="F94" s="198"/>
      <c r="G94" s="307">
        <f t="shared" si="57"/>
        <v>0</v>
      </c>
      <c r="H94" s="316">
        <f>IFERROR(+G94/Rents!$K$56,0)</f>
        <v>0</v>
      </c>
      <c r="I94" s="317">
        <f t="shared" si="58"/>
        <v>0</v>
      </c>
      <c r="J94" s="317"/>
      <c r="K94" s="380"/>
      <c r="L94" s="316">
        <f t="shared" si="59"/>
        <v>0</v>
      </c>
      <c r="M94" s="205"/>
      <c r="N94" s="207"/>
      <c r="O94" s="207"/>
      <c r="P94" s="1528"/>
      <c r="Q94" s="326">
        <f t="shared" si="60"/>
        <v>0</v>
      </c>
      <c r="R94" s="323">
        <f t="shared" si="61"/>
        <v>0</v>
      </c>
      <c r="S94" s="860"/>
      <c r="T94" s="860"/>
      <c r="U94" s="330">
        <f t="shared" si="62"/>
        <v>0</v>
      </c>
      <c r="V94" s="331"/>
      <c r="W94" s="196"/>
      <c r="X94" s="180"/>
      <c r="Y94" s="204"/>
      <c r="Z94" s="180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</row>
    <row r="95" spans="1:44" s="170" customFormat="1">
      <c r="A95" s="1497"/>
      <c r="B95" s="876" t="s">
        <v>542</v>
      </c>
      <c r="C95" s="1517"/>
      <c r="D95" s="1502"/>
      <c r="E95" s="329" t="str">
        <f t="shared" si="56"/>
        <v>NA</v>
      </c>
      <c r="F95" s="198"/>
      <c r="G95" s="307">
        <f t="shared" si="57"/>
        <v>0</v>
      </c>
      <c r="H95" s="316">
        <f>IFERROR(+G95/Rents!$K$56,0)</f>
        <v>0</v>
      </c>
      <c r="I95" s="317">
        <f t="shared" si="58"/>
        <v>0</v>
      </c>
      <c r="J95" s="317"/>
      <c r="K95" s="380"/>
      <c r="L95" s="316">
        <f t="shared" si="59"/>
        <v>0</v>
      </c>
      <c r="M95" s="205"/>
      <c r="N95" s="207"/>
      <c r="O95" s="207"/>
      <c r="P95" s="1528"/>
      <c r="Q95" s="326">
        <f t="shared" si="60"/>
        <v>0</v>
      </c>
      <c r="R95" s="323">
        <f t="shared" si="61"/>
        <v>0</v>
      </c>
      <c r="S95" s="860"/>
      <c r="T95" s="860"/>
      <c r="U95" s="330">
        <f t="shared" si="62"/>
        <v>0</v>
      </c>
      <c r="V95" s="331"/>
      <c r="W95" s="196"/>
      <c r="X95" s="180"/>
      <c r="Y95" s="204"/>
      <c r="Z95" s="180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</row>
    <row r="96" spans="1:44" s="170" customFormat="1">
      <c r="A96" s="1497"/>
      <c r="B96" s="876" t="s">
        <v>543</v>
      </c>
      <c r="C96" s="1517"/>
      <c r="D96" s="1502"/>
      <c r="E96" s="329" t="str">
        <f t="shared" si="56"/>
        <v>NA</v>
      </c>
      <c r="F96" s="198"/>
      <c r="G96" s="307">
        <f t="shared" si="57"/>
        <v>0</v>
      </c>
      <c r="H96" s="316">
        <f>IFERROR(+G96/Rents!$K$56,0)</f>
        <v>0</v>
      </c>
      <c r="I96" s="317">
        <f t="shared" si="58"/>
        <v>0</v>
      </c>
      <c r="J96" s="317"/>
      <c r="K96" s="380"/>
      <c r="L96" s="316">
        <f t="shared" si="59"/>
        <v>0</v>
      </c>
      <c r="M96" s="205"/>
      <c r="N96" s="207"/>
      <c r="O96" s="207"/>
      <c r="P96" s="1528"/>
      <c r="Q96" s="326">
        <f t="shared" si="60"/>
        <v>0</v>
      </c>
      <c r="R96" s="323">
        <f t="shared" si="61"/>
        <v>0</v>
      </c>
      <c r="S96" s="860"/>
      <c r="T96" s="860"/>
      <c r="U96" s="330">
        <f t="shared" si="62"/>
        <v>0</v>
      </c>
      <c r="V96" s="331"/>
      <c r="W96" s="196"/>
      <c r="X96" s="180"/>
      <c r="Y96" s="204"/>
      <c r="Z96" s="180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</row>
    <row r="97" spans="1:44" s="170" customFormat="1">
      <c r="A97" s="1497"/>
      <c r="B97" s="1529" t="s">
        <v>311</v>
      </c>
      <c r="C97" s="1529"/>
      <c r="D97" s="1502"/>
      <c r="E97" s="329" t="str">
        <f t="shared" si="56"/>
        <v>NA</v>
      </c>
      <c r="F97" s="198"/>
      <c r="G97" s="307">
        <f t="shared" si="57"/>
        <v>0</v>
      </c>
      <c r="H97" s="316">
        <f>IFERROR(+G97/Rents!$K$56,0)</f>
        <v>0</v>
      </c>
      <c r="I97" s="317">
        <f t="shared" si="58"/>
        <v>0</v>
      </c>
      <c r="J97" s="317"/>
      <c r="K97" s="380"/>
      <c r="L97" s="316">
        <f t="shared" si="59"/>
        <v>0</v>
      </c>
      <c r="M97" s="205"/>
      <c r="N97" s="207"/>
      <c r="O97" s="207"/>
      <c r="P97" s="1528"/>
      <c r="Q97" s="326">
        <f t="shared" si="60"/>
        <v>0</v>
      </c>
      <c r="R97" s="323">
        <f t="shared" si="61"/>
        <v>0</v>
      </c>
      <c r="S97" s="860"/>
      <c r="T97" s="860"/>
      <c r="U97" s="330">
        <f t="shared" si="62"/>
        <v>0</v>
      </c>
      <c r="V97" s="331"/>
      <c r="W97" s="196"/>
      <c r="X97" s="180"/>
      <c r="Y97" s="204"/>
      <c r="Z97" s="180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</row>
    <row r="98" spans="1:44" s="170" customFormat="1">
      <c r="A98" s="1497"/>
      <c r="B98" s="1529" t="s">
        <v>390</v>
      </c>
      <c r="C98" s="1529"/>
      <c r="D98" s="1502"/>
      <c r="E98" s="329" t="str">
        <f t="shared" si="56"/>
        <v>NA</v>
      </c>
      <c r="F98" s="198"/>
      <c r="G98" s="307">
        <f t="shared" si="57"/>
        <v>0</v>
      </c>
      <c r="H98" s="316">
        <f>IFERROR(+G98/Rents!$K$56,0)</f>
        <v>0</v>
      </c>
      <c r="I98" s="317">
        <f t="shared" si="58"/>
        <v>0</v>
      </c>
      <c r="J98" s="317"/>
      <c r="K98" s="380"/>
      <c r="L98" s="316">
        <f t="shared" si="59"/>
        <v>0</v>
      </c>
      <c r="M98" s="205"/>
      <c r="N98" s="207"/>
      <c r="O98" s="207"/>
      <c r="P98" s="1528"/>
      <c r="Q98" s="326">
        <f t="shared" si="60"/>
        <v>0</v>
      </c>
      <c r="R98" s="323">
        <f t="shared" si="61"/>
        <v>0</v>
      </c>
      <c r="S98" s="860"/>
      <c r="T98" s="860"/>
      <c r="U98" s="330">
        <f t="shared" si="62"/>
        <v>0</v>
      </c>
      <c r="V98" s="331"/>
      <c r="W98" s="196"/>
      <c r="X98" s="180"/>
      <c r="Y98" s="204"/>
      <c r="Z98" s="180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</row>
    <row r="99" spans="1:44" s="170" customFormat="1">
      <c r="A99" s="1497"/>
      <c r="B99" s="1529" t="s">
        <v>293</v>
      </c>
      <c r="C99" s="1529"/>
      <c r="D99" s="1502"/>
      <c r="E99" s="329" t="str">
        <f t="shared" si="56"/>
        <v>NA</v>
      </c>
      <c r="F99" s="198"/>
      <c r="G99" s="307">
        <f t="shared" si="57"/>
        <v>0</v>
      </c>
      <c r="H99" s="316">
        <f>IFERROR(+G99/Rents!$K$56,0)</f>
        <v>0</v>
      </c>
      <c r="I99" s="317">
        <f t="shared" si="58"/>
        <v>0</v>
      </c>
      <c r="J99" s="317"/>
      <c r="K99" s="380"/>
      <c r="L99" s="316">
        <f t="shared" si="59"/>
        <v>0</v>
      </c>
      <c r="M99" s="205"/>
      <c r="N99" s="207"/>
      <c r="O99" s="207"/>
      <c r="P99" s="1528"/>
      <c r="Q99" s="326">
        <f t="shared" si="60"/>
        <v>0</v>
      </c>
      <c r="R99" s="323">
        <f t="shared" si="61"/>
        <v>0</v>
      </c>
      <c r="S99" s="860"/>
      <c r="T99" s="860"/>
      <c r="U99" s="330">
        <f t="shared" si="62"/>
        <v>0</v>
      </c>
      <c r="V99" s="331"/>
      <c r="W99" s="196"/>
      <c r="X99" s="180"/>
      <c r="Y99" s="204"/>
      <c r="Z99" s="180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</row>
    <row r="100" spans="1:44" s="170" customFormat="1">
      <c r="A100" s="1497"/>
      <c r="B100" s="1529" t="s">
        <v>313</v>
      </c>
      <c r="C100" s="1529"/>
      <c r="D100" s="1502"/>
      <c r="E100" s="329" t="str">
        <f t="shared" si="56"/>
        <v>NA</v>
      </c>
      <c r="F100" s="198"/>
      <c r="G100" s="307">
        <f t="shared" si="57"/>
        <v>0</v>
      </c>
      <c r="H100" s="316">
        <f>IFERROR(+G100/Rents!$K$56,0)</f>
        <v>0</v>
      </c>
      <c r="I100" s="317">
        <f t="shared" si="58"/>
        <v>0</v>
      </c>
      <c r="J100" s="317"/>
      <c r="K100" s="380"/>
      <c r="L100" s="316">
        <f t="shared" si="59"/>
        <v>0</v>
      </c>
      <c r="M100" s="205"/>
      <c r="N100" s="207"/>
      <c r="O100" s="207"/>
      <c r="P100" s="1528"/>
      <c r="Q100" s="326">
        <f t="shared" si="60"/>
        <v>0</v>
      </c>
      <c r="R100" s="323">
        <f t="shared" si="61"/>
        <v>0</v>
      </c>
      <c r="S100" s="860"/>
      <c r="T100" s="860"/>
      <c r="U100" s="330">
        <f t="shared" si="62"/>
        <v>0</v>
      </c>
      <c r="V100" s="331"/>
      <c r="W100" s="196"/>
      <c r="X100" s="180"/>
      <c r="Y100" s="204"/>
      <c r="Z100" s="180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</row>
    <row r="101" spans="1:44" s="170" customFormat="1">
      <c r="A101" s="1497"/>
      <c r="B101" s="1517" t="s">
        <v>348</v>
      </c>
      <c r="C101" s="2143"/>
      <c r="D101" s="2143"/>
      <c r="E101" s="329" t="str">
        <f t="shared" si="56"/>
        <v>NA</v>
      </c>
      <c r="F101" s="198"/>
      <c r="G101" s="307">
        <f t="shared" si="57"/>
        <v>0</v>
      </c>
      <c r="H101" s="316">
        <f>IFERROR(+G101/Rents!$K$56,0)</f>
        <v>0</v>
      </c>
      <c r="I101" s="317">
        <f t="shared" si="58"/>
        <v>0</v>
      </c>
      <c r="J101" s="317"/>
      <c r="K101" s="380"/>
      <c r="L101" s="316">
        <f t="shared" si="59"/>
        <v>0</v>
      </c>
      <c r="M101" s="205"/>
      <c r="N101" s="207"/>
      <c r="O101" s="207"/>
      <c r="P101" s="1528"/>
      <c r="Q101" s="326">
        <f t="shared" si="60"/>
        <v>0</v>
      </c>
      <c r="R101" s="323">
        <f t="shared" si="61"/>
        <v>0</v>
      </c>
      <c r="S101" s="860"/>
      <c r="T101" s="860"/>
      <c r="U101" s="330">
        <f t="shared" si="62"/>
        <v>0</v>
      </c>
      <c r="V101" s="331"/>
      <c r="W101" s="196"/>
      <c r="X101" s="180"/>
      <c r="Y101" s="204"/>
      <c r="Z101" s="180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</row>
    <row r="102" spans="1:44" s="170" customFormat="1" ht="16.5" thickBot="1">
      <c r="A102" s="1497"/>
      <c r="B102" s="2142" t="s">
        <v>294</v>
      </c>
      <c r="C102" s="2142"/>
      <c r="D102" s="1502"/>
      <c r="E102" s="1498"/>
      <c r="F102" s="309">
        <f>SUM(F93:F101)</f>
        <v>0</v>
      </c>
      <c r="G102" s="309">
        <f>SUM(G93:G101)</f>
        <v>0</v>
      </c>
      <c r="H102" s="309">
        <f>IFERROR(+G102/Rents!$K$56,0)</f>
        <v>0</v>
      </c>
      <c r="I102" s="318">
        <f t="shared" si="58"/>
        <v>0</v>
      </c>
      <c r="J102" s="310">
        <f t="shared" ref="J102:K102" si="63">SUM(J93:J101)</f>
        <v>0</v>
      </c>
      <c r="K102" s="382">
        <f t="shared" si="63"/>
        <v>0</v>
      </c>
      <c r="L102" s="325">
        <f>SUM(L93:L101)</f>
        <v>0</v>
      </c>
      <c r="M102" s="325">
        <f t="shared" ref="M102:T102" si="64">SUM(M93:M101)</f>
        <v>0</v>
      </c>
      <c r="N102" s="325">
        <f t="shared" si="64"/>
        <v>0</v>
      </c>
      <c r="O102" s="325">
        <f t="shared" si="64"/>
        <v>0</v>
      </c>
      <c r="P102" s="325">
        <f t="shared" si="64"/>
        <v>0</v>
      </c>
      <c r="Q102" s="325">
        <f t="shared" si="64"/>
        <v>0</v>
      </c>
      <c r="R102" s="325">
        <f t="shared" si="64"/>
        <v>0</v>
      </c>
      <c r="S102" s="325">
        <f t="shared" si="64"/>
        <v>0</v>
      </c>
      <c r="T102" s="325">
        <f t="shared" si="64"/>
        <v>0</v>
      </c>
      <c r="U102" s="330">
        <f t="shared" si="62"/>
        <v>0</v>
      </c>
      <c r="V102" s="331"/>
      <c r="W102" s="196"/>
      <c r="X102" s="180"/>
      <c r="Y102" s="204"/>
      <c r="Z102" s="180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</row>
    <row r="103" spans="1:44" s="170" customFormat="1" ht="6" customHeight="1" thickTop="1">
      <c r="A103" s="1497"/>
      <c r="B103" s="2145"/>
      <c r="C103" s="2145"/>
      <c r="D103" s="1502"/>
      <c r="E103" s="1498"/>
      <c r="F103" s="1506"/>
      <c r="G103" s="1506"/>
      <c r="H103" s="1507"/>
      <c r="I103" s="1508"/>
      <c r="J103" s="1508"/>
      <c r="K103" s="1509"/>
      <c r="L103" s="1508"/>
      <c r="M103" s="1508"/>
      <c r="N103" s="1510"/>
      <c r="O103" s="1510"/>
      <c r="P103" s="1511"/>
      <c r="Q103" s="333"/>
      <c r="R103" s="1460"/>
      <c r="S103" s="1460"/>
      <c r="T103" s="1460"/>
      <c r="U103" s="332"/>
      <c r="V103" s="331"/>
      <c r="W103" s="196"/>
      <c r="X103" s="180"/>
      <c r="Y103" s="204"/>
      <c r="Z103" s="180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</row>
    <row r="104" spans="1:44" s="170" customFormat="1" ht="3.75" customHeight="1">
      <c r="A104" s="1497"/>
      <c r="B104" s="2145"/>
      <c r="C104" s="2145"/>
      <c r="D104" s="1502"/>
      <c r="E104" s="1498"/>
      <c r="F104" s="1506"/>
      <c r="G104" s="1506"/>
      <c r="H104" s="1507"/>
      <c r="I104" s="1508"/>
      <c r="J104" s="1508"/>
      <c r="K104" s="1509"/>
      <c r="L104" s="1507"/>
      <c r="M104" s="1507"/>
      <c r="N104" s="1507"/>
      <c r="O104" s="1507"/>
      <c r="P104" s="1530"/>
      <c r="Q104" s="333"/>
      <c r="R104" s="1460"/>
      <c r="S104" s="1460"/>
      <c r="T104" s="1460"/>
      <c r="U104" s="332"/>
      <c r="V104" s="331"/>
      <c r="W104" s="196"/>
      <c r="X104" s="180"/>
      <c r="Y104" s="204"/>
      <c r="Z104" s="180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</row>
    <row r="105" spans="1:44" s="170" customFormat="1" ht="15.75" customHeight="1">
      <c r="A105" s="1497">
        <v>7</v>
      </c>
      <c r="B105" s="2104" t="s">
        <v>295</v>
      </c>
      <c r="C105" s="2104"/>
      <c r="D105" s="1502"/>
      <c r="E105" s="1498"/>
      <c r="F105" s="1506"/>
      <c r="G105" s="1506"/>
      <c r="H105" s="1507"/>
      <c r="I105" s="1508"/>
      <c r="J105" s="1508"/>
      <c r="K105" s="1509"/>
      <c r="L105" s="1507"/>
      <c r="M105" s="1507"/>
      <c r="N105" s="1507"/>
      <c r="O105" s="1507"/>
      <c r="P105" s="1530"/>
      <c r="Q105" s="333"/>
      <c r="R105" s="1460"/>
      <c r="S105" s="1460"/>
      <c r="T105" s="1460"/>
      <c r="U105" s="332"/>
      <c r="V105" s="331"/>
      <c r="W105" s="196"/>
      <c r="X105" s="180"/>
      <c r="Y105" s="204"/>
      <c r="Z105" s="180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</row>
    <row r="106" spans="1:44" s="170" customFormat="1" ht="15.75" customHeight="1">
      <c r="A106" s="1497"/>
      <c r="B106" s="2140" t="s">
        <v>296</v>
      </c>
      <c r="C106" s="2140"/>
      <c r="D106" s="1502"/>
      <c r="E106" s="1498"/>
      <c r="F106" s="198"/>
      <c r="G106" s="307">
        <f t="shared" ref="G106:G111" si="65">F106*G$5</f>
        <v>0</v>
      </c>
      <c r="H106" s="316">
        <f>IFERROR(+G106/Rents!$K$56,0)</f>
        <v>0</v>
      </c>
      <c r="I106" s="317">
        <f t="shared" ref="I106:I112" si="66">IFERROR(+G106/$G$120,0)</f>
        <v>0</v>
      </c>
      <c r="J106" s="317"/>
      <c r="K106" s="380"/>
      <c r="L106" s="1501"/>
      <c r="M106" s="316">
        <f>+F106-N106</f>
        <v>0</v>
      </c>
      <c r="N106" s="1528"/>
      <c r="O106" s="1528"/>
      <c r="P106" s="1528"/>
      <c r="Q106" s="1500"/>
      <c r="R106" s="324"/>
      <c r="S106" s="324"/>
      <c r="T106" s="324"/>
      <c r="U106" s="330">
        <f t="shared" ref="U106:U112" si="67">+R106+Q106+P106+O106+N106+M106</f>
        <v>0</v>
      </c>
      <c r="V106" s="331"/>
      <c r="W106" s="196"/>
      <c r="X106" s="180"/>
      <c r="Y106" s="204"/>
      <c r="Z106" s="180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</row>
    <row r="107" spans="1:44" s="170" customFormat="1" ht="15.75" customHeight="1">
      <c r="A107" s="1497"/>
      <c r="B107" s="2140" t="s">
        <v>303</v>
      </c>
      <c r="C107" s="2140"/>
      <c r="D107" s="1502"/>
      <c r="E107" s="1498"/>
      <c r="F107" s="198"/>
      <c r="G107" s="307">
        <f t="shared" si="65"/>
        <v>0</v>
      </c>
      <c r="H107" s="316">
        <f>IFERROR(+G107/Rents!$K$56,0)</f>
        <v>0</v>
      </c>
      <c r="I107" s="317">
        <f t="shared" si="66"/>
        <v>0</v>
      </c>
      <c r="J107" s="317"/>
      <c r="K107" s="380"/>
      <c r="L107" s="1501"/>
      <c r="M107" s="316">
        <f>+F107-N107</f>
        <v>0</v>
      </c>
      <c r="N107" s="1528"/>
      <c r="O107" s="1528"/>
      <c r="P107" s="1528"/>
      <c r="Q107" s="1500"/>
      <c r="R107" s="324"/>
      <c r="S107" s="324"/>
      <c r="T107" s="324"/>
      <c r="U107" s="330">
        <f t="shared" si="67"/>
        <v>0</v>
      </c>
      <c r="V107" s="331"/>
      <c r="W107" s="196"/>
      <c r="X107" s="180"/>
      <c r="Y107" s="204"/>
      <c r="Z107" s="180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</row>
    <row r="108" spans="1:44" s="170" customFormat="1" ht="15.75" customHeight="1">
      <c r="A108" s="1497"/>
      <c r="B108" s="2140" t="s">
        <v>639</v>
      </c>
      <c r="C108" s="2140"/>
      <c r="D108" s="1502"/>
      <c r="E108" s="1498"/>
      <c r="F108" s="198"/>
      <c r="G108" s="307">
        <f t="shared" si="65"/>
        <v>0</v>
      </c>
      <c r="H108" s="316">
        <f>IFERROR(+G108/Rents!$K$56,0)</f>
        <v>0</v>
      </c>
      <c r="I108" s="317">
        <f t="shared" si="66"/>
        <v>0</v>
      </c>
      <c r="J108" s="317"/>
      <c r="K108" s="380"/>
      <c r="L108" s="1501"/>
      <c r="M108" s="316">
        <f>+F108-N108</f>
        <v>0</v>
      </c>
      <c r="N108" s="1528"/>
      <c r="O108" s="1528"/>
      <c r="P108" s="1528"/>
      <c r="Q108" s="1500"/>
      <c r="R108" s="324"/>
      <c r="S108" s="324"/>
      <c r="T108" s="324"/>
      <c r="U108" s="330">
        <f t="shared" si="67"/>
        <v>0</v>
      </c>
      <c r="V108" s="331"/>
      <c r="W108" s="196"/>
      <c r="X108" s="180"/>
      <c r="Y108" s="204"/>
      <c r="Z108" s="180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</row>
    <row r="109" spans="1:44" s="170" customFormat="1" ht="15.75" customHeight="1">
      <c r="A109" s="1497"/>
      <c r="B109" s="2140" t="s">
        <v>297</v>
      </c>
      <c r="C109" s="2140"/>
      <c r="D109" s="1502"/>
      <c r="E109" s="1498"/>
      <c r="F109" s="198"/>
      <c r="G109" s="307">
        <f t="shared" si="65"/>
        <v>0</v>
      </c>
      <c r="H109" s="316">
        <f>IFERROR(+G109/Rents!$K$56,0)</f>
        <v>0</v>
      </c>
      <c r="I109" s="317">
        <f t="shared" si="66"/>
        <v>0</v>
      </c>
      <c r="J109" s="317"/>
      <c r="K109" s="380"/>
      <c r="L109" s="1501"/>
      <c r="M109" s="316">
        <f>+F109-N109</f>
        <v>0</v>
      </c>
      <c r="N109" s="1528"/>
      <c r="O109" s="1528"/>
      <c r="P109" s="1528"/>
      <c r="Q109" s="1500"/>
      <c r="R109" s="324"/>
      <c r="S109" s="324"/>
      <c r="T109" s="324"/>
      <c r="U109" s="330">
        <f t="shared" si="67"/>
        <v>0</v>
      </c>
      <c r="V109" s="331"/>
      <c r="W109" s="196"/>
      <c r="X109" s="180"/>
      <c r="Y109" s="204"/>
      <c r="Z109" s="180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</row>
    <row r="110" spans="1:44" s="170" customFormat="1" ht="15.75" customHeight="1">
      <c r="A110" s="1497"/>
      <c r="B110" s="2140" t="s">
        <v>314</v>
      </c>
      <c r="C110" s="2140"/>
      <c r="D110" s="1502"/>
      <c r="E110" s="1498"/>
      <c r="F110" s="198"/>
      <c r="G110" s="307">
        <f t="shared" si="65"/>
        <v>0</v>
      </c>
      <c r="H110" s="316">
        <f>IFERROR(+G110/Rents!$K$56,0)</f>
        <v>0</v>
      </c>
      <c r="I110" s="317">
        <f t="shared" si="66"/>
        <v>0</v>
      </c>
      <c r="J110" s="317"/>
      <c r="K110" s="380"/>
      <c r="L110" s="1501"/>
      <c r="M110" s="316">
        <f>+F110-N110</f>
        <v>0</v>
      </c>
      <c r="N110" s="1528"/>
      <c r="O110" s="1528"/>
      <c r="P110" s="1528"/>
      <c r="Q110" s="1500"/>
      <c r="R110" s="324"/>
      <c r="S110" s="324"/>
      <c r="T110" s="324"/>
      <c r="U110" s="330">
        <f t="shared" si="67"/>
        <v>0</v>
      </c>
      <c r="V110" s="331"/>
      <c r="W110" s="196"/>
      <c r="X110" s="180"/>
      <c r="Y110" s="204"/>
      <c r="Z110" s="180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</row>
    <row r="111" spans="1:44" s="170" customFormat="1" ht="15.75" customHeight="1">
      <c r="A111" s="1497"/>
      <c r="B111" s="2140" t="s">
        <v>304</v>
      </c>
      <c r="C111" s="2140"/>
      <c r="D111" s="817"/>
      <c r="E111" s="922"/>
      <c r="F111" s="198"/>
      <c r="G111" s="307">
        <f t="shared" si="65"/>
        <v>0</v>
      </c>
      <c r="H111" s="316">
        <f>IFERROR(+G111/Rents!$K$56,0)</f>
        <v>0</v>
      </c>
      <c r="I111" s="317">
        <f t="shared" si="66"/>
        <v>0</v>
      </c>
      <c r="J111" s="317"/>
      <c r="K111" s="380"/>
      <c r="L111" s="198"/>
      <c r="M111" s="316">
        <f>+F111-N111-L111</f>
        <v>0</v>
      </c>
      <c r="N111" s="1528"/>
      <c r="O111" s="1528"/>
      <c r="P111" s="1528"/>
      <c r="Q111" s="210"/>
      <c r="R111" s="860"/>
      <c r="S111" s="860"/>
      <c r="T111" s="860"/>
      <c r="U111" s="330">
        <f t="shared" si="67"/>
        <v>0</v>
      </c>
      <c r="V111" s="331"/>
      <c r="W111" s="196"/>
      <c r="X111" s="180"/>
      <c r="Y111" s="204"/>
      <c r="Z111" s="180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</row>
    <row r="112" spans="1:44" s="170" customFormat="1" ht="15.75" customHeight="1" thickBot="1">
      <c r="A112" s="1497"/>
      <c r="B112" s="2142" t="s">
        <v>299</v>
      </c>
      <c r="C112" s="2142"/>
      <c r="D112" s="1502"/>
      <c r="E112" s="1498"/>
      <c r="F112" s="309">
        <f>SUM(F106:F111)</f>
        <v>0</v>
      </c>
      <c r="G112" s="309">
        <f>SUM(G106:G111)</f>
        <v>0</v>
      </c>
      <c r="H112" s="309">
        <f>IFERROR(+G112/Rents!$K$56,0)</f>
        <v>0</v>
      </c>
      <c r="I112" s="318">
        <f t="shared" si="66"/>
        <v>0</v>
      </c>
      <c r="J112" s="309">
        <f t="shared" ref="J112:K112" si="68">SUM(J106:J111)</f>
        <v>0</v>
      </c>
      <c r="K112" s="382">
        <f t="shared" si="68"/>
        <v>0</v>
      </c>
      <c r="L112" s="309">
        <f>SUM(L106:L111)</f>
        <v>0</v>
      </c>
      <c r="M112" s="309">
        <f>SUM(M106:M111)</f>
        <v>0</v>
      </c>
      <c r="N112" s="309">
        <f>SUM(N106:N111)</f>
        <v>0</v>
      </c>
      <c r="O112" s="309">
        <f t="shared" ref="O112:R112" si="69">SUM(O106:O111)</f>
        <v>0</v>
      </c>
      <c r="P112" s="309">
        <f t="shared" si="69"/>
        <v>0</v>
      </c>
      <c r="Q112" s="309">
        <f t="shared" si="69"/>
        <v>0</v>
      </c>
      <c r="R112" s="309">
        <f t="shared" si="69"/>
        <v>0</v>
      </c>
      <c r="S112" s="309">
        <f t="shared" ref="S112:T112" si="70">SUM(S106:S111)</f>
        <v>0</v>
      </c>
      <c r="T112" s="309">
        <f t="shared" si="70"/>
        <v>0</v>
      </c>
      <c r="U112" s="330">
        <f t="shared" si="67"/>
        <v>0</v>
      </c>
      <c r="V112" s="331"/>
      <c r="W112" s="196"/>
      <c r="X112" s="180"/>
      <c r="Y112" s="204"/>
      <c r="Z112" s="180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</row>
    <row r="113" spans="1:44" s="170" customFormat="1" ht="3" customHeight="1" thickTop="1">
      <c r="A113" s="1497"/>
      <c r="B113" s="2145"/>
      <c r="C113" s="2145"/>
      <c r="D113" s="1502"/>
      <c r="E113" s="1498"/>
      <c r="F113" s="1506"/>
      <c r="G113" s="1506"/>
      <c r="H113" s="1507"/>
      <c r="I113" s="1508"/>
      <c r="J113" s="1508"/>
      <c r="K113" s="1509"/>
      <c r="L113" s="1508"/>
      <c r="M113" s="1508"/>
      <c r="N113" s="1510"/>
      <c r="O113" s="1510"/>
      <c r="P113" s="1511"/>
      <c r="Q113" s="333"/>
      <c r="R113" s="1460"/>
      <c r="S113" s="1460"/>
      <c r="T113" s="1460"/>
      <c r="U113" s="332"/>
      <c r="V113" s="331"/>
      <c r="W113" s="196"/>
      <c r="X113" s="180"/>
      <c r="Y113" s="204"/>
      <c r="Z113" s="180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</row>
    <row r="114" spans="1:44" s="170" customFormat="1" ht="3" customHeight="1">
      <c r="A114" s="1497"/>
      <c r="B114" s="1515"/>
      <c r="C114" s="866"/>
      <c r="D114" s="1502"/>
      <c r="E114" s="1498"/>
      <c r="F114" s="1506"/>
      <c r="G114" s="1506"/>
      <c r="H114" s="1507"/>
      <c r="I114" s="1508"/>
      <c r="J114" s="1508"/>
      <c r="K114" s="1509"/>
      <c r="L114" s="1508"/>
      <c r="M114" s="1508"/>
      <c r="N114" s="1506"/>
      <c r="O114" s="1506"/>
      <c r="P114" s="1506"/>
      <c r="Q114" s="333"/>
      <c r="R114" s="1460"/>
      <c r="S114" s="1460"/>
      <c r="T114" s="1460"/>
      <c r="U114" s="332"/>
      <c r="V114" s="331"/>
      <c r="W114" s="196"/>
      <c r="X114" s="180"/>
      <c r="Y114" s="204"/>
      <c r="Z114" s="180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</row>
    <row r="115" spans="1:44" s="170" customFormat="1" ht="15.75" customHeight="1">
      <c r="A115" s="1497">
        <v>8</v>
      </c>
      <c r="B115" s="2104" t="s">
        <v>566</v>
      </c>
      <c r="C115" s="2104"/>
      <c r="D115" s="1502"/>
      <c r="E115" s="1498"/>
      <c r="F115" s="1506"/>
      <c r="G115" s="1506"/>
      <c r="H115" s="1507"/>
      <c r="I115" s="1508"/>
      <c r="J115" s="1508"/>
      <c r="K115" s="1509"/>
      <c r="L115" s="1508"/>
      <c r="M115" s="1508"/>
      <c r="N115" s="1506"/>
      <c r="O115" s="1506"/>
      <c r="P115" s="1506"/>
      <c r="Q115" s="333"/>
      <c r="R115" s="1460"/>
      <c r="S115" s="1460"/>
      <c r="T115" s="1460"/>
      <c r="U115" s="332"/>
      <c r="V115" s="331"/>
      <c r="W115" s="196"/>
      <c r="X115" s="180"/>
      <c r="Y115" s="204"/>
      <c r="Z115" s="180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</row>
    <row r="116" spans="1:44" s="170" customFormat="1" ht="15.75" customHeight="1">
      <c r="A116" s="1497"/>
      <c r="B116" s="2140" t="s">
        <v>357</v>
      </c>
      <c r="C116" s="2140"/>
      <c r="D116" s="1502"/>
      <c r="E116" s="1498"/>
      <c r="F116" s="198"/>
      <c r="G116" s="198">
        <f t="shared" ref="G116:G118" si="71">F116*G$5</f>
        <v>0</v>
      </c>
      <c r="H116" s="316">
        <f>IFERROR(+G116/Rents!$K$56,0)</f>
        <v>0</v>
      </c>
      <c r="I116" s="317">
        <f t="shared" ref="I116:I120" si="72">IFERROR(+G116/$G$120,0)</f>
        <v>0</v>
      </c>
      <c r="J116" s="317"/>
      <c r="K116" s="380">
        <f t="shared" ref="K116:K118" si="73">F116-G116-J116</f>
        <v>0</v>
      </c>
      <c r="L116" s="316">
        <f>+F116-M116-N116-O116-T116</f>
        <v>0</v>
      </c>
      <c r="M116" s="211">
        <v>0</v>
      </c>
      <c r="N116" s="207"/>
      <c r="O116" s="207"/>
      <c r="P116" s="198">
        <v>0</v>
      </c>
      <c r="Q116" s="326">
        <f>+L116-P116</f>
        <v>0</v>
      </c>
      <c r="R116" s="1531"/>
      <c r="S116" s="1531"/>
      <c r="T116" s="1531"/>
      <c r="U116" s="330">
        <f t="shared" ref="U116:U119" si="74">+R116+Q116+P116+O116+N116+M116</f>
        <v>0</v>
      </c>
      <c r="V116" s="331"/>
      <c r="W116" s="196"/>
      <c r="X116" s="180"/>
      <c r="Y116" s="204"/>
      <c r="Z116" s="180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</row>
    <row r="117" spans="1:44" s="170" customFormat="1" ht="15.75" customHeight="1">
      <c r="A117" s="1497"/>
      <c r="B117" s="2140" t="s">
        <v>300</v>
      </c>
      <c r="C117" s="2140"/>
      <c r="D117" s="1502"/>
      <c r="E117" s="1498"/>
      <c r="F117" s="198"/>
      <c r="G117" s="198">
        <f t="shared" si="71"/>
        <v>0</v>
      </c>
      <c r="H117" s="316">
        <f>IFERROR(+G117/Rents!$K$56,0)</f>
        <v>0</v>
      </c>
      <c r="I117" s="317">
        <f t="shared" si="72"/>
        <v>0</v>
      </c>
      <c r="J117" s="317"/>
      <c r="K117" s="380">
        <f t="shared" si="73"/>
        <v>0</v>
      </c>
      <c r="L117" s="316">
        <f>+F117-M117-N117-O117-T117</f>
        <v>0</v>
      </c>
      <c r="M117" s="205"/>
      <c r="N117" s="207"/>
      <c r="O117" s="207"/>
      <c r="P117" s="316"/>
      <c r="Q117" s="322"/>
      <c r="R117" s="1531"/>
      <c r="S117" s="1531"/>
      <c r="T117" s="1531"/>
      <c r="U117" s="330">
        <f t="shared" si="74"/>
        <v>0</v>
      </c>
      <c r="V117" s="331"/>
      <c r="W117" s="196"/>
      <c r="X117" s="180"/>
      <c r="Y117" s="204"/>
      <c r="Z117" s="180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</row>
    <row r="118" spans="1:44" s="170" customFormat="1" ht="15.75" customHeight="1">
      <c r="A118" s="1497"/>
      <c r="B118" s="2140" t="s">
        <v>304</v>
      </c>
      <c r="C118" s="2140"/>
      <c r="D118" s="817"/>
      <c r="E118" s="1498"/>
      <c r="F118" s="198"/>
      <c r="G118" s="198">
        <f t="shared" si="71"/>
        <v>0</v>
      </c>
      <c r="H118" s="316">
        <f>IFERROR(+G118/Rents!$K$56,0)</f>
        <v>0</v>
      </c>
      <c r="I118" s="317">
        <f t="shared" si="72"/>
        <v>0</v>
      </c>
      <c r="J118" s="317"/>
      <c r="K118" s="380">
        <f t="shared" si="73"/>
        <v>0</v>
      </c>
      <c r="L118" s="316">
        <f>+F118-M118-N118-O118-T118</f>
        <v>0</v>
      </c>
      <c r="M118" s="205"/>
      <c r="N118" s="207"/>
      <c r="O118" s="207"/>
      <c r="P118" s="316"/>
      <c r="Q118" s="322"/>
      <c r="R118" s="1531"/>
      <c r="S118" s="1531"/>
      <c r="T118" s="1531"/>
      <c r="U118" s="330">
        <f t="shared" si="74"/>
        <v>0</v>
      </c>
      <c r="V118" s="331"/>
      <c r="W118" s="196"/>
      <c r="X118" s="180"/>
      <c r="Y118" s="204"/>
      <c r="Z118" s="180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</row>
    <row r="119" spans="1:44" s="170" customFormat="1" ht="15.75" customHeight="1">
      <c r="A119" s="1497"/>
      <c r="B119" s="2142" t="s">
        <v>301</v>
      </c>
      <c r="C119" s="2142"/>
      <c r="D119" s="1502"/>
      <c r="E119" s="1498"/>
      <c r="F119" s="311">
        <f>SUM(F116:F118)</f>
        <v>0</v>
      </c>
      <c r="G119" s="311">
        <f>SUM(G116:G118)</f>
        <v>0</v>
      </c>
      <c r="H119" s="311">
        <f>IFERROR(+G119/Rents!$K$56,0)</f>
        <v>0</v>
      </c>
      <c r="I119" s="334">
        <f t="shared" si="72"/>
        <v>0</v>
      </c>
      <c r="J119" s="311">
        <f t="shared" ref="J119:K119" si="75">SUM(J116:J118)</f>
        <v>0</v>
      </c>
      <c r="K119" s="383">
        <f t="shared" si="75"/>
        <v>0</v>
      </c>
      <c r="L119" s="335">
        <f>SUM(L116:L118)</f>
        <v>0</v>
      </c>
      <c r="M119" s="335">
        <f t="shared" ref="M119:R119" si="76">SUM(M116:M118)</f>
        <v>0</v>
      </c>
      <c r="N119" s="335">
        <f t="shared" si="76"/>
        <v>0</v>
      </c>
      <c r="O119" s="335">
        <f t="shared" si="76"/>
        <v>0</v>
      </c>
      <c r="P119" s="335">
        <f t="shared" si="76"/>
        <v>0</v>
      </c>
      <c r="Q119" s="335">
        <f t="shared" si="76"/>
        <v>0</v>
      </c>
      <c r="R119" s="335">
        <f t="shared" si="76"/>
        <v>0</v>
      </c>
      <c r="S119" s="335">
        <f t="shared" ref="S119" si="77">SUM(S116:S118)</f>
        <v>0</v>
      </c>
      <c r="T119" s="335">
        <f>SUM(T116:T118)</f>
        <v>0</v>
      </c>
      <c r="U119" s="330">
        <f t="shared" si="74"/>
        <v>0</v>
      </c>
      <c r="V119"/>
      <c r="W119" s="196"/>
      <c r="X119" s="180"/>
      <c r="Y119" s="204"/>
      <c r="Z119" s="180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</row>
    <row r="120" spans="1:44" s="170" customFormat="1" ht="18" customHeight="1" thickBot="1">
      <c r="A120" s="1497"/>
      <c r="B120" s="2146" t="s">
        <v>302</v>
      </c>
      <c r="C120" s="2146"/>
      <c r="D120" s="1502"/>
      <c r="E120" s="1498"/>
      <c r="F120" s="312">
        <f t="shared" ref="F120:G120" si="78">+F119+F112+F102+F90+F68+F40+F27+F21</f>
        <v>0</v>
      </c>
      <c r="G120" s="312">
        <f t="shared" si="78"/>
        <v>0</v>
      </c>
      <c r="H120" s="312">
        <f>IFERROR(+G120/Rents!$K$56,0)</f>
        <v>0</v>
      </c>
      <c r="I120" s="402">
        <f t="shared" si="72"/>
        <v>0</v>
      </c>
      <c r="J120" s="312">
        <f t="shared" ref="J120:K120" si="79">+J119+J112+J102+J90+J68+J40+J27+J21</f>
        <v>0</v>
      </c>
      <c r="K120" s="312">
        <f t="shared" si="79"/>
        <v>0</v>
      </c>
      <c r="L120" s="312">
        <f>IFERROR(+L119+L112+L102+L90+L68+L40+L27+L21,0)</f>
        <v>0</v>
      </c>
      <c r="M120" s="312">
        <f>IFERROR(+M119+M112+M102+M90+M68+M40+M27+M21,0)</f>
        <v>0</v>
      </c>
      <c r="N120" s="312">
        <f t="shared" ref="N120:T120" si="80">+N119+N112+N102+N90+N68+N40+N27+N21</f>
        <v>0</v>
      </c>
      <c r="O120" s="312">
        <f t="shared" si="80"/>
        <v>0</v>
      </c>
      <c r="P120" s="312">
        <f t="shared" si="80"/>
        <v>0</v>
      </c>
      <c r="Q120" s="312">
        <f t="shared" si="80"/>
        <v>0</v>
      </c>
      <c r="R120" s="312">
        <f t="shared" si="80"/>
        <v>0</v>
      </c>
      <c r="S120" s="312">
        <f t="shared" si="80"/>
        <v>0</v>
      </c>
      <c r="T120" s="312">
        <f t="shared" si="80"/>
        <v>0</v>
      </c>
      <c r="U120" s="330">
        <f>IFERROR(+R120+Q120+P120+O120+N120+M120,0)</f>
        <v>0</v>
      </c>
      <c r="V120"/>
      <c r="W120" s="196"/>
      <c r="X120" s="180"/>
      <c r="Y120" s="204"/>
      <c r="Z120" s="180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</row>
    <row r="121" spans="1:44" s="170" customFormat="1" ht="18.75" customHeight="1" thickTop="1" thickBot="1">
      <c r="A121" s="1497"/>
      <c r="B121" s="2145"/>
      <c r="C121" s="2145"/>
      <c r="D121" s="1532" t="s">
        <v>437</v>
      </c>
      <c r="E121" s="1533"/>
      <c r="F121" s="313">
        <f>'TC Analysis'!K26</f>
        <v>0</v>
      </c>
      <c r="G121" s="378"/>
      <c r="H121" s="1507"/>
      <c r="I121" s="1510"/>
      <c r="J121" s="1510"/>
      <c r="K121" s="1510"/>
      <c r="L121" s="1510"/>
      <c r="M121" s="1510"/>
      <c r="N121" s="1510"/>
      <c r="O121" s="1510"/>
      <c r="P121" s="922"/>
      <c r="Q121" s="922"/>
      <c r="R121" s="1460"/>
      <c r="S121" s="1512"/>
      <c r="T121" s="1512"/>
      <c r="U121" s="312">
        <f>IFERROR(U$21+U$119+U$112+U$102+U$90+U$68+U$40+U$27,0)</f>
        <v>0</v>
      </c>
      <c r="V121"/>
      <c r="W121" s="196"/>
      <c r="X121" s="180"/>
      <c r="Y121" s="204"/>
      <c r="Z121" s="180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</row>
    <row r="122" spans="1:44" s="170" customFormat="1" ht="16.5" thickTop="1">
      <c r="A122" s="1497"/>
      <c r="B122" s="1505"/>
      <c r="C122" s="1532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1460"/>
      <c r="S122" s="1512"/>
      <c r="T122" s="1512"/>
      <c r="U122" s="332"/>
      <c r="V122" s="179"/>
      <c r="W122" s="196"/>
      <c r="X122" s="180"/>
      <c r="Y122" s="204"/>
      <c r="Z122" s="180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</row>
    <row r="123" spans="1:44" s="219" customFormat="1">
      <c r="B123" s="213"/>
      <c r="C123" s="195"/>
      <c r="D123" s="212"/>
      <c r="E123" s="199"/>
      <c r="F123" s="214"/>
      <c r="G123" s="214"/>
      <c r="H123" s="212"/>
      <c r="I123" s="202"/>
      <c r="J123" s="202"/>
      <c r="K123" s="202"/>
      <c r="L123" s="203"/>
      <c r="M123" s="203"/>
      <c r="N123" s="203"/>
      <c r="O123" s="203"/>
      <c r="P123" s="203"/>
      <c r="Q123" s="203"/>
      <c r="R123" s="215"/>
      <c r="S123" s="215"/>
      <c r="T123" s="215"/>
      <c r="U123" s="189"/>
      <c r="V123" s="216"/>
      <c r="W123" s="217"/>
      <c r="X123" s="218"/>
      <c r="Y123" s="218"/>
      <c r="Z123" s="203"/>
      <c r="AA123" s="218"/>
    </row>
    <row r="124" spans="1:44" s="219" customFormat="1" ht="18.75" customHeight="1">
      <c r="B124" s="213"/>
      <c r="C124" s="195"/>
      <c r="D124" s="212"/>
      <c r="E124" s="199"/>
      <c r="F124" s="214"/>
      <c r="G124" s="214"/>
      <c r="H124" s="212"/>
      <c r="I124" s="202"/>
      <c r="J124" s="202"/>
      <c r="K124" s="202"/>
      <c r="L124" s="203"/>
      <c r="M124" s="203"/>
      <c r="N124" s="203"/>
      <c r="O124" s="203"/>
      <c r="P124" s="203"/>
      <c r="Q124" s="203"/>
      <c r="R124" s="215"/>
      <c r="S124" s="215"/>
      <c r="T124" s="215"/>
      <c r="U124" s="189"/>
      <c r="V124" s="216"/>
      <c r="W124" s="217"/>
      <c r="X124" s="218"/>
      <c r="Y124" s="218"/>
      <c r="Z124" s="203"/>
      <c r="AA124" s="218"/>
    </row>
    <row r="125" spans="1:44" s="219" customFormat="1">
      <c r="B125" s="220"/>
      <c r="C125" s="195"/>
      <c r="D125" s="212"/>
      <c r="E125" s="199"/>
      <c r="F125" s="214"/>
      <c r="G125" s="214"/>
      <c r="H125" s="212"/>
      <c r="I125" s="202"/>
      <c r="J125" s="202"/>
      <c r="K125" s="202"/>
      <c r="L125" s="203"/>
      <c r="M125" s="203"/>
      <c r="N125" s="203"/>
      <c r="O125" s="203"/>
      <c r="P125" s="203"/>
      <c r="Q125" s="203"/>
      <c r="R125" s="215"/>
      <c r="S125" s="215"/>
      <c r="T125" s="215"/>
      <c r="U125" s="189"/>
      <c r="V125" s="216"/>
      <c r="W125" s="217"/>
      <c r="X125" s="218"/>
      <c r="Y125" s="218"/>
      <c r="Z125" s="203"/>
      <c r="AA125" s="218"/>
    </row>
    <row r="126" spans="1:44" s="219" customFormat="1">
      <c r="B126" s="220"/>
      <c r="C126" s="195"/>
      <c r="D126" s="221"/>
      <c r="E126" s="199"/>
      <c r="F126" s="214"/>
      <c r="G126" s="214"/>
      <c r="H126" s="212"/>
      <c r="I126" s="202"/>
      <c r="J126" s="202"/>
      <c r="K126" s="202"/>
      <c r="L126" s="203"/>
      <c r="M126" s="203"/>
      <c r="N126" s="203"/>
      <c r="O126" s="203"/>
      <c r="P126" s="203"/>
      <c r="Q126" s="203"/>
      <c r="R126" s="215"/>
      <c r="S126" s="215"/>
      <c r="T126" s="215"/>
      <c r="U126" s="189"/>
      <c r="V126" s="216"/>
      <c r="W126" s="217"/>
      <c r="X126" s="218"/>
      <c r="Y126" s="218"/>
      <c r="Z126" s="203"/>
      <c r="AA126" s="218"/>
    </row>
    <row r="127" spans="1:44" s="219" customFormat="1">
      <c r="B127" s="220"/>
      <c r="C127" s="195"/>
      <c r="D127" s="221"/>
      <c r="E127" s="199"/>
      <c r="F127" s="214"/>
      <c r="G127" s="214"/>
      <c r="H127" s="222"/>
      <c r="I127" s="223"/>
      <c r="J127" s="223"/>
      <c r="K127" s="223"/>
      <c r="L127" s="224"/>
      <c r="M127" s="224"/>
      <c r="N127" s="224"/>
      <c r="O127" s="224"/>
      <c r="P127" s="224"/>
      <c r="Q127" s="203"/>
      <c r="R127" s="215"/>
      <c r="S127" s="215"/>
      <c r="T127" s="215"/>
      <c r="U127" s="189"/>
      <c r="V127" s="216"/>
      <c r="W127" s="217"/>
      <c r="X127" s="218"/>
      <c r="Y127" s="218"/>
      <c r="Z127" s="203"/>
      <c r="AA127" s="218"/>
    </row>
    <row r="128" spans="1:44" s="219" customFormat="1">
      <c r="B128" s="220"/>
      <c r="C128" s="195"/>
      <c r="D128" s="221"/>
      <c r="E128" s="225"/>
      <c r="F128" s="226"/>
      <c r="G128" s="226"/>
      <c r="H128" s="212"/>
      <c r="I128" s="202"/>
      <c r="J128" s="202"/>
      <c r="K128" s="202"/>
      <c r="L128" s="203"/>
      <c r="M128" s="203"/>
      <c r="N128" s="203"/>
      <c r="O128" s="203"/>
      <c r="P128" s="203"/>
      <c r="Q128" s="203"/>
      <c r="R128" s="215"/>
      <c r="S128" s="215"/>
      <c r="T128" s="215"/>
      <c r="U128" s="189"/>
      <c r="V128" s="216"/>
      <c r="W128" s="217"/>
      <c r="X128" s="218"/>
      <c r="Y128" s="218"/>
      <c r="Z128" s="203"/>
      <c r="AA128" s="218"/>
    </row>
    <row r="129" spans="2:27" s="219" customFormat="1">
      <c r="B129" s="220"/>
      <c r="C129" s="195"/>
      <c r="D129" s="221"/>
      <c r="E129" s="225"/>
      <c r="F129" s="226"/>
      <c r="G129" s="226"/>
      <c r="H129" s="212"/>
      <c r="I129" s="202"/>
      <c r="J129" s="202"/>
      <c r="K129" s="202"/>
      <c r="L129" s="203"/>
      <c r="M129" s="203"/>
      <c r="N129" s="203"/>
      <c r="O129" s="203"/>
      <c r="P129" s="203"/>
      <c r="Q129" s="203"/>
      <c r="R129" s="215"/>
      <c r="S129" s="215"/>
      <c r="T129" s="215"/>
      <c r="U129" s="189"/>
      <c r="V129" s="216"/>
      <c r="W129" s="217"/>
      <c r="X129" s="218"/>
      <c r="Y129" s="218"/>
      <c r="Z129" s="203"/>
      <c r="AA129" s="218"/>
    </row>
    <row r="130" spans="2:27" s="219" customFormat="1">
      <c r="B130" s="220"/>
      <c r="C130" s="195"/>
      <c r="D130" s="227"/>
      <c r="E130" s="199"/>
      <c r="F130" s="214"/>
      <c r="G130" s="214"/>
      <c r="H130" s="212"/>
      <c r="I130" s="202"/>
      <c r="J130" s="202"/>
      <c r="K130" s="202"/>
      <c r="L130" s="203"/>
      <c r="M130" s="203"/>
      <c r="N130" s="203"/>
      <c r="O130" s="203"/>
      <c r="P130" s="203"/>
      <c r="Q130" s="203"/>
      <c r="R130" s="215"/>
      <c r="S130" s="215"/>
      <c r="T130" s="215"/>
      <c r="U130" s="189"/>
      <c r="V130" s="216"/>
      <c r="W130" s="217"/>
      <c r="X130" s="218"/>
      <c r="Y130" s="218"/>
      <c r="Z130" s="203"/>
      <c r="AA130" s="218"/>
    </row>
    <row r="131" spans="2:27" s="219" customFormat="1" ht="15" customHeight="1">
      <c r="B131" s="220"/>
      <c r="C131" s="228"/>
      <c r="D131" s="212"/>
      <c r="E131" s="199"/>
      <c r="F131" s="214"/>
      <c r="G131" s="214"/>
      <c r="H131" s="212"/>
      <c r="I131" s="202"/>
      <c r="J131" s="202"/>
      <c r="K131" s="202"/>
      <c r="L131" s="203"/>
      <c r="M131" s="203"/>
      <c r="N131" s="203"/>
      <c r="O131" s="203"/>
      <c r="P131" s="203"/>
      <c r="Q131" s="203"/>
      <c r="R131" s="215"/>
      <c r="S131" s="215"/>
      <c r="T131" s="215"/>
      <c r="U131" s="189"/>
      <c r="V131" s="216"/>
      <c r="W131" s="217"/>
      <c r="X131" s="218"/>
      <c r="Y131" s="218"/>
      <c r="Z131" s="203"/>
      <c r="AA131" s="218"/>
    </row>
    <row r="132" spans="2:27" s="219" customFormat="1" ht="15" customHeight="1">
      <c r="B132" s="220"/>
      <c r="C132" s="195"/>
      <c r="D132" s="212"/>
      <c r="E132" s="199"/>
      <c r="F132" s="214"/>
      <c r="G132" s="214"/>
      <c r="H132" s="212"/>
      <c r="I132" s="202"/>
      <c r="J132" s="202"/>
      <c r="K132" s="202"/>
      <c r="L132" s="203"/>
      <c r="M132" s="203"/>
      <c r="N132" s="203"/>
      <c r="O132" s="203"/>
      <c r="P132" s="203"/>
      <c r="Q132" s="203"/>
      <c r="R132" s="215"/>
      <c r="S132" s="215"/>
      <c r="T132" s="215"/>
      <c r="U132" s="189"/>
      <c r="V132" s="216"/>
      <c r="W132" s="217"/>
      <c r="X132" s="218"/>
      <c r="Y132" s="218"/>
      <c r="Z132" s="203"/>
      <c r="AA132" s="218"/>
    </row>
    <row r="133" spans="2:27" s="219" customFormat="1">
      <c r="B133" s="220"/>
      <c r="C133" s="195"/>
      <c r="D133" s="229"/>
      <c r="E133" s="230"/>
      <c r="F133" s="231"/>
      <c r="G133" s="231"/>
      <c r="H133" s="212"/>
      <c r="I133" s="202"/>
      <c r="J133" s="202"/>
      <c r="K133" s="202"/>
      <c r="L133" s="203"/>
      <c r="M133" s="203"/>
      <c r="N133" s="203"/>
      <c r="O133" s="203"/>
      <c r="P133" s="203"/>
      <c r="Q133" s="203"/>
      <c r="R133" s="215"/>
      <c r="S133" s="215"/>
      <c r="T133" s="215"/>
      <c r="U133" s="189"/>
      <c r="V133" s="216"/>
      <c r="W133" s="217"/>
      <c r="X133" s="218"/>
      <c r="Y133" s="218"/>
      <c r="Z133" s="203"/>
      <c r="AA133" s="218"/>
    </row>
    <row r="134" spans="2:27" s="219" customFormat="1">
      <c r="B134" s="220"/>
      <c r="C134" s="195"/>
      <c r="D134" s="232"/>
      <c r="F134" s="214"/>
      <c r="G134" s="214"/>
      <c r="H134" s="212"/>
      <c r="I134" s="202"/>
      <c r="J134" s="202"/>
      <c r="K134" s="202"/>
      <c r="L134" s="203"/>
      <c r="M134" s="203"/>
      <c r="N134" s="203"/>
      <c r="O134" s="203"/>
      <c r="P134" s="203"/>
      <c r="Q134" s="203"/>
      <c r="R134" s="215"/>
      <c r="S134" s="215"/>
      <c r="T134" s="215"/>
      <c r="U134" s="189"/>
      <c r="V134" s="216"/>
      <c r="W134" s="217"/>
      <c r="X134" s="218"/>
      <c r="Y134" s="218"/>
      <c r="Z134" s="203"/>
      <c r="AA134" s="218"/>
    </row>
    <row r="135" spans="2:27" s="219" customFormat="1">
      <c r="B135" s="220"/>
      <c r="C135" s="195"/>
      <c r="D135" s="232"/>
      <c r="E135" s="199"/>
      <c r="F135" s="214"/>
      <c r="G135" s="214"/>
      <c r="H135" s="212"/>
      <c r="I135" s="202"/>
      <c r="J135" s="202"/>
      <c r="K135" s="202"/>
      <c r="L135" s="203"/>
      <c r="M135" s="203"/>
      <c r="N135" s="203"/>
      <c r="O135" s="203"/>
      <c r="P135" s="203"/>
      <c r="Q135" s="203"/>
      <c r="R135" s="215"/>
      <c r="S135" s="215"/>
      <c r="T135" s="215"/>
      <c r="U135" s="189"/>
      <c r="V135" s="216"/>
      <c r="W135" s="217"/>
      <c r="X135" s="218"/>
      <c r="Y135" s="218"/>
      <c r="Z135" s="203"/>
      <c r="AA135" s="218"/>
    </row>
    <row r="136" spans="2:27" s="219" customFormat="1">
      <c r="B136" s="220"/>
      <c r="C136" s="195"/>
      <c r="D136" s="232"/>
      <c r="E136" s="199"/>
      <c r="F136" s="214"/>
      <c r="G136" s="214"/>
      <c r="H136" s="212"/>
      <c r="I136" s="202"/>
      <c r="J136" s="202"/>
      <c r="K136" s="202"/>
      <c r="L136" s="203"/>
      <c r="M136" s="203"/>
      <c r="N136" s="203"/>
      <c r="O136" s="203"/>
      <c r="P136" s="203"/>
      <c r="Q136" s="203"/>
      <c r="R136" s="215"/>
      <c r="S136" s="215"/>
      <c r="T136" s="215"/>
      <c r="U136" s="189"/>
      <c r="V136" s="216"/>
      <c r="W136" s="217"/>
      <c r="X136" s="218"/>
      <c r="Y136" s="218"/>
      <c r="Z136" s="203"/>
      <c r="AA136" s="218"/>
    </row>
    <row r="137" spans="2:27" s="219" customFormat="1">
      <c r="B137" s="220"/>
      <c r="C137" s="195"/>
      <c r="D137" s="232"/>
      <c r="E137" s="199"/>
      <c r="F137" s="214"/>
      <c r="G137" s="214"/>
      <c r="H137" s="212"/>
      <c r="I137" s="202"/>
      <c r="J137" s="202"/>
      <c r="K137" s="202"/>
      <c r="L137" s="203"/>
      <c r="M137" s="203"/>
      <c r="N137" s="203"/>
      <c r="O137" s="203"/>
      <c r="P137" s="203"/>
      <c r="Q137" s="203"/>
      <c r="R137" s="215"/>
      <c r="S137" s="215"/>
      <c r="T137" s="215"/>
      <c r="U137" s="189"/>
      <c r="V137" s="216"/>
      <c r="W137" s="217"/>
      <c r="X137" s="218"/>
      <c r="Y137" s="218"/>
      <c r="Z137" s="203"/>
      <c r="AA137" s="218"/>
    </row>
    <row r="138" spans="2:27" s="236" customFormat="1">
      <c r="B138" s="220"/>
      <c r="C138" s="233"/>
      <c r="D138" s="232"/>
      <c r="E138" s="199"/>
      <c r="F138" s="214"/>
      <c r="G138" s="214"/>
      <c r="H138" s="212"/>
      <c r="I138" s="202"/>
      <c r="J138" s="202"/>
      <c r="K138" s="202"/>
      <c r="L138" s="203"/>
      <c r="M138" s="203"/>
      <c r="N138" s="203"/>
      <c r="O138" s="203"/>
      <c r="P138" s="203"/>
      <c r="Q138" s="234"/>
      <c r="R138" s="235"/>
      <c r="S138" s="235"/>
      <c r="T138" s="235"/>
      <c r="U138" s="189"/>
      <c r="V138" s="216"/>
      <c r="W138" s="218"/>
      <c r="X138" s="218"/>
      <c r="Y138" s="218"/>
      <c r="Z138" s="234"/>
      <c r="AA138" s="218"/>
    </row>
    <row r="139" spans="2:27" s="219" customFormat="1">
      <c r="B139" s="220"/>
      <c r="C139" s="195"/>
      <c r="D139" s="237"/>
      <c r="E139" s="199"/>
      <c r="F139" s="214"/>
      <c r="G139" s="214"/>
      <c r="H139" s="212"/>
      <c r="I139" s="238"/>
      <c r="J139" s="238"/>
      <c r="K139" s="238"/>
      <c r="L139" s="234"/>
      <c r="M139" s="234"/>
      <c r="N139" s="234"/>
      <c r="O139" s="234"/>
      <c r="P139" s="234"/>
      <c r="Q139" s="234"/>
      <c r="R139" s="215"/>
      <c r="S139" s="215"/>
      <c r="T139" s="215"/>
      <c r="U139" s="189"/>
      <c r="V139" s="216"/>
      <c r="W139" s="217"/>
      <c r="X139" s="218"/>
      <c r="Y139" s="218"/>
      <c r="Z139" s="234"/>
      <c r="AA139" s="218"/>
    </row>
    <row r="140" spans="2:27" s="219" customFormat="1">
      <c r="B140" s="220"/>
      <c r="C140" s="195"/>
      <c r="D140" s="237"/>
      <c r="E140" s="199"/>
      <c r="F140" s="214"/>
      <c r="G140" s="214"/>
      <c r="H140" s="212"/>
      <c r="I140" s="238"/>
      <c r="J140" s="238"/>
      <c r="K140" s="238"/>
      <c r="L140" s="234"/>
      <c r="M140" s="234"/>
      <c r="N140" s="234"/>
      <c r="O140" s="234"/>
      <c r="P140" s="234"/>
      <c r="Q140" s="234"/>
      <c r="R140" s="215"/>
      <c r="S140" s="215"/>
      <c r="T140" s="215"/>
      <c r="U140" s="189"/>
      <c r="V140" s="216"/>
      <c r="W140" s="217"/>
      <c r="X140" s="218"/>
      <c r="Y140" s="218"/>
      <c r="Z140" s="234"/>
      <c r="AA140" s="218"/>
    </row>
    <row r="141" spans="2:27" s="236" customFormat="1">
      <c r="B141" s="220"/>
      <c r="C141" s="195"/>
      <c r="D141" s="212"/>
      <c r="E141" s="199"/>
      <c r="F141" s="214"/>
      <c r="G141" s="214"/>
      <c r="H141" s="212"/>
      <c r="I141" s="238"/>
      <c r="J141" s="238"/>
      <c r="K141" s="238"/>
      <c r="L141" s="234"/>
      <c r="M141" s="234"/>
      <c r="N141" s="234"/>
      <c r="O141" s="234"/>
      <c r="P141" s="234"/>
      <c r="Q141" s="234"/>
      <c r="R141" s="235"/>
      <c r="S141" s="235"/>
      <c r="T141" s="235"/>
      <c r="U141" s="189"/>
      <c r="V141" s="216"/>
      <c r="W141" s="218"/>
      <c r="X141" s="218"/>
      <c r="Y141" s="218"/>
      <c r="Z141" s="234"/>
      <c r="AA141" s="218"/>
    </row>
    <row r="142" spans="2:27" s="236" customFormat="1">
      <c r="B142" s="220"/>
      <c r="C142" s="195"/>
      <c r="D142" s="212"/>
      <c r="E142" s="199"/>
      <c r="F142" s="214"/>
      <c r="G142" s="214"/>
      <c r="H142" s="212"/>
      <c r="I142" s="238"/>
      <c r="J142" s="238"/>
      <c r="K142" s="238"/>
      <c r="L142" s="234"/>
      <c r="M142" s="234"/>
      <c r="N142" s="234"/>
      <c r="O142" s="234"/>
      <c r="P142" s="234"/>
      <c r="Q142" s="234"/>
      <c r="R142" s="235"/>
      <c r="S142" s="235"/>
      <c r="T142" s="235"/>
      <c r="U142" s="189"/>
      <c r="V142" s="216"/>
      <c r="W142" s="218"/>
      <c r="X142" s="218"/>
      <c r="Y142" s="218"/>
      <c r="Z142" s="234"/>
      <c r="AA142" s="218"/>
    </row>
    <row r="143" spans="2:27" s="236" customFormat="1">
      <c r="B143" s="220"/>
      <c r="C143" s="195"/>
      <c r="D143" s="212"/>
      <c r="E143" s="199"/>
      <c r="F143" s="214"/>
      <c r="G143" s="214"/>
      <c r="H143" s="212"/>
      <c r="I143" s="238"/>
      <c r="J143" s="238"/>
      <c r="K143" s="238"/>
      <c r="L143" s="234"/>
      <c r="M143" s="234"/>
      <c r="N143" s="234"/>
      <c r="O143" s="234"/>
      <c r="P143" s="234"/>
      <c r="Q143" s="234"/>
      <c r="R143" s="235"/>
      <c r="S143" s="235"/>
      <c r="T143" s="235"/>
      <c r="U143" s="189"/>
      <c r="V143" s="216"/>
      <c r="W143" s="218"/>
      <c r="X143" s="218"/>
      <c r="Y143" s="218"/>
      <c r="Z143" s="234"/>
      <c r="AA143" s="218"/>
    </row>
    <row r="144" spans="2:27" s="236" customFormat="1">
      <c r="B144" s="220"/>
      <c r="C144" s="195"/>
      <c r="D144" s="232"/>
      <c r="E144" s="239"/>
      <c r="F144" s="237"/>
      <c r="G144" s="237"/>
      <c r="H144" s="212"/>
      <c r="I144" s="238"/>
      <c r="J144" s="238"/>
      <c r="K144" s="238"/>
      <c r="L144" s="234"/>
      <c r="M144" s="234"/>
      <c r="N144" s="234"/>
      <c r="O144" s="234"/>
      <c r="P144" s="234"/>
      <c r="Q144" s="234"/>
      <c r="R144" s="235"/>
      <c r="S144" s="235"/>
      <c r="T144" s="235"/>
      <c r="U144" s="201"/>
      <c r="V144" s="216"/>
      <c r="W144" s="218"/>
      <c r="X144" s="218"/>
      <c r="Y144" s="218"/>
      <c r="Z144" s="234"/>
      <c r="AA144" s="218"/>
    </row>
    <row r="145" spans="2:27" s="236" customFormat="1">
      <c r="B145" s="220"/>
      <c r="C145" s="195"/>
      <c r="D145" s="232"/>
      <c r="E145" s="230"/>
      <c r="F145" s="231"/>
      <c r="G145" s="231"/>
      <c r="H145" s="212"/>
      <c r="I145" s="238"/>
      <c r="J145" s="238"/>
      <c r="K145" s="238"/>
      <c r="L145" s="234"/>
      <c r="M145" s="234"/>
      <c r="N145" s="234"/>
      <c r="O145" s="234"/>
      <c r="P145" s="234"/>
      <c r="Q145" s="234"/>
      <c r="R145" s="235"/>
      <c r="S145" s="235"/>
      <c r="T145" s="235"/>
      <c r="U145" s="201"/>
      <c r="V145" s="216"/>
      <c r="W145" s="218"/>
      <c r="X145" s="218"/>
      <c r="Y145" s="218"/>
      <c r="Z145" s="234"/>
      <c r="AA145" s="218"/>
    </row>
    <row r="146" spans="2:27" s="236" customFormat="1">
      <c r="B146" s="220"/>
      <c r="C146" s="195"/>
      <c r="D146" s="232"/>
      <c r="E146" s="230"/>
      <c r="F146" s="231"/>
      <c r="G146" s="231"/>
      <c r="H146" s="212"/>
      <c r="I146" s="238"/>
      <c r="J146" s="238"/>
      <c r="K146" s="238"/>
      <c r="L146" s="234"/>
      <c r="M146" s="234"/>
      <c r="N146" s="234"/>
      <c r="O146" s="234"/>
      <c r="P146" s="234"/>
      <c r="Q146" s="234"/>
      <c r="R146" s="235"/>
      <c r="S146" s="235"/>
      <c r="T146" s="235"/>
      <c r="U146" s="201"/>
      <c r="V146" s="216"/>
      <c r="W146" s="218"/>
      <c r="X146" s="218"/>
      <c r="Y146" s="218"/>
      <c r="Z146" s="234"/>
      <c r="AA146" s="218"/>
    </row>
    <row r="147" spans="2:27" s="236" customFormat="1">
      <c r="B147" s="220"/>
      <c r="C147" s="195"/>
      <c r="D147" s="232"/>
      <c r="E147" s="239"/>
      <c r="F147" s="237"/>
      <c r="G147" s="237"/>
      <c r="H147" s="212"/>
      <c r="I147" s="202"/>
      <c r="J147" s="202"/>
      <c r="K147" s="202"/>
      <c r="L147" s="203"/>
      <c r="M147" s="203"/>
      <c r="N147" s="203"/>
      <c r="O147" s="203"/>
      <c r="P147" s="203"/>
      <c r="Q147" s="234"/>
      <c r="R147" s="235"/>
      <c r="S147" s="235"/>
      <c r="T147" s="235"/>
      <c r="U147" s="189"/>
      <c r="V147" s="216"/>
      <c r="W147" s="218"/>
      <c r="X147" s="218"/>
      <c r="Y147" s="218"/>
      <c r="Z147" s="234"/>
      <c r="AA147" s="218"/>
    </row>
    <row r="148" spans="2:27" s="236" customFormat="1">
      <c r="B148" s="240"/>
      <c r="C148" s="195"/>
      <c r="D148" s="237"/>
      <c r="E148" s="239"/>
      <c r="F148" s="237"/>
      <c r="G148" s="237"/>
      <c r="H148" s="212"/>
      <c r="I148" s="238"/>
      <c r="J148" s="238"/>
      <c r="K148" s="238"/>
      <c r="L148" s="234"/>
      <c r="M148" s="234"/>
      <c r="N148" s="234"/>
      <c r="O148" s="234"/>
      <c r="P148" s="234"/>
      <c r="Q148" s="234"/>
      <c r="R148" s="235"/>
      <c r="S148" s="235"/>
      <c r="T148" s="235"/>
      <c r="U148" s="189"/>
      <c r="V148" s="216"/>
      <c r="W148" s="218"/>
      <c r="X148" s="218"/>
      <c r="Y148" s="218"/>
      <c r="Z148" s="234"/>
      <c r="AA148" s="218"/>
    </row>
    <row r="149" spans="2:27" s="236" customFormat="1">
      <c r="B149" s="240"/>
      <c r="C149" s="195"/>
      <c r="D149" s="237"/>
      <c r="E149" s="239"/>
      <c r="F149" s="237"/>
      <c r="G149" s="237"/>
      <c r="H149" s="212"/>
      <c r="I149" s="238"/>
      <c r="J149" s="238"/>
      <c r="K149" s="238"/>
      <c r="L149" s="234"/>
      <c r="M149" s="234"/>
      <c r="N149" s="234"/>
      <c r="O149" s="234"/>
      <c r="P149" s="234"/>
      <c r="Q149" s="234"/>
      <c r="R149" s="235"/>
      <c r="S149" s="235"/>
      <c r="T149" s="235"/>
      <c r="U149" s="189"/>
      <c r="V149" s="216"/>
      <c r="W149" s="218"/>
      <c r="X149" s="218"/>
      <c r="Y149" s="218"/>
      <c r="Z149" s="234"/>
      <c r="AA149" s="218"/>
    </row>
    <row r="150" spans="2:27" s="236" customFormat="1">
      <c r="B150" s="240"/>
      <c r="C150" s="195"/>
      <c r="D150" s="237"/>
      <c r="E150" s="239"/>
      <c r="F150" s="237"/>
      <c r="G150" s="237"/>
      <c r="H150" s="237"/>
      <c r="I150" s="241"/>
      <c r="J150" s="241"/>
      <c r="K150" s="241"/>
      <c r="L150" s="242"/>
      <c r="M150" s="242"/>
      <c r="N150" s="242"/>
      <c r="O150" s="242"/>
      <c r="P150" s="242"/>
      <c r="Q150" s="234"/>
      <c r="R150" s="235"/>
      <c r="S150" s="235"/>
      <c r="T150" s="235"/>
      <c r="U150" s="189"/>
      <c r="V150" s="216"/>
      <c r="W150" s="218"/>
      <c r="X150" s="218"/>
      <c r="Y150" s="218"/>
      <c r="Z150" s="234"/>
      <c r="AA150" s="218"/>
    </row>
    <row r="151" spans="2:27" s="236" customFormat="1">
      <c r="B151" s="240"/>
      <c r="C151" s="195"/>
      <c r="D151" s="237"/>
      <c r="E151" s="239"/>
      <c r="F151" s="237"/>
      <c r="G151" s="237"/>
      <c r="H151" s="237"/>
      <c r="I151" s="241"/>
      <c r="J151" s="241"/>
      <c r="K151" s="241"/>
      <c r="L151" s="242"/>
      <c r="M151" s="242"/>
      <c r="N151" s="242"/>
      <c r="O151" s="242"/>
      <c r="P151" s="242"/>
      <c r="Q151" s="234"/>
      <c r="R151" s="235"/>
      <c r="S151" s="235"/>
      <c r="T151" s="235"/>
      <c r="U151" s="189"/>
      <c r="V151" s="216"/>
      <c r="W151" s="218"/>
      <c r="X151" s="218"/>
      <c r="Y151" s="218"/>
      <c r="Z151" s="234"/>
      <c r="AA151" s="218"/>
    </row>
    <row r="152" spans="2:27" s="236" customFormat="1">
      <c r="B152" s="240"/>
      <c r="C152" s="195"/>
      <c r="D152" s="237"/>
      <c r="E152" s="239"/>
      <c r="F152" s="237"/>
      <c r="G152" s="237"/>
      <c r="H152" s="237"/>
      <c r="I152" s="241"/>
      <c r="J152" s="241"/>
      <c r="K152" s="241"/>
      <c r="L152" s="242"/>
      <c r="M152" s="242"/>
      <c r="N152" s="242"/>
      <c r="O152" s="242"/>
      <c r="P152" s="242"/>
      <c r="Q152" s="234"/>
      <c r="R152" s="235"/>
      <c r="S152" s="235"/>
      <c r="T152" s="235"/>
      <c r="U152" s="189"/>
      <c r="V152" s="216"/>
      <c r="W152" s="218"/>
      <c r="X152" s="218"/>
      <c r="Y152" s="218"/>
      <c r="Z152" s="234"/>
      <c r="AA152" s="218"/>
    </row>
    <row r="153" spans="2:27" s="236" customFormat="1">
      <c r="B153" s="240"/>
      <c r="C153" s="195"/>
      <c r="D153" s="237"/>
      <c r="E153" s="239"/>
      <c r="F153" s="237"/>
      <c r="G153" s="237"/>
      <c r="H153" s="237"/>
      <c r="I153" s="241"/>
      <c r="J153" s="241"/>
      <c r="K153" s="241"/>
      <c r="L153" s="242"/>
      <c r="M153" s="242"/>
      <c r="N153" s="242"/>
      <c r="O153" s="242"/>
      <c r="P153" s="242"/>
      <c r="Q153" s="234"/>
      <c r="R153" s="235"/>
      <c r="S153" s="235"/>
      <c r="T153" s="235"/>
      <c r="U153" s="189"/>
      <c r="V153" s="216"/>
      <c r="W153" s="218"/>
      <c r="X153" s="218"/>
      <c r="Y153" s="218"/>
      <c r="Z153" s="234"/>
      <c r="AA153" s="218"/>
    </row>
    <row r="154" spans="2:27" s="236" customFormat="1">
      <c r="B154" s="240"/>
      <c r="C154" s="195"/>
      <c r="D154" s="237"/>
      <c r="E154" s="239"/>
      <c r="F154" s="237"/>
      <c r="G154" s="237"/>
      <c r="H154" s="237"/>
      <c r="I154" s="241"/>
      <c r="J154" s="241"/>
      <c r="K154" s="241"/>
      <c r="L154" s="242"/>
      <c r="M154" s="242"/>
      <c r="N154" s="242"/>
      <c r="O154" s="242"/>
      <c r="P154" s="242"/>
      <c r="Q154" s="234"/>
      <c r="R154" s="235"/>
      <c r="S154" s="235"/>
      <c r="T154" s="235"/>
      <c r="U154" s="189"/>
      <c r="V154" s="216"/>
      <c r="W154" s="218"/>
      <c r="X154" s="218"/>
      <c r="Y154" s="218"/>
      <c r="Z154" s="234"/>
      <c r="AA154" s="218"/>
    </row>
    <row r="155" spans="2:27" s="236" customFormat="1">
      <c r="B155" s="240"/>
      <c r="C155" s="195"/>
      <c r="D155" s="237"/>
      <c r="E155" s="239"/>
      <c r="F155" s="237"/>
      <c r="G155" s="237"/>
      <c r="H155" s="237"/>
      <c r="I155" s="241"/>
      <c r="J155" s="241"/>
      <c r="K155" s="241"/>
      <c r="L155" s="242"/>
      <c r="M155" s="242"/>
      <c r="N155" s="242"/>
      <c r="O155" s="242"/>
      <c r="P155" s="242"/>
      <c r="Q155" s="234"/>
      <c r="R155" s="235"/>
      <c r="S155" s="235"/>
      <c r="T155" s="235"/>
      <c r="U155" s="189"/>
      <c r="V155" s="216"/>
      <c r="W155" s="218"/>
      <c r="X155" s="218"/>
      <c r="Y155" s="218"/>
      <c r="Z155" s="234"/>
      <c r="AA155" s="218"/>
    </row>
    <row r="156" spans="2:27" s="236" customFormat="1">
      <c r="B156" s="240"/>
      <c r="C156" s="195"/>
      <c r="D156" s="237"/>
      <c r="E156" s="239"/>
      <c r="F156" s="237"/>
      <c r="G156" s="237"/>
      <c r="H156" s="237"/>
      <c r="I156" s="241"/>
      <c r="J156" s="241"/>
      <c r="K156" s="241"/>
      <c r="L156" s="242"/>
      <c r="M156" s="242"/>
      <c r="N156" s="242"/>
      <c r="O156" s="242"/>
      <c r="P156" s="242"/>
      <c r="Q156" s="234"/>
      <c r="R156" s="235"/>
      <c r="S156" s="235"/>
      <c r="T156" s="235"/>
      <c r="U156" s="189"/>
      <c r="V156" s="216"/>
      <c r="W156" s="218"/>
      <c r="X156" s="218"/>
      <c r="Y156" s="218"/>
      <c r="Z156" s="234"/>
      <c r="AA156" s="218"/>
    </row>
    <row r="157" spans="2:27" s="236" customFormat="1">
      <c r="B157" s="220"/>
      <c r="C157" s="195"/>
      <c r="D157" s="243"/>
      <c r="E157" s="244"/>
      <c r="F157" s="243"/>
      <c r="G157" s="243"/>
      <c r="H157" s="212"/>
      <c r="I157" s="245"/>
      <c r="J157" s="245"/>
      <c r="K157" s="245"/>
      <c r="L157" s="246"/>
      <c r="M157" s="246"/>
      <c r="N157" s="246"/>
      <c r="O157" s="246"/>
      <c r="P157" s="246"/>
      <c r="Q157" s="234"/>
      <c r="R157" s="235"/>
      <c r="S157" s="235"/>
      <c r="T157" s="235"/>
      <c r="U157" s="189"/>
      <c r="V157" s="216"/>
      <c r="W157" s="218"/>
      <c r="X157" s="218"/>
      <c r="Y157" s="218"/>
      <c r="Z157" s="234"/>
      <c r="AA157" s="218"/>
    </row>
    <row r="158" spans="2:27" s="236" customFormat="1" ht="15" customHeight="1">
      <c r="B158" s="220"/>
      <c r="C158" s="195"/>
      <c r="D158" s="243"/>
      <c r="E158" s="244"/>
      <c r="F158" s="243"/>
      <c r="G158" s="243"/>
      <c r="H158" s="212"/>
      <c r="I158" s="245"/>
      <c r="J158" s="245"/>
      <c r="K158" s="245"/>
      <c r="L158" s="246"/>
      <c r="M158" s="246"/>
      <c r="N158" s="246"/>
      <c r="O158" s="246"/>
      <c r="P158" s="246"/>
      <c r="Q158" s="234"/>
      <c r="R158" s="235"/>
      <c r="S158" s="235"/>
      <c r="T158" s="235"/>
      <c r="U158" s="189"/>
      <c r="V158" s="216"/>
      <c r="W158" s="218"/>
      <c r="X158" s="218"/>
      <c r="Y158" s="218"/>
      <c r="Z158" s="234"/>
      <c r="AA158" s="218"/>
    </row>
    <row r="159" spans="2:27" s="236" customFormat="1" ht="15" customHeight="1">
      <c r="B159" s="240"/>
      <c r="C159" s="195"/>
      <c r="D159" s="232"/>
      <c r="E159" s="247"/>
      <c r="F159" s="212"/>
      <c r="G159" s="212"/>
      <c r="H159" s="212"/>
      <c r="I159" s="238"/>
      <c r="J159" s="238"/>
      <c r="K159" s="238"/>
      <c r="L159" s="234"/>
      <c r="M159" s="234"/>
      <c r="N159" s="234"/>
      <c r="O159" s="234"/>
      <c r="P159" s="234"/>
      <c r="Q159" s="234"/>
      <c r="R159" s="235"/>
      <c r="S159" s="235"/>
      <c r="T159" s="235"/>
      <c r="U159" s="189"/>
      <c r="V159" s="216"/>
      <c r="W159" s="218"/>
      <c r="X159" s="218"/>
      <c r="Y159" s="218"/>
      <c r="Z159" s="234"/>
      <c r="AA159" s="218"/>
    </row>
    <row r="160" spans="2:27" s="236" customFormat="1">
      <c r="B160" s="220"/>
      <c r="C160" s="248"/>
      <c r="D160" s="249"/>
      <c r="E160" s="250"/>
      <c r="F160" s="251"/>
      <c r="G160" s="251"/>
      <c r="H160" s="212"/>
      <c r="I160" s="238"/>
      <c r="J160" s="238"/>
      <c r="K160" s="238"/>
      <c r="L160" s="234"/>
      <c r="M160" s="234"/>
      <c r="N160" s="234"/>
      <c r="O160" s="234"/>
      <c r="P160" s="234"/>
      <c r="Q160" s="234"/>
      <c r="R160" s="235"/>
      <c r="S160" s="235"/>
      <c r="T160" s="235"/>
      <c r="U160" s="201"/>
      <c r="V160" s="216"/>
      <c r="W160" s="217"/>
      <c r="X160" s="218"/>
      <c r="Y160" s="218"/>
      <c r="Z160" s="234"/>
      <c r="AA160" s="218"/>
    </row>
    <row r="161" spans="2:27" s="236" customFormat="1" ht="15.95" customHeight="1">
      <c r="B161" s="220"/>
      <c r="C161" s="248"/>
      <c r="D161" s="232"/>
      <c r="E161" s="250"/>
      <c r="F161" s="251"/>
      <c r="G161" s="251"/>
      <c r="H161" s="212"/>
      <c r="I161" s="238"/>
      <c r="J161" s="238"/>
      <c r="K161" s="238"/>
      <c r="L161" s="234"/>
      <c r="M161" s="234"/>
      <c r="N161" s="234"/>
      <c r="O161" s="234"/>
      <c r="P161" s="234"/>
      <c r="Q161" s="234"/>
      <c r="R161" s="235"/>
      <c r="S161" s="235"/>
      <c r="T161" s="235"/>
      <c r="U161" s="201"/>
      <c r="V161" s="216"/>
      <c r="W161" s="217"/>
      <c r="X161" s="218"/>
      <c r="Y161" s="218"/>
      <c r="Z161" s="234"/>
      <c r="AA161" s="218"/>
    </row>
    <row r="162" spans="2:27" s="236" customFormat="1" ht="15.95" customHeight="1">
      <c r="B162" s="220"/>
      <c r="C162" s="240"/>
      <c r="D162" s="252"/>
      <c r="E162" s="253"/>
      <c r="F162" s="240"/>
      <c r="G162" s="240"/>
      <c r="H162" s="212"/>
      <c r="I162" s="238"/>
      <c r="J162" s="238"/>
      <c r="K162" s="238"/>
      <c r="L162" s="234"/>
      <c r="M162" s="234"/>
      <c r="N162" s="234"/>
      <c r="O162" s="234"/>
      <c r="P162" s="234"/>
      <c r="Q162" s="234"/>
      <c r="R162" s="235"/>
      <c r="S162" s="235"/>
      <c r="T162" s="235"/>
      <c r="U162" s="189"/>
      <c r="V162" s="216"/>
      <c r="W162" s="218"/>
      <c r="X162" s="218"/>
      <c r="Y162" s="218"/>
      <c r="Z162" s="234"/>
      <c r="AA162" s="218"/>
    </row>
    <row r="163" spans="2:27" s="236" customFormat="1">
      <c r="B163" s="240"/>
      <c r="C163" s="240"/>
      <c r="D163" s="232"/>
      <c r="E163" s="254"/>
      <c r="F163" s="216"/>
      <c r="G163" s="216"/>
      <c r="H163" s="212"/>
      <c r="I163" s="238"/>
      <c r="J163" s="238"/>
      <c r="K163" s="238"/>
      <c r="L163" s="234"/>
      <c r="M163" s="234"/>
      <c r="N163" s="234"/>
      <c r="O163" s="234"/>
      <c r="P163" s="234"/>
      <c r="Q163" s="234"/>
      <c r="R163" s="235"/>
      <c r="S163" s="235"/>
      <c r="T163" s="235"/>
      <c r="U163" s="189"/>
      <c r="V163" s="216"/>
      <c r="W163" s="218"/>
      <c r="X163" s="218"/>
      <c r="Y163" s="218"/>
      <c r="Z163" s="234"/>
      <c r="AA163" s="218"/>
    </row>
    <row r="164" spans="2:27" s="236" customFormat="1" ht="12" customHeight="1">
      <c r="B164" s="240"/>
      <c r="C164" s="240"/>
      <c r="D164" s="232"/>
      <c r="E164" s="254"/>
      <c r="F164" s="216"/>
      <c r="G164" s="216"/>
      <c r="H164" s="212"/>
      <c r="I164" s="238"/>
      <c r="J164" s="238"/>
      <c r="K164" s="238"/>
      <c r="L164" s="234"/>
      <c r="M164" s="234"/>
      <c r="N164" s="234"/>
      <c r="O164" s="234"/>
      <c r="P164" s="234"/>
      <c r="Q164" s="234"/>
      <c r="R164" s="235"/>
      <c r="S164" s="235"/>
      <c r="T164" s="235"/>
      <c r="U164" s="189"/>
      <c r="V164" s="216"/>
      <c r="W164" s="218"/>
      <c r="X164" s="218"/>
      <c r="Y164" s="218"/>
      <c r="Z164" s="234"/>
      <c r="AA164" s="218"/>
    </row>
    <row r="165" spans="2:27" s="236" customFormat="1">
      <c r="B165" s="240"/>
      <c r="C165" s="240"/>
      <c r="D165" s="232"/>
      <c r="E165" s="253"/>
      <c r="F165" s="240"/>
      <c r="G165" s="240"/>
      <c r="H165" s="212"/>
      <c r="I165" s="238"/>
      <c r="J165" s="238"/>
      <c r="K165" s="238"/>
      <c r="L165" s="234"/>
      <c r="M165" s="234"/>
      <c r="N165" s="234"/>
      <c r="O165" s="234"/>
      <c r="P165" s="234"/>
      <c r="Q165" s="234"/>
      <c r="R165" s="235"/>
      <c r="S165" s="235"/>
      <c r="T165" s="235"/>
      <c r="U165" s="189"/>
      <c r="V165" s="216"/>
      <c r="W165" s="218"/>
      <c r="X165" s="218"/>
      <c r="Y165" s="218"/>
      <c r="Z165" s="234"/>
      <c r="AA165" s="218"/>
    </row>
    <row r="166" spans="2:27" s="236" customFormat="1">
      <c r="B166" s="240"/>
      <c r="C166" s="240"/>
      <c r="D166" s="232"/>
      <c r="E166" s="253"/>
      <c r="F166" s="240"/>
      <c r="G166" s="240"/>
      <c r="H166" s="212"/>
      <c r="I166" s="238"/>
      <c r="J166" s="238"/>
      <c r="K166" s="238"/>
      <c r="L166" s="234"/>
      <c r="M166" s="234"/>
      <c r="N166" s="234"/>
      <c r="O166" s="234"/>
      <c r="P166" s="234"/>
      <c r="Q166" s="234"/>
      <c r="R166" s="235"/>
      <c r="S166" s="235"/>
      <c r="T166" s="235"/>
      <c r="U166" s="189"/>
      <c r="V166" s="216"/>
      <c r="W166" s="218"/>
      <c r="X166" s="218"/>
      <c r="Y166" s="218"/>
      <c r="Z166" s="234"/>
      <c r="AA166" s="218"/>
    </row>
    <row r="167" spans="2:27" s="236" customFormat="1">
      <c r="B167" s="220"/>
      <c r="C167" s="252"/>
      <c r="D167" s="232"/>
      <c r="E167" s="254"/>
      <c r="F167" s="216"/>
      <c r="G167" s="216"/>
      <c r="H167" s="212"/>
      <c r="I167" s="238"/>
      <c r="J167" s="238"/>
      <c r="K167" s="238"/>
      <c r="L167" s="234"/>
      <c r="M167" s="234"/>
      <c r="N167" s="234"/>
      <c r="O167" s="234"/>
      <c r="P167" s="234"/>
      <c r="Q167" s="234"/>
      <c r="R167" s="235"/>
      <c r="S167" s="235"/>
      <c r="T167" s="235"/>
      <c r="U167" s="189"/>
      <c r="V167" s="216"/>
      <c r="W167" s="218"/>
      <c r="X167" s="218"/>
      <c r="Y167" s="218"/>
      <c r="Z167" s="234"/>
      <c r="AA167" s="218"/>
    </row>
    <row r="168" spans="2:27" s="236" customFormat="1">
      <c r="B168" s="220"/>
      <c r="C168" s="252"/>
      <c r="D168" s="243"/>
      <c r="E168" s="254"/>
      <c r="F168" s="216"/>
      <c r="G168" s="216"/>
      <c r="H168" s="212"/>
      <c r="I168" s="238"/>
      <c r="J168" s="238"/>
      <c r="K168" s="238"/>
      <c r="L168" s="234"/>
      <c r="M168" s="234"/>
      <c r="N168" s="234"/>
      <c r="O168" s="234"/>
      <c r="P168" s="234"/>
      <c r="Q168" s="234"/>
      <c r="R168" s="235"/>
      <c r="S168" s="235"/>
      <c r="T168" s="235"/>
      <c r="U168" s="189"/>
      <c r="V168" s="216"/>
      <c r="W168" s="218"/>
      <c r="X168" s="218"/>
      <c r="Y168" s="218"/>
      <c r="Z168" s="234"/>
      <c r="AA168" s="218"/>
    </row>
    <row r="169" spans="2:27" s="236" customFormat="1">
      <c r="B169" s="220"/>
      <c r="C169" s="252"/>
      <c r="D169" s="240"/>
      <c r="E169" s="254"/>
      <c r="F169" s="216"/>
      <c r="G169" s="216"/>
      <c r="H169" s="212"/>
      <c r="I169" s="238"/>
      <c r="J169" s="238"/>
      <c r="K169" s="238"/>
      <c r="L169" s="234"/>
      <c r="M169" s="234"/>
      <c r="N169" s="234"/>
      <c r="O169" s="234"/>
      <c r="P169" s="234"/>
      <c r="Q169" s="234"/>
      <c r="R169" s="235"/>
      <c r="S169" s="235"/>
      <c r="T169" s="235"/>
      <c r="U169" s="189"/>
      <c r="V169" s="216"/>
      <c r="W169" s="218"/>
      <c r="X169" s="218"/>
      <c r="Y169" s="218"/>
      <c r="Z169" s="234"/>
      <c r="AA169" s="218"/>
    </row>
    <row r="170" spans="2:27" s="236" customFormat="1" ht="26.25" customHeight="1">
      <c r="B170" s="255"/>
      <c r="C170" s="256"/>
      <c r="D170" s="216"/>
      <c r="E170" s="199"/>
      <c r="F170" s="214"/>
      <c r="G170" s="214"/>
      <c r="H170" s="212"/>
      <c r="I170" s="238"/>
      <c r="J170" s="238"/>
      <c r="K170" s="238"/>
      <c r="L170" s="234"/>
      <c r="M170" s="234"/>
      <c r="N170" s="234"/>
      <c r="O170" s="234"/>
      <c r="P170" s="234"/>
      <c r="Q170" s="234"/>
      <c r="R170" s="235"/>
      <c r="S170" s="235"/>
      <c r="T170" s="235"/>
      <c r="U170" s="189"/>
      <c r="V170" s="216"/>
      <c r="W170" s="218"/>
      <c r="X170" s="218"/>
      <c r="Y170" s="218"/>
      <c r="Z170" s="234"/>
      <c r="AA170" s="218"/>
    </row>
    <row r="171" spans="2:27" s="236" customFormat="1" ht="18" customHeight="1">
      <c r="B171" s="257"/>
      <c r="C171" s="256"/>
      <c r="D171" s="216"/>
      <c r="E171" s="199"/>
      <c r="F171" s="214"/>
      <c r="G171" s="214"/>
      <c r="H171" s="258"/>
      <c r="I171" s="259"/>
      <c r="J171" s="259"/>
      <c r="K171" s="259"/>
      <c r="L171" s="260"/>
      <c r="M171" s="260"/>
      <c r="N171" s="260"/>
      <c r="O171" s="260"/>
      <c r="P171" s="260"/>
      <c r="Q171" s="260"/>
      <c r="R171" s="235"/>
      <c r="S171" s="235"/>
      <c r="T171" s="235"/>
      <c r="U171" s="189"/>
      <c r="V171" s="216"/>
      <c r="W171" s="218"/>
      <c r="X171" s="218"/>
      <c r="Y171" s="218"/>
      <c r="Z171" s="260"/>
      <c r="AA171" s="218"/>
    </row>
    <row r="172" spans="2:27" s="236" customFormat="1">
      <c r="B172" s="257"/>
      <c r="C172" s="256"/>
      <c r="D172" s="216"/>
      <c r="E172" s="199"/>
      <c r="F172" s="214"/>
      <c r="G172" s="214"/>
      <c r="H172" s="258"/>
      <c r="I172" s="259"/>
      <c r="J172" s="259"/>
      <c r="K172" s="259"/>
      <c r="L172" s="260"/>
      <c r="M172" s="260"/>
      <c r="N172" s="260"/>
      <c r="O172" s="260"/>
      <c r="P172" s="260"/>
      <c r="Q172" s="260"/>
      <c r="R172" s="235"/>
      <c r="S172" s="235"/>
      <c r="T172" s="235"/>
      <c r="U172" s="189"/>
      <c r="V172" s="216"/>
      <c r="W172" s="218"/>
      <c r="X172" s="218"/>
      <c r="Y172" s="218"/>
      <c r="Z172" s="260"/>
      <c r="AA172" s="218"/>
    </row>
    <row r="173" spans="2:27" s="236" customFormat="1">
      <c r="B173" s="257"/>
      <c r="C173" s="261"/>
      <c r="D173" s="216"/>
      <c r="E173" s="199"/>
      <c r="F173" s="214"/>
      <c r="G173" s="214"/>
      <c r="H173" s="262"/>
      <c r="I173" s="259"/>
      <c r="J173" s="259"/>
      <c r="K173" s="259"/>
      <c r="L173" s="263"/>
      <c r="M173" s="263"/>
      <c r="N173" s="263"/>
      <c r="O173" s="263"/>
      <c r="P173" s="263"/>
      <c r="Q173" s="263"/>
      <c r="R173" s="235"/>
      <c r="S173" s="235"/>
      <c r="T173" s="235"/>
      <c r="U173" s="189"/>
      <c r="V173" s="240"/>
      <c r="W173" s="218"/>
      <c r="X173" s="218"/>
      <c r="Y173" s="218"/>
      <c r="Z173" s="264"/>
      <c r="AA173" s="218"/>
    </row>
    <row r="174" spans="2:27" s="236" customFormat="1" ht="9.9499999999999993" customHeight="1">
      <c r="B174" s="257"/>
      <c r="C174" s="261"/>
      <c r="D174" s="216"/>
      <c r="E174" s="199"/>
      <c r="F174" s="214"/>
      <c r="G174" s="214"/>
      <c r="H174" s="258"/>
      <c r="I174" s="259"/>
      <c r="J174" s="259"/>
      <c r="K174" s="259"/>
      <c r="L174" s="260"/>
      <c r="M174" s="260"/>
      <c r="N174" s="260"/>
      <c r="O174" s="260"/>
      <c r="P174" s="260"/>
      <c r="Q174" s="260"/>
      <c r="R174" s="235"/>
      <c r="S174" s="235"/>
      <c r="T174" s="235"/>
      <c r="U174" s="189"/>
      <c r="V174" s="216"/>
      <c r="W174" s="218"/>
      <c r="X174" s="218"/>
      <c r="Y174" s="218"/>
      <c r="Z174" s="260"/>
      <c r="AA174" s="218"/>
    </row>
    <row r="175" spans="2:27" s="236" customFormat="1">
      <c r="B175" s="257"/>
      <c r="C175" s="261"/>
      <c r="D175" s="216"/>
      <c r="E175" s="199"/>
      <c r="F175" s="214"/>
      <c r="G175" s="214"/>
      <c r="H175" s="258"/>
      <c r="I175" s="259"/>
      <c r="J175" s="259"/>
      <c r="K175" s="259"/>
      <c r="L175" s="260"/>
      <c r="M175" s="260"/>
      <c r="N175" s="260"/>
      <c r="O175" s="260"/>
      <c r="P175" s="260"/>
      <c r="Q175" s="260"/>
      <c r="R175" s="235"/>
      <c r="S175" s="235"/>
      <c r="T175" s="235"/>
      <c r="U175" s="189"/>
      <c r="V175" s="216"/>
      <c r="W175" s="218"/>
      <c r="X175" s="218"/>
      <c r="Y175" s="218"/>
      <c r="Z175" s="260"/>
      <c r="AA175" s="218"/>
    </row>
    <row r="176" spans="2:27" s="236" customFormat="1">
      <c r="B176" s="265"/>
      <c r="C176" s="266"/>
      <c r="D176" s="264"/>
      <c r="E176" s="199"/>
      <c r="F176" s="214"/>
      <c r="G176" s="214"/>
      <c r="H176" s="260"/>
      <c r="I176" s="259"/>
      <c r="J176" s="259"/>
      <c r="K176" s="259"/>
      <c r="L176" s="260"/>
      <c r="M176" s="260"/>
      <c r="N176" s="260"/>
      <c r="O176" s="260"/>
      <c r="P176" s="260"/>
      <c r="Q176" s="260"/>
      <c r="R176" s="235"/>
      <c r="S176" s="235"/>
      <c r="T176" s="235"/>
      <c r="U176" s="189"/>
      <c r="V176" s="216"/>
      <c r="W176" s="218"/>
      <c r="X176" s="218"/>
      <c r="Y176" s="218"/>
      <c r="Z176" s="260"/>
      <c r="AA176" s="218"/>
    </row>
    <row r="177" spans="2:27" s="236" customFormat="1">
      <c r="B177" s="267"/>
      <c r="C177" s="266"/>
      <c r="D177" s="264"/>
      <c r="E177" s="268"/>
      <c r="F177" s="269"/>
      <c r="G177" s="269"/>
      <c r="H177" s="260"/>
      <c r="I177" s="259"/>
      <c r="J177" s="259"/>
      <c r="K177" s="259"/>
      <c r="L177" s="260"/>
      <c r="M177" s="260"/>
      <c r="N177" s="260"/>
      <c r="O177" s="260"/>
      <c r="P177" s="260"/>
      <c r="Q177" s="260"/>
      <c r="R177" s="235"/>
      <c r="S177" s="235"/>
      <c r="T177" s="235"/>
      <c r="U177" s="189"/>
      <c r="V177" s="216"/>
      <c r="W177" s="218"/>
      <c r="X177" s="218"/>
      <c r="Y177" s="218"/>
      <c r="Z177" s="260"/>
      <c r="AA177" s="218"/>
    </row>
    <row r="178" spans="2:27" s="236" customFormat="1">
      <c r="B178" s="267"/>
      <c r="C178" s="266"/>
      <c r="D178" s="264"/>
      <c r="E178" s="268"/>
      <c r="F178" s="269"/>
      <c r="G178" s="269"/>
      <c r="H178" s="260"/>
      <c r="I178" s="259"/>
      <c r="J178" s="259"/>
      <c r="K178" s="259"/>
      <c r="L178" s="260"/>
      <c r="M178" s="260"/>
      <c r="N178" s="260"/>
      <c r="O178" s="260"/>
      <c r="P178" s="260"/>
      <c r="Q178" s="260"/>
      <c r="R178" s="235"/>
      <c r="S178" s="235"/>
      <c r="T178" s="235"/>
      <c r="U178" s="189"/>
      <c r="V178" s="216"/>
      <c r="W178" s="218"/>
      <c r="X178" s="218"/>
      <c r="Y178" s="218"/>
      <c r="Z178" s="260"/>
      <c r="AA178" s="218"/>
    </row>
    <row r="179" spans="2:27" s="236" customFormat="1">
      <c r="B179" s="267"/>
      <c r="C179" s="266"/>
      <c r="D179" s="264"/>
      <c r="E179" s="268"/>
      <c r="F179" s="269"/>
      <c r="G179" s="269"/>
      <c r="H179" s="260"/>
      <c r="I179" s="259"/>
      <c r="J179" s="259"/>
      <c r="K179" s="259"/>
      <c r="L179" s="260"/>
      <c r="M179" s="260"/>
      <c r="N179" s="260"/>
      <c r="O179" s="260"/>
      <c r="P179" s="260"/>
      <c r="Q179" s="260"/>
      <c r="R179" s="235"/>
      <c r="S179" s="235"/>
      <c r="T179" s="235"/>
      <c r="U179" s="189"/>
      <c r="V179" s="216"/>
      <c r="W179" s="218"/>
      <c r="X179" s="218"/>
      <c r="Y179" s="218"/>
      <c r="Z179" s="260"/>
      <c r="AA179" s="218"/>
    </row>
    <row r="180" spans="2:27" s="236" customFormat="1">
      <c r="B180" s="267"/>
      <c r="C180" s="266"/>
      <c r="D180" s="264"/>
      <c r="E180" s="268"/>
      <c r="F180" s="269"/>
      <c r="G180" s="269"/>
      <c r="H180" s="260"/>
      <c r="I180" s="259"/>
      <c r="J180" s="259"/>
      <c r="K180" s="259"/>
      <c r="L180" s="260"/>
      <c r="M180" s="260"/>
      <c r="N180" s="260"/>
      <c r="O180" s="260"/>
      <c r="P180" s="260"/>
      <c r="Q180" s="260"/>
      <c r="R180" s="235"/>
      <c r="S180" s="235"/>
      <c r="T180" s="235"/>
      <c r="U180" s="189"/>
      <c r="V180" s="216"/>
      <c r="W180" s="218"/>
      <c r="X180" s="218"/>
      <c r="Y180" s="218"/>
      <c r="Z180" s="260"/>
      <c r="AA180" s="218"/>
    </row>
    <row r="181" spans="2:27" s="236" customFormat="1">
      <c r="B181" s="267"/>
      <c r="C181" s="266"/>
      <c r="D181" s="264"/>
      <c r="E181" s="268"/>
      <c r="F181" s="269"/>
      <c r="G181" s="269"/>
      <c r="H181" s="260"/>
      <c r="I181" s="259"/>
      <c r="J181" s="259"/>
      <c r="K181" s="259"/>
      <c r="L181" s="260"/>
      <c r="M181" s="260"/>
      <c r="N181" s="260"/>
      <c r="O181" s="260"/>
      <c r="P181" s="260"/>
      <c r="Q181" s="260"/>
      <c r="R181" s="235"/>
      <c r="S181" s="235"/>
      <c r="T181" s="235"/>
      <c r="U181" s="189"/>
      <c r="V181" s="216"/>
      <c r="W181" s="218"/>
      <c r="X181" s="218"/>
      <c r="Y181" s="218"/>
      <c r="Z181" s="260"/>
      <c r="AA181" s="218"/>
    </row>
    <row r="182" spans="2:27" s="236" customFormat="1">
      <c r="B182" s="267"/>
      <c r="C182" s="266"/>
      <c r="D182" s="264"/>
      <c r="E182" s="268"/>
      <c r="F182" s="269"/>
      <c r="G182" s="269"/>
      <c r="H182" s="260"/>
      <c r="I182" s="259"/>
      <c r="J182" s="259"/>
      <c r="K182" s="259"/>
      <c r="L182" s="260"/>
      <c r="M182" s="260"/>
      <c r="N182" s="260"/>
      <c r="O182" s="260"/>
      <c r="P182" s="260"/>
      <c r="Q182" s="260"/>
      <c r="R182" s="235"/>
      <c r="S182" s="235"/>
      <c r="T182" s="235"/>
      <c r="U182" s="189"/>
      <c r="V182" s="216"/>
      <c r="W182" s="218"/>
      <c r="X182" s="218"/>
      <c r="Y182" s="218"/>
      <c r="Z182" s="260"/>
      <c r="AA182" s="218"/>
    </row>
    <row r="183" spans="2:27" s="236" customFormat="1">
      <c r="B183" s="270"/>
      <c r="C183" s="266"/>
      <c r="D183" s="264"/>
      <c r="E183" s="268"/>
      <c r="F183" s="269"/>
      <c r="G183" s="269"/>
      <c r="H183" s="271"/>
      <c r="I183" s="272"/>
      <c r="J183" s="272"/>
      <c r="K183" s="272"/>
      <c r="L183" s="271"/>
      <c r="M183" s="271"/>
      <c r="N183" s="271"/>
      <c r="O183" s="271"/>
      <c r="P183" s="271"/>
      <c r="Q183" s="260"/>
      <c r="R183" s="235"/>
      <c r="S183" s="235"/>
      <c r="T183" s="235"/>
      <c r="U183" s="189"/>
      <c r="V183" s="216"/>
      <c r="W183" s="218"/>
      <c r="X183" s="218"/>
      <c r="Y183" s="218"/>
      <c r="Z183" s="273"/>
      <c r="AA183" s="218"/>
    </row>
    <row r="184" spans="2:27" s="236" customFormat="1">
      <c r="B184" s="274"/>
      <c r="C184" s="274"/>
      <c r="D184" s="274"/>
      <c r="E184" s="219"/>
      <c r="F184" s="274"/>
      <c r="G184" s="274"/>
      <c r="H184" s="274"/>
      <c r="I184" s="275"/>
      <c r="J184" s="275"/>
      <c r="K184" s="275"/>
      <c r="L184" s="274"/>
      <c r="M184" s="274"/>
      <c r="N184" s="274"/>
      <c r="O184" s="274"/>
      <c r="P184" s="274"/>
      <c r="Q184" s="274"/>
      <c r="R184" s="235"/>
      <c r="S184" s="235"/>
      <c r="T184" s="235"/>
      <c r="U184" s="276"/>
      <c r="V184" s="240"/>
      <c r="Z184" s="274"/>
    </row>
    <row r="185" spans="2:27" s="236" customFormat="1">
      <c r="B185" s="274"/>
      <c r="C185" s="274"/>
      <c r="D185" s="274"/>
      <c r="E185" s="219"/>
      <c r="F185" s="274"/>
      <c r="G185" s="274"/>
      <c r="H185" s="274"/>
      <c r="I185" s="275"/>
      <c r="J185" s="275"/>
      <c r="K185" s="275"/>
      <c r="L185" s="274"/>
      <c r="M185" s="274"/>
      <c r="N185" s="274"/>
      <c r="O185" s="274"/>
      <c r="P185" s="274"/>
      <c r="Q185" s="274"/>
      <c r="R185" s="235"/>
      <c r="S185" s="235"/>
      <c r="T185" s="235"/>
      <c r="U185" s="276"/>
      <c r="V185" s="240"/>
      <c r="Z185" s="274"/>
    </row>
    <row r="186" spans="2:27" s="236" customFormat="1">
      <c r="B186" s="274"/>
      <c r="C186" s="274"/>
      <c r="D186" s="274"/>
      <c r="E186" s="219"/>
      <c r="F186" s="274"/>
      <c r="G186" s="274"/>
      <c r="H186" s="274"/>
      <c r="I186" s="275"/>
      <c r="J186" s="275"/>
      <c r="K186" s="275"/>
      <c r="L186" s="274"/>
      <c r="M186" s="274"/>
      <c r="N186" s="274"/>
      <c r="O186" s="274"/>
      <c r="P186" s="274"/>
      <c r="Q186" s="274"/>
      <c r="R186" s="235"/>
      <c r="S186" s="235"/>
      <c r="T186" s="235"/>
      <c r="U186" s="276"/>
      <c r="V186" s="240"/>
      <c r="Z186" s="274"/>
    </row>
    <row r="187" spans="2:27" s="236" customFormat="1">
      <c r="B187" s="274"/>
      <c r="C187" s="274"/>
      <c r="D187" s="274"/>
      <c r="E187" s="219"/>
      <c r="F187" s="274"/>
      <c r="G187" s="274"/>
      <c r="H187" s="274"/>
      <c r="I187" s="275"/>
      <c r="J187" s="275"/>
      <c r="K187" s="275"/>
      <c r="L187" s="274"/>
      <c r="M187" s="274"/>
      <c r="N187" s="274"/>
      <c r="O187" s="274"/>
      <c r="P187" s="274"/>
      <c r="Q187" s="274"/>
      <c r="R187" s="235"/>
      <c r="S187" s="235"/>
      <c r="T187" s="235"/>
      <c r="U187" s="276"/>
      <c r="V187" s="240"/>
      <c r="Z187" s="274"/>
    </row>
    <row r="188" spans="2:27" s="236" customFormat="1">
      <c r="B188" s="274"/>
      <c r="C188" s="274"/>
      <c r="D188" s="274"/>
      <c r="E188" s="219"/>
      <c r="F188" s="274"/>
      <c r="G188" s="274"/>
      <c r="H188" s="274"/>
      <c r="I188" s="275"/>
      <c r="J188" s="275"/>
      <c r="K188" s="275"/>
      <c r="L188" s="274"/>
      <c r="M188" s="274"/>
      <c r="N188" s="274"/>
      <c r="O188" s="274"/>
      <c r="P188" s="274"/>
      <c r="Q188" s="274"/>
      <c r="R188" s="235"/>
      <c r="S188" s="235"/>
      <c r="T188" s="235"/>
      <c r="U188" s="276"/>
      <c r="V188" s="240"/>
      <c r="Z188" s="274"/>
    </row>
    <row r="189" spans="2:27" s="236" customFormat="1">
      <c r="B189" s="274"/>
      <c r="C189" s="274"/>
      <c r="D189" s="274"/>
      <c r="E189" s="219"/>
      <c r="F189" s="274"/>
      <c r="G189" s="274"/>
      <c r="H189" s="274"/>
      <c r="I189" s="275"/>
      <c r="J189" s="275"/>
      <c r="K189" s="275"/>
      <c r="L189" s="274"/>
      <c r="M189" s="274"/>
      <c r="N189" s="274"/>
      <c r="O189" s="274"/>
      <c r="P189" s="274"/>
      <c r="Q189" s="274"/>
      <c r="R189" s="235"/>
      <c r="S189" s="235"/>
      <c r="T189" s="235"/>
      <c r="U189" s="276"/>
      <c r="V189" s="240"/>
      <c r="Z189" s="274"/>
    </row>
    <row r="190" spans="2:27" s="236" customFormat="1">
      <c r="B190" s="274"/>
      <c r="C190" s="274"/>
      <c r="D190" s="274"/>
      <c r="E190" s="219"/>
      <c r="F190" s="274"/>
      <c r="G190" s="274"/>
      <c r="H190" s="274"/>
      <c r="I190" s="275"/>
      <c r="J190" s="275"/>
      <c r="K190" s="275"/>
      <c r="L190" s="274"/>
      <c r="M190" s="274"/>
      <c r="N190" s="274"/>
      <c r="O190" s="274"/>
      <c r="P190" s="274"/>
      <c r="Q190" s="274"/>
      <c r="R190" s="235"/>
      <c r="S190" s="235"/>
      <c r="T190" s="235"/>
      <c r="U190" s="276"/>
      <c r="V190" s="240"/>
      <c r="Z190" s="274"/>
    </row>
    <row r="191" spans="2:27" s="236" customFormat="1" ht="20.25">
      <c r="B191" s="277"/>
      <c r="C191" s="274"/>
      <c r="D191" s="274"/>
      <c r="E191" s="219"/>
      <c r="F191" s="274"/>
      <c r="G191" s="274"/>
      <c r="H191" s="274"/>
      <c r="I191" s="275"/>
      <c r="J191" s="275"/>
      <c r="K191" s="275"/>
      <c r="L191" s="274"/>
      <c r="M191" s="274"/>
      <c r="N191" s="274"/>
      <c r="O191" s="274"/>
      <c r="P191" s="274"/>
      <c r="Q191" s="274"/>
      <c r="R191" s="235"/>
      <c r="S191" s="235"/>
      <c r="T191" s="235"/>
      <c r="U191" s="276"/>
      <c r="V191" s="240"/>
      <c r="Z191" s="274"/>
    </row>
    <row r="192" spans="2:27" s="236" customFormat="1">
      <c r="B192" s="274"/>
      <c r="C192" s="274"/>
      <c r="D192" s="274"/>
      <c r="E192" s="219"/>
      <c r="F192" s="274"/>
      <c r="G192" s="274"/>
      <c r="H192" s="274"/>
      <c r="I192" s="275"/>
      <c r="J192" s="275"/>
      <c r="K192" s="275"/>
      <c r="L192" s="274"/>
      <c r="M192" s="274"/>
      <c r="N192" s="274"/>
      <c r="O192" s="274"/>
      <c r="P192" s="274"/>
      <c r="Q192" s="274"/>
      <c r="R192" s="235"/>
      <c r="S192" s="235"/>
      <c r="T192" s="235"/>
      <c r="U192" s="276"/>
      <c r="V192" s="240"/>
      <c r="Z192" s="274"/>
    </row>
    <row r="193" spans="2:26" s="236" customFormat="1">
      <c r="B193" s="274"/>
      <c r="C193" s="274"/>
      <c r="D193" s="274"/>
      <c r="E193" s="219"/>
      <c r="F193" s="274"/>
      <c r="G193" s="274"/>
      <c r="H193" s="274"/>
      <c r="I193" s="275"/>
      <c r="J193" s="275"/>
      <c r="K193" s="275"/>
      <c r="L193" s="274"/>
      <c r="M193" s="274"/>
      <c r="N193" s="274"/>
      <c r="O193" s="274"/>
      <c r="P193" s="274"/>
      <c r="Q193" s="274"/>
      <c r="R193" s="235"/>
      <c r="S193" s="235"/>
      <c r="T193" s="235"/>
      <c r="U193" s="276"/>
      <c r="V193" s="240"/>
      <c r="Z193" s="274"/>
    </row>
    <row r="194" spans="2:26" s="236" customFormat="1">
      <c r="B194" s="274"/>
      <c r="C194" s="274"/>
      <c r="D194" s="274"/>
      <c r="E194" s="219"/>
      <c r="F194" s="274"/>
      <c r="G194" s="274"/>
      <c r="H194" s="274"/>
      <c r="I194" s="275"/>
      <c r="J194" s="275"/>
      <c r="K194" s="275"/>
      <c r="L194" s="274"/>
      <c r="M194" s="274"/>
      <c r="N194" s="274"/>
      <c r="O194" s="274"/>
      <c r="P194" s="274"/>
      <c r="Q194" s="274"/>
      <c r="R194" s="235"/>
      <c r="S194" s="235"/>
      <c r="T194" s="235"/>
      <c r="U194" s="276"/>
      <c r="V194" s="240"/>
      <c r="Z194" s="274"/>
    </row>
    <row r="195" spans="2:26" s="236" customFormat="1">
      <c r="B195" s="274"/>
      <c r="C195" s="274"/>
      <c r="D195" s="274"/>
      <c r="E195" s="219"/>
      <c r="F195" s="274"/>
      <c r="G195" s="274"/>
      <c r="H195" s="274"/>
      <c r="I195" s="275"/>
      <c r="J195" s="275"/>
      <c r="K195" s="275"/>
      <c r="L195" s="274"/>
      <c r="M195" s="274"/>
      <c r="N195" s="274"/>
      <c r="O195" s="274"/>
      <c r="P195" s="274"/>
      <c r="Q195" s="274"/>
      <c r="R195" s="235"/>
      <c r="S195" s="235"/>
      <c r="T195" s="235"/>
      <c r="U195" s="276"/>
      <c r="V195" s="240"/>
      <c r="Z195" s="274"/>
    </row>
    <row r="196" spans="2:26" s="236" customFormat="1">
      <c r="B196" s="274"/>
      <c r="C196" s="274"/>
      <c r="D196" s="274"/>
      <c r="E196" s="219"/>
      <c r="F196" s="274"/>
      <c r="G196" s="274"/>
      <c r="H196" s="274"/>
      <c r="I196" s="275"/>
      <c r="J196" s="275"/>
      <c r="K196" s="275"/>
      <c r="L196" s="274"/>
      <c r="M196" s="274"/>
      <c r="N196" s="274"/>
      <c r="O196" s="274"/>
      <c r="P196" s="274"/>
      <c r="Q196" s="274"/>
      <c r="R196" s="235"/>
      <c r="S196" s="235"/>
      <c r="T196" s="235"/>
      <c r="U196" s="276"/>
      <c r="V196" s="240"/>
      <c r="Z196" s="274"/>
    </row>
    <row r="197" spans="2:26" s="236" customFormat="1">
      <c r="B197" s="274"/>
      <c r="C197" s="274"/>
      <c r="D197" s="274"/>
      <c r="E197" s="219"/>
      <c r="F197" s="274"/>
      <c r="G197" s="274"/>
      <c r="H197" s="274"/>
      <c r="I197" s="275"/>
      <c r="J197" s="275"/>
      <c r="K197" s="275"/>
      <c r="L197" s="274"/>
      <c r="M197" s="274"/>
      <c r="N197" s="274"/>
      <c r="O197" s="274"/>
      <c r="P197" s="274"/>
      <c r="Q197" s="274"/>
      <c r="R197" s="235"/>
      <c r="S197" s="235"/>
      <c r="T197" s="235"/>
      <c r="U197" s="276"/>
      <c r="V197" s="240"/>
      <c r="Z197" s="274"/>
    </row>
    <row r="198" spans="2:26" s="236" customFormat="1">
      <c r="B198" s="274"/>
      <c r="C198" s="274"/>
      <c r="D198" s="274"/>
      <c r="E198" s="219"/>
      <c r="F198" s="274"/>
      <c r="G198" s="274"/>
      <c r="H198" s="274"/>
      <c r="I198" s="275"/>
      <c r="J198" s="275"/>
      <c r="K198" s="275"/>
      <c r="L198" s="274"/>
      <c r="M198" s="274"/>
      <c r="N198" s="274"/>
      <c r="O198" s="274"/>
      <c r="P198" s="274"/>
      <c r="Q198" s="274"/>
      <c r="R198" s="235"/>
      <c r="S198" s="235"/>
      <c r="T198" s="235"/>
      <c r="U198" s="276"/>
      <c r="V198" s="240"/>
      <c r="Z198" s="274"/>
    </row>
    <row r="199" spans="2:26" s="236" customFormat="1">
      <c r="B199" s="274"/>
      <c r="C199" s="274"/>
      <c r="D199" s="274"/>
      <c r="E199" s="219"/>
      <c r="F199" s="274"/>
      <c r="G199" s="274"/>
      <c r="H199" s="274"/>
      <c r="I199" s="275"/>
      <c r="J199" s="275"/>
      <c r="K199" s="275"/>
      <c r="L199" s="274"/>
      <c r="M199" s="274"/>
      <c r="N199" s="274"/>
      <c r="O199" s="274"/>
      <c r="P199" s="274"/>
      <c r="Q199" s="274"/>
      <c r="R199" s="235"/>
      <c r="S199" s="235"/>
      <c r="T199" s="235"/>
      <c r="U199" s="276"/>
      <c r="V199" s="240"/>
      <c r="Z199" s="274"/>
    </row>
    <row r="200" spans="2:26" s="236" customFormat="1">
      <c r="B200" s="274"/>
      <c r="C200" s="274"/>
      <c r="D200" s="274"/>
      <c r="E200" s="219"/>
      <c r="F200" s="274"/>
      <c r="G200" s="274"/>
      <c r="H200" s="274"/>
      <c r="I200" s="275"/>
      <c r="J200" s="275"/>
      <c r="K200" s="275"/>
      <c r="L200" s="274"/>
      <c r="M200" s="274"/>
      <c r="N200" s="274"/>
      <c r="O200" s="274"/>
      <c r="P200" s="274"/>
      <c r="Q200" s="274"/>
      <c r="R200" s="235"/>
      <c r="S200" s="235"/>
      <c r="T200" s="235"/>
      <c r="U200" s="276"/>
      <c r="V200" s="240"/>
      <c r="Z200" s="274"/>
    </row>
    <row r="201" spans="2:26" s="236" customFormat="1">
      <c r="B201" s="274"/>
      <c r="C201" s="274"/>
      <c r="D201" s="274"/>
      <c r="E201" s="219"/>
      <c r="F201" s="274"/>
      <c r="G201" s="274"/>
      <c r="H201" s="274"/>
      <c r="I201" s="275"/>
      <c r="J201" s="275"/>
      <c r="K201" s="275"/>
      <c r="L201" s="274"/>
      <c r="M201" s="274"/>
      <c r="N201" s="274"/>
      <c r="O201" s="274"/>
      <c r="P201" s="274"/>
      <c r="Q201" s="274"/>
      <c r="R201" s="235"/>
      <c r="S201" s="235"/>
      <c r="T201" s="235"/>
      <c r="U201" s="276"/>
      <c r="V201" s="240"/>
      <c r="Z201" s="274"/>
    </row>
    <row r="202" spans="2:26" s="236" customFormat="1">
      <c r="B202" s="274"/>
      <c r="C202" s="274"/>
      <c r="D202" s="274"/>
      <c r="E202" s="219"/>
      <c r="F202" s="274"/>
      <c r="G202" s="274"/>
      <c r="H202" s="274"/>
      <c r="I202" s="275"/>
      <c r="J202" s="275"/>
      <c r="K202" s="275"/>
      <c r="L202" s="274"/>
      <c r="M202" s="274"/>
      <c r="N202" s="274"/>
      <c r="O202" s="274"/>
      <c r="P202" s="274"/>
      <c r="Q202" s="274"/>
      <c r="R202" s="235"/>
      <c r="S202" s="235"/>
      <c r="T202" s="235"/>
      <c r="U202" s="276"/>
      <c r="V202" s="240"/>
      <c r="Z202" s="274"/>
    </row>
    <row r="203" spans="2:26" s="236" customFormat="1">
      <c r="B203" s="274"/>
      <c r="C203" s="274"/>
      <c r="D203" s="274"/>
      <c r="E203" s="219"/>
      <c r="F203" s="274"/>
      <c r="G203" s="274"/>
      <c r="H203" s="274"/>
      <c r="I203" s="275"/>
      <c r="J203" s="275"/>
      <c r="K203" s="275"/>
      <c r="L203" s="274"/>
      <c r="M203" s="274"/>
      <c r="N203" s="274"/>
      <c r="O203" s="274"/>
      <c r="P203" s="274"/>
      <c r="Q203" s="274"/>
      <c r="R203" s="235"/>
      <c r="S203" s="235"/>
      <c r="T203" s="235"/>
      <c r="U203" s="276"/>
      <c r="V203" s="240"/>
      <c r="Z203" s="274"/>
    </row>
    <row r="204" spans="2:26" s="236" customFormat="1">
      <c r="B204" s="274"/>
      <c r="C204" s="274"/>
      <c r="D204" s="274"/>
      <c r="E204" s="219"/>
      <c r="F204" s="274"/>
      <c r="G204" s="274"/>
      <c r="H204" s="274"/>
      <c r="I204" s="275"/>
      <c r="J204" s="275"/>
      <c r="K204" s="275"/>
      <c r="L204" s="274"/>
      <c r="M204" s="274"/>
      <c r="N204" s="274"/>
      <c r="O204" s="274"/>
      <c r="P204" s="274"/>
      <c r="Q204" s="274"/>
      <c r="R204" s="235"/>
      <c r="S204" s="235"/>
      <c r="T204" s="235"/>
      <c r="U204" s="276"/>
      <c r="V204" s="240"/>
      <c r="Z204" s="274"/>
    </row>
    <row r="205" spans="2:26" s="236" customFormat="1">
      <c r="B205" s="274"/>
      <c r="C205" s="274"/>
      <c r="D205" s="274"/>
      <c r="E205" s="219"/>
      <c r="F205" s="274"/>
      <c r="G205" s="274"/>
      <c r="H205" s="274"/>
      <c r="I205" s="275"/>
      <c r="J205" s="275"/>
      <c r="K205" s="275"/>
      <c r="L205" s="274"/>
      <c r="M205" s="274"/>
      <c r="N205" s="274"/>
      <c r="O205" s="274"/>
      <c r="P205" s="274"/>
      <c r="Q205" s="274"/>
      <c r="R205" s="235"/>
      <c r="S205" s="235"/>
      <c r="T205" s="235"/>
      <c r="U205" s="276"/>
      <c r="V205" s="240"/>
      <c r="Z205" s="274"/>
    </row>
    <row r="206" spans="2:26" s="236" customFormat="1">
      <c r="B206" s="274"/>
      <c r="C206" s="274"/>
      <c r="D206" s="274"/>
      <c r="E206" s="219"/>
      <c r="F206" s="274"/>
      <c r="G206" s="274"/>
      <c r="H206" s="274"/>
      <c r="I206" s="275"/>
      <c r="J206" s="275"/>
      <c r="K206" s="275"/>
      <c r="L206" s="274"/>
      <c r="M206" s="274"/>
      <c r="N206" s="274"/>
      <c r="O206" s="274"/>
      <c r="P206" s="274"/>
      <c r="Q206" s="274"/>
      <c r="R206" s="235"/>
      <c r="S206" s="235"/>
      <c r="T206" s="235"/>
      <c r="U206" s="276"/>
      <c r="V206" s="240"/>
      <c r="Z206" s="274"/>
    </row>
    <row r="207" spans="2:26" s="236" customFormat="1">
      <c r="B207" s="274"/>
      <c r="C207" s="274"/>
      <c r="D207" s="274"/>
      <c r="E207" s="219"/>
      <c r="F207" s="274"/>
      <c r="G207" s="274"/>
      <c r="H207" s="274"/>
      <c r="I207" s="275"/>
      <c r="J207" s="275"/>
      <c r="K207" s="275"/>
      <c r="L207" s="274"/>
      <c r="M207" s="274"/>
      <c r="N207" s="274"/>
      <c r="O207" s="274"/>
      <c r="P207" s="274"/>
      <c r="Q207" s="274"/>
      <c r="R207" s="235"/>
      <c r="S207" s="235"/>
      <c r="T207" s="235"/>
      <c r="U207" s="276"/>
      <c r="V207" s="240"/>
      <c r="Z207" s="274"/>
    </row>
    <row r="208" spans="2:26" s="236" customFormat="1">
      <c r="B208" s="274"/>
      <c r="C208" s="274"/>
      <c r="D208" s="274"/>
      <c r="E208" s="219"/>
      <c r="F208" s="274"/>
      <c r="G208" s="274"/>
      <c r="H208" s="274"/>
      <c r="I208" s="275"/>
      <c r="J208" s="275"/>
      <c r="K208" s="275"/>
      <c r="L208" s="274"/>
      <c r="M208" s="274"/>
      <c r="N208" s="274"/>
      <c r="O208" s="274"/>
      <c r="P208" s="274"/>
      <c r="Q208" s="274"/>
      <c r="R208" s="235"/>
      <c r="S208" s="235"/>
      <c r="T208" s="235"/>
      <c r="U208" s="276"/>
      <c r="V208" s="240"/>
      <c r="Z208" s="274"/>
    </row>
    <row r="209" spans="2:26" s="236" customFormat="1">
      <c r="B209" s="274"/>
      <c r="C209" s="274"/>
      <c r="D209" s="274"/>
      <c r="E209" s="219"/>
      <c r="F209" s="274"/>
      <c r="G209" s="274"/>
      <c r="H209" s="274"/>
      <c r="I209" s="275"/>
      <c r="J209" s="275"/>
      <c r="K209" s="275"/>
      <c r="L209" s="274"/>
      <c r="M209" s="274"/>
      <c r="N209" s="274"/>
      <c r="O209" s="274"/>
      <c r="P209" s="274"/>
      <c r="Q209" s="274"/>
      <c r="R209" s="235"/>
      <c r="S209" s="235"/>
      <c r="T209" s="235"/>
      <c r="U209" s="276"/>
      <c r="V209" s="240"/>
      <c r="Z209" s="274"/>
    </row>
    <row r="210" spans="2:26" s="236" customFormat="1">
      <c r="B210" s="274"/>
      <c r="C210" s="274"/>
      <c r="D210" s="274"/>
      <c r="E210" s="219"/>
      <c r="F210" s="274"/>
      <c r="G210" s="274"/>
      <c r="H210" s="274"/>
      <c r="I210" s="275"/>
      <c r="J210" s="275"/>
      <c r="K210" s="275"/>
      <c r="L210" s="274"/>
      <c r="M210" s="274"/>
      <c r="N210" s="274"/>
      <c r="O210" s="274"/>
      <c r="P210" s="274"/>
      <c r="Q210" s="274"/>
      <c r="R210" s="235"/>
      <c r="S210" s="235"/>
      <c r="T210" s="235"/>
      <c r="U210" s="276"/>
      <c r="V210" s="240"/>
      <c r="Z210" s="274"/>
    </row>
    <row r="211" spans="2:26" s="236" customFormat="1">
      <c r="B211" s="274"/>
      <c r="C211" s="274"/>
      <c r="D211" s="274"/>
      <c r="E211" s="219"/>
      <c r="F211" s="274"/>
      <c r="G211" s="274"/>
      <c r="H211" s="274"/>
      <c r="I211" s="275"/>
      <c r="J211" s="275"/>
      <c r="K211" s="275"/>
      <c r="L211" s="274"/>
      <c r="M211" s="274"/>
      <c r="N211" s="274"/>
      <c r="O211" s="274"/>
      <c r="P211" s="274"/>
      <c r="Q211" s="274"/>
      <c r="R211" s="235"/>
      <c r="S211" s="235"/>
      <c r="T211" s="235"/>
      <c r="U211" s="276"/>
      <c r="V211" s="240"/>
      <c r="Z211" s="274"/>
    </row>
    <row r="212" spans="2:26" s="236" customFormat="1">
      <c r="B212" s="274"/>
      <c r="C212" s="274"/>
      <c r="D212" s="274"/>
      <c r="E212" s="219"/>
      <c r="F212" s="274"/>
      <c r="G212" s="274"/>
      <c r="H212" s="274"/>
      <c r="I212" s="275"/>
      <c r="J212" s="275"/>
      <c r="K212" s="275"/>
      <c r="L212" s="274"/>
      <c r="M212" s="274"/>
      <c r="N212" s="274"/>
      <c r="O212" s="274"/>
      <c r="P212" s="274"/>
      <c r="Q212" s="274"/>
      <c r="R212" s="235"/>
      <c r="S212" s="235"/>
      <c r="T212" s="235"/>
      <c r="U212" s="276"/>
      <c r="V212" s="240"/>
      <c r="Z212" s="274"/>
    </row>
    <row r="213" spans="2:26" s="236" customFormat="1">
      <c r="B213" s="274"/>
      <c r="C213" s="274"/>
      <c r="D213" s="274"/>
      <c r="E213" s="219"/>
      <c r="F213" s="274"/>
      <c r="G213" s="274"/>
      <c r="H213" s="274"/>
      <c r="I213" s="275"/>
      <c r="J213" s="275"/>
      <c r="K213" s="275"/>
      <c r="L213" s="274"/>
      <c r="M213" s="274"/>
      <c r="N213" s="274"/>
      <c r="O213" s="274"/>
      <c r="P213" s="274"/>
      <c r="Q213" s="274"/>
      <c r="R213" s="235"/>
      <c r="S213" s="235"/>
      <c r="T213" s="235"/>
      <c r="U213" s="276"/>
      <c r="V213" s="240"/>
      <c r="Z213" s="274"/>
    </row>
    <row r="214" spans="2:26" s="236" customFormat="1">
      <c r="B214" s="274"/>
      <c r="C214" s="274"/>
      <c r="D214" s="274"/>
      <c r="E214" s="219"/>
      <c r="F214" s="274"/>
      <c r="G214" s="274"/>
      <c r="H214" s="274"/>
      <c r="I214" s="275"/>
      <c r="J214" s="275"/>
      <c r="K214" s="275"/>
      <c r="L214" s="274"/>
      <c r="M214" s="274"/>
      <c r="N214" s="274"/>
      <c r="O214" s="274"/>
      <c r="P214" s="274"/>
      <c r="Q214" s="274"/>
      <c r="R214" s="235"/>
      <c r="S214" s="235"/>
      <c r="T214" s="235"/>
      <c r="U214" s="276"/>
      <c r="V214" s="240"/>
      <c r="Z214" s="274"/>
    </row>
    <row r="215" spans="2:26" s="236" customFormat="1">
      <c r="B215" s="274"/>
      <c r="C215" s="274"/>
      <c r="D215" s="274"/>
      <c r="E215" s="219"/>
      <c r="F215" s="274"/>
      <c r="G215" s="274"/>
      <c r="H215" s="274"/>
      <c r="I215" s="275"/>
      <c r="J215" s="275"/>
      <c r="K215" s="275"/>
      <c r="L215" s="274"/>
      <c r="M215" s="274"/>
      <c r="N215" s="274"/>
      <c r="O215" s="274"/>
      <c r="P215" s="274"/>
      <c r="Q215" s="274"/>
      <c r="R215" s="235"/>
      <c r="S215" s="235"/>
      <c r="T215" s="235"/>
      <c r="U215" s="276"/>
      <c r="V215" s="240"/>
      <c r="Z215" s="274"/>
    </row>
    <row r="216" spans="2:26" s="236" customFormat="1">
      <c r="B216" s="274"/>
      <c r="C216" s="274"/>
      <c r="D216" s="274"/>
      <c r="E216" s="219"/>
      <c r="F216" s="274"/>
      <c r="G216" s="274"/>
      <c r="H216" s="274"/>
      <c r="I216" s="275"/>
      <c r="J216" s="275"/>
      <c r="K216" s="275"/>
      <c r="L216" s="274"/>
      <c r="M216" s="274"/>
      <c r="N216" s="274"/>
      <c r="O216" s="274"/>
      <c r="P216" s="274"/>
      <c r="Q216" s="274"/>
      <c r="R216" s="235"/>
      <c r="S216" s="235"/>
      <c r="T216" s="235"/>
      <c r="U216" s="276"/>
      <c r="V216" s="240"/>
      <c r="Z216" s="274"/>
    </row>
    <row r="217" spans="2:26" s="236" customFormat="1">
      <c r="B217" s="274"/>
      <c r="C217" s="274"/>
      <c r="D217" s="274"/>
      <c r="E217" s="219"/>
      <c r="F217" s="274"/>
      <c r="G217" s="274"/>
      <c r="H217" s="274"/>
      <c r="I217" s="275"/>
      <c r="J217" s="275"/>
      <c r="K217" s="275"/>
      <c r="L217" s="274"/>
      <c r="M217" s="274"/>
      <c r="N217" s="274"/>
      <c r="O217" s="274"/>
      <c r="P217" s="274"/>
      <c r="Q217" s="274"/>
      <c r="R217" s="235"/>
      <c r="S217" s="235"/>
      <c r="T217" s="235"/>
      <c r="U217" s="276"/>
      <c r="V217" s="240"/>
      <c r="Z217" s="274"/>
    </row>
    <row r="218" spans="2:26" s="236" customFormat="1">
      <c r="B218" s="274"/>
      <c r="C218" s="274"/>
      <c r="D218" s="274"/>
      <c r="E218" s="219"/>
      <c r="F218" s="274"/>
      <c r="G218" s="274"/>
      <c r="H218" s="274"/>
      <c r="I218" s="275"/>
      <c r="J218" s="275"/>
      <c r="K218" s="275"/>
      <c r="L218" s="274"/>
      <c r="M218" s="274"/>
      <c r="N218" s="274"/>
      <c r="O218" s="274"/>
      <c r="P218" s="274"/>
      <c r="Q218" s="274"/>
      <c r="R218" s="235"/>
      <c r="S218" s="235"/>
      <c r="T218" s="235"/>
      <c r="U218" s="276"/>
      <c r="V218" s="240"/>
      <c r="Z218" s="274"/>
    </row>
    <row r="219" spans="2:26" s="236" customFormat="1">
      <c r="B219" s="274"/>
      <c r="C219" s="274"/>
      <c r="D219" s="274"/>
      <c r="E219" s="219"/>
      <c r="F219" s="274"/>
      <c r="G219" s="274"/>
      <c r="H219" s="274"/>
      <c r="I219" s="275"/>
      <c r="J219" s="275"/>
      <c r="K219" s="275"/>
      <c r="L219" s="274"/>
      <c r="M219" s="274"/>
      <c r="N219" s="274"/>
      <c r="O219" s="274"/>
      <c r="P219" s="274"/>
      <c r="Q219" s="274"/>
      <c r="R219" s="235"/>
      <c r="S219" s="235"/>
      <c r="T219" s="235"/>
      <c r="U219" s="276"/>
      <c r="V219" s="240"/>
      <c r="Z219" s="274"/>
    </row>
    <row r="220" spans="2:26" s="236" customFormat="1">
      <c r="B220" s="274"/>
      <c r="C220" s="274"/>
      <c r="D220" s="274"/>
      <c r="E220" s="219"/>
      <c r="F220" s="274"/>
      <c r="G220" s="274"/>
      <c r="H220" s="274"/>
      <c r="I220" s="275"/>
      <c r="J220" s="275"/>
      <c r="K220" s="275"/>
      <c r="L220" s="274"/>
      <c r="M220" s="274"/>
      <c r="N220" s="274"/>
      <c r="O220" s="274"/>
      <c r="P220" s="274"/>
      <c r="Q220" s="274"/>
      <c r="R220" s="235"/>
      <c r="S220" s="235"/>
      <c r="T220" s="235"/>
      <c r="U220" s="276"/>
      <c r="V220" s="240"/>
      <c r="Z220" s="274"/>
    </row>
    <row r="221" spans="2:26" s="236" customFormat="1">
      <c r="B221" s="274"/>
      <c r="C221" s="274"/>
      <c r="D221" s="274"/>
      <c r="E221" s="219"/>
      <c r="F221" s="274"/>
      <c r="G221" s="274"/>
      <c r="H221" s="274"/>
      <c r="I221" s="275"/>
      <c r="J221" s="275"/>
      <c r="K221" s="275"/>
      <c r="L221" s="274"/>
      <c r="M221" s="274"/>
      <c r="N221" s="274"/>
      <c r="O221" s="274"/>
      <c r="P221" s="274"/>
      <c r="Q221" s="274"/>
      <c r="R221" s="235"/>
      <c r="S221" s="235"/>
      <c r="T221" s="235"/>
      <c r="U221" s="276"/>
      <c r="V221" s="240"/>
      <c r="Z221" s="274"/>
    </row>
    <row r="222" spans="2:26" s="236" customFormat="1">
      <c r="B222" s="274"/>
      <c r="C222" s="274"/>
      <c r="D222" s="274"/>
      <c r="E222" s="219"/>
      <c r="F222" s="274"/>
      <c r="G222" s="274"/>
      <c r="H222" s="274"/>
      <c r="I222" s="275"/>
      <c r="J222" s="275"/>
      <c r="K222" s="275"/>
      <c r="L222" s="274"/>
      <c r="M222" s="274"/>
      <c r="N222" s="274"/>
      <c r="O222" s="274"/>
      <c r="P222" s="274"/>
      <c r="Q222" s="274"/>
      <c r="R222" s="235"/>
      <c r="S222" s="235"/>
      <c r="T222" s="235"/>
      <c r="U222" s="276"/>
      <c r="V222" s="240"/>
      <c r="Z222" s="274"/>
    </row>
    <row r="223" spans="2:26" s="236" customFormat="1">
      <c r="B223" s="274"/>
      <c r="C223" s="274"/>
      <c r="D223" s="274"/>
      <c r="E223" s="219"/>
      <c r="F223" s="274"/>
      <c r="G223" s="274"/>
      <c r="H223" s="274"/>
      <c r="I223" s="275"/>
      <c r="J223" s="275"/>
      <c r="K223" s="275"/>
      <c r="L223" s="274"/>
      <c r="M223" s="274"/>
      <c r="N223" s="274"/>
      <c r="O223" s="274"/>
      <c r="P223" s="274"/>
      <c r="Q223" s="274"/>
      <c r="R223" s="235"/>
      <c r="S223" s="235"/>
      <c r="T223" s="235"/>
      <c r="U223" s="276"/>
      <c r="V223" s="240"/>
      <c r="Z223" s="274"/>
    </row>
    <row r="224" spans="2:26" s="236" customFormat="1">
      <c r="B224" s="274"/>
      <c r="C224" s="274"/>
      <c r="D224" s="274"/>
      <c r="E224" s="219"/>
      <c r="F224" s="274"/>
      <c r="G224" s="274"/>
      <c r="H224" s="274"/>
      <c r="I224" s="275"/>
      <c r="J224" s="275"/>
      <c r="K224" s="275"/>
      <c r="L224" s="274"/>
      <c r="M224" s="274"/>
      <c r="N224" s="274"/>
      <c r="O224" s="274"/>
      <c r="P224" s="274"/>
      <c r="Q224" s="274"/>
      <c r="R224" s="235"/>
      <c r="S224" s="235"/>
      <c r="T224" s="235"/>
      <c r="U224" s="276"/>
      <c r="V224" s="240"/>
      <c r="Z224" s="274"/>
    </row>
    <row r="225" spans="2:26" s="236" customFormat="1">
      <c r="B225" s="274"/>
      <c r="C225" s="274"/>
      <c r="D225" s="274"/>
      <c r="E225" s="219"/>
      <c r="F225" s="274"/>
      <c r="G225" s="274"/>
      <c r="H225" s="274"/>
      <c r="I225" s="275"/>
      <c r="J225" s="275"/>
      <c r="K225" s="275"/>
      <c r="L225" s="274"/>
      <c r="M225" s="274"/>
      <c r="N225" s="274"/>
      <c r="O225" s="274"/>
      <c r="P225" s="274"/>
      <c r="Q225" s="274"/>
      <c r="R225" s="235"/>
      <c r="S225" s="235"/>
      <c r="T225" s="235"/>
      <c r="U225" s="276"/>
      <c r="V225" s="240"/>
      <c r="Z225" s="274"/>
    </row>
    <row r="226" spans="2:26" s="236" customFormat="1">
      <c r="B226" s="274"/>
      <c r="C226" s="274"/>
      <c r="D226" s="274"/>
      <c r="E226" s="219"/>
      <c r="F226" s="274"/>
      <c r="G226" s="274"/>
      <c r="H226" s="274"/>
      <c r="I226" s="275"/>
      <c r="J226" s="275"/>
      <c r="K226" s="275"/>
      <c r="L226" s="274"/>
      <c r="M226" s="274"/>
      <c r="N226" s="274"/>
      <c r="O226" s="274"/>
      <c r="P226" s="274"/>
      <c r="Q226" s="274"/>
      <c r="R226" s="235"/>
      <c r="S226" s="235"/>
      <c r="T226" s="235"/>
      <c r="U226" s="276"/>
      <c r="V226" s="240"/>
      <c r="Z226" s="274"/>
    </row>
    <row r="227" spans="2:26" s="236" customFormat="1">
      <c r="B227" s="274"/>
      <c r="C227" s="274"/>
      <c r="D227" s="274"/>
      <c r="E227" s="219"/>
      <c r="F227" s="274"/>
      <c r="G227" s="274"/>
      <c r="H227" s="274"/>
      <c r="I227" s="275"/>
      <c r="J227" s="275"/>
      <c r="K227" s="275"/>
      <c r="L227" s="274"/>
      <c r="M227" s="274"/>
      <c r="N227" s="274"/>
      <c r="O227" s="274"/>
      <c r="P227" s="274"/>
      <c r="Q227" s="274"/>
      <c r="R227" s="235"/>
      <c r="S227" s="235"/>
      <c r="T227" s="235"/>
      <c r="U227" s="276"/>
      <c r="V227" s="240"/>
      <c r="Z227" s="274"/>
    </row>
    <row r="228" spans="2:26" s="236" customFormat="1">
      <c r="B228" s="274"/>
      <c r="C228" s="274"/>
      <c r="D228" s="274"/>
      <c r="E228" s="219"/>
      <c r="F228" s="274"/>
      <c r="G228" s="274"/>
      <c r="H228" s="274"/>
      <c r="I228" s="275"/>
      <c r="J228" s="275"/>
      <c r="K228" s="275"/>
      <c r="L228" s="274"/>
      <c r="M228" s="274"/>
      <c r="N228" s="274"/>
      <c r="O228" s="274"/>
      <c r="P228" s="274"/>
      <c r="Q228" s="274"/>
      <c r="R228" s="235"/>
      <c r="S228" s="235"/>
      <c r="T228" s="235"/>
      <c r="U228" s="276"/>
      <c r="V228" s="240"/>
      <c r="Z228" s="274"/>
    </row>
    <row r="229" spans="2:26" s="236" customFormat="1">
      <c r="B229" s="274"/>
      <c r="C229" s="274"/>
      <c r="D229" s="274"/>
      <c r="E229" s="219"/>
      <c r="F229" s="274"/>
      <c r="G229" s="274"/>
      <c r="H229" s="274"/>
      <c r="I229" s="275"/>
      <c r="J229" s="275"/>
      <c r="K229" s="275"/>
      <c r="L229" s="274"/>
      <c r="M229" s="274"/>
      <c r="N229" s="274"/>
      <c r="O229" s="274"/>
      <c r="P229" s="274"/>
      <c r="Q229" s="274"/>
      <c r="R229" s="235"/>
      <c r="S229" s="235"/>
      <c r="T229" s="235"/>
      <c r="U229" s="276"/>
      <c r="V229" s="240"/>
      <c r="Z229" s="274"/>
    </row>
    <row r="230" spans="2:26" s="236" customFormat="1">
      <c r="B230" s="274"/>
      <c r="C230" s="274"/>
      <c r="D230" s="274"/>
      <c r="E230" s="219"/>
      <c r="F230" s="274"/>
      <c r="G230" s="274"/>
      <c r="H230" s="274"/>
      <c r="I230" s="275"/>
      <c r="J230" s="275"/>
      <c r="K230" s="275"/>
      <c r="L230" s="274"/>
      <c r="M230" s="274"/>
      <c r="N230" s="274"/>
      <c r="O230" s="274"/>
      <c r="P230" s="274"/>
      <c r="Q230" s="274"/>
      <c r="R230" s="235"/>
      <c r="S230" s="235"/>
      <c r="T230" s="235"/>
      <c r="U230" s="276"/>
      <c r="V230" s="240"/>
      <c r="Z230" s="274"/>
    </row>
    <row r="231" spans="2:26" s="236" customFormat="1">
      <c r="B231" s="274"/>
      <c r="C231" s="274"/>
      <c r="D231" s="274"/>
      <c r="E231" s="219"/>
      <c r="F231" s="274"/>
      <c r="G231" s="274"/>
      <c r="H231" s="274"/>
      <c r="I231" s="275"/>
      <c r="J231" s="275"/>
      <c r="K231" s="275"/>
      <c r="L231" s="274"/>
      <c r="M231" s="274"/>
      <c r="N231" s="274"/>
      <c r="O231" s="274"/>
      <c r="P231" s="274"/>
      <c r="Q231" s="274"/>
      <c r="R231" s="235"/>
      <c r="S231" s="235"/>
      <c r="T231" s="235"/>
      <c r="U231" s="276"/>
      <c r="V231" s="240"/>
      <c r="Z231" s="274"/>
    </row>
    <row r="232" spans="2:26" s="236" customFormat="1">
      <c r="B232" s="274"/>
      <c r="C232" s="274"/>
      <c r="D232" s="274"/>
      <c r="E232" s="219"/>
      <c r="F232" s="274"/>
      <c r="G232" s="274"/>
      <c r="H232" s="274"/>
      <c r="I232" s="275"/>
      <c r="J232" s="275"/>
      <c r="K232" s="275"/>
      <c r="L232" s="274"/>
      <c r="M232" s="274"/>
      <c r="N232" s="274"/>
      <c r="O232" s="274"/>
      <c r="P232" s="274"/>
      <c r="Q232" s="274"/>
      <c r="R232" s="235"/>
      <c r="S232" s="235"/>
      <c r="T232" s="235"/>
      <c r="U232" s="276"/>
      <c r="V232" s="240"/>
      <c r="Z232" s="274"/>
    </row>
    <row r="233" spans="2:26" s="236" customFormat="1">
      <c r="B233" s="274"/>
      <c r="C233" s="274"/>
      <c r="D233" s="274"/>
      <c r="E233" s="219"/>
      <c r="F233" s="274"/>
      <c r="G233" s="274"/>
      <c r="H233" s="274"/>
      <c r="I233" s="275"/>
      <c r="J233" s="275"/>
      <c r="K233" s="275"/>
      <c r="L233" s="274"/>
      <c r="M233" s="274"/>
      <c r="N233" s="274"/>
      <c r="O233" s="274"/>
      <c r="P233" s="274"/>
      <c r="Q233" s="274"/>
      <c r="R233" s="235"/>
      <c r="S233" s="235"/>
      <c r="T233" s="235"/>
      <c r="U233" s="276"/>
      <c r="V233" s="240"/>
      <c r="Z233" s="274"/>
    </row>
    <row r="234" spans="2:26" s="236" customFormat="1">
      <c r="B234" s="274"/>
      <c r="C234" s="274"/>
      <c r="D234" s="274"/>
      <c r="E234" s="219"/>
      <c r="F234" s="274"/>
      <c r="G234" s="274"/>
      <c r="H234" s="274"/>
      <c r="I234" s="275"/>
      <c r="J234" s="275"/>
      <c r="K234" s="275"/>
      <c r="L234" s="274"/>
      <c r="M234" s="274"/>
      <c r="N234" s="274"/>
      <c r="O234" s="274"/>
      <c r="P234" s="274"/>
      <c r="Q234" s="274"/>
      <c r="R234" s="235"/>
      <c r="S234" s="235"/>
      <c r="T234" s="235"/>
      <c r="U234" s="276"/>
      <c r="V234" s="240"/>
      <c r="Z234" s="274"/>
    </row>
    <row r="235" spans="2:26" s="236" customFormat="1">
      <c r="B235" s="274"/>
      <c r="C235" s="274"/>
      <c r="D235" s="274"/>
      <c r="E235" s="219"/>
      <c r="F235" s="274"/>
      <c r="G235" s="274"/>
      <c r="H235" s="274"/>
      <c r="I235" s="275"/>
      <c r="J235" s="275"/>
      <c r="K235" s="275"/>
      <c r="L235" s="274"/>
      <c r="M235" s="274"/>
      <c r="N235" s="274"/>
      <c r="O235" s="274"/>
      <c r="P235" s="274"/>
      <c r="Q235" s="274"/>
      <c r="R235" s="235"/>
      <c r="S235" s="235"/>
      <c r="T235" s="235"/>
      <c r="U235" s="276"/>
      <c r="V235" s="240"/>
      <c r="Z235" s="274"/>
    </row>
  </sheetData>
  <sheetProtection algorithmName="SHA-512" hashValue="fGsQ+ayIg27w2xkm98Ya07kgLSD6SdAfKYmqJUiGqCgvp3+6MBFuXPe4vXAaVlnXJIOVYCMoZjreVPyVOSb8OA==" saltValue="djy0eeGdPok9fQEu8Z6ftQ==" spinCount="100000" sheet="1" objects="1" scenarios="1"/>
  <customSheetViews>
    <customSheetView guid="{1E06907C-2281-4617-B0F2-1AE7DC994915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51561219-1382-4CE8-929B-1B7C97EAD663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70">
    <mergeCell ref="S3:S5"/>
    <mergeCell ref="T3:T5"/>
    <mergeCell ref="B119:C119"/>
    <mergeCell ref="B120:C120"/>
    <mergeCell ref="B121:C121"/>
    <mergeCell ref="B115:C115"/>
    <mergeCell ref="B116:C116"/>
    <mergeCell ref="B117:C117"/>
    <mergeCell ref="B118:C118"/>
    <mergeCell ref="B111:C111"/>
    <mergeCell ref="B104:C104"/>
    <mergeCell ref="B110:C110"/>
    <mergeCell ref="B112:C112"/>
    <mergeCell ref="B113:C113"/>
    <mergeCell ref="B105:C105"/>
    <mergeCell ref="B106:C106"/>
    <mergeCell ref="B107:C107"/>
    <mergeCell ref="B108:C108"/>
    <mergeCell ref="B109:C109"/>
    <mergeCell ref="B102:C102"/>
    <mergeCell ref="B103:C103"/>
    <mergeCell ref="B33:C33"/>
    <mergeCell ref="C101:D101"/>
    <mergeCell ref="B86:C86"/>
    <mergeCell ref="B72:C72"/>
    <mergeCell ref="B87:C87"/>
    <mergeCell ref="B88:C88"/>
    <mergeCell ref="B83:C83"/>
    <mergeCell ref="B84:C84"/>
    <mergeCell ref="B90:C90"/>
    <mergeCell ref="B92:C92"/>
    <mergeCell ref="C89:D89"/>
    <mergeCell ref="B67:C67"/>
    <mergeCell ref="B68:C68"/>
    <mergeCell ref="B40:C40"/>
    <mergeCell ref="B42:C42"/>
    <mergeCell ref="B34:C34"/>
    <mergeCell ref="B32:C32"/>
    <mergeCell ref="B20:C20"/>
    <mergeCell ref="B21:C21"/>
    <mergeCell ref="B24:C24"/>
    <mergeCell ref="B25:C25"/>
    <mergeCell ref="B27:C27"/>
    <mergeCell ref="B35:C35"/>
    <mergeCell ref="B36:C36"/>
    <mergeCell ref="B37:C37"/>
    <mergeCell ref="B38:C38"/>
    <mergeCell ref="B39:C39"/>
    <mergeCell ref="K3:K4"/>
    <mergeCell ref="B17:C17"/>
    <mergeCell ref="B18:C18"/>
    <mergeCell ref="B19:C19"/>
    <mergeCell ref="B30:C30"/>
    <mergeCell ref="B29:C29"/>
    <mergeCell ref="B2:T2"/>
    <mergeCell ref="B16:C16"/>
    <mergeCell ref="P3:Q3"/>
    <mergeCell ref="F3:F5"/>
    <mergeCell ref="L3:L5"/>
    <mergeCell ref="M3:M5"/>
    <mergeCell ref="N3:N5"/>
    <mergeCell ref="O3:O5"/>
    <mergeCell ref="R3:R5"/>
    <mergeCell ref="G3:I4"/>
    <mergeCell ref="G14:L14"/>
    <mergeCell ref="G12:N13"/>
    <mergeCell ref="O12:Q13"/>
    <mergeCell ref="B11:Q11"/>
    <mergeCell ref="B7:Q7"/>
    <mergeCell ref="J3:J4"/>
  </mergeCells>
  <phoneticPr fontId="10"/>
  <pageMargins left="0.5" right="0.24" top="0.75" bottom="0.42" header="0.3" footer="0.24"/>
  <pageSetup scale="50" fitToHeight="3" orientation="landscape" verticalDpi="4294967292"/>
  <headerFooter>
    <oddFooter>&amp;C&amp;A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tabColor rgb="FF00B050"/>
    <pageSetUpPr fitToPage="1"/>
  </sheetPr>
  <dimension ref="A1:T102"/>
  <sheetViews>
    <sheetView workbookViewId="0">
      <selection sqref="A1:N1"/>
    </sheetView>
  </sheetViews>
  <sheetFormatPr defaultColWidth="8.6640625" defaultRowHeight="15"/>
  <cols>
    <col min="1" max="1" width="1.88671875" style="9" customWidth="1"/>
    <col min="2" max="2" width="12.88671875" style="9" customWidth="1"/>
    <col min="3" max="3" width="10.6640625" style="9" customWidth="1"/>
    <col min="4" max="4" width="10" style="9" customWidth="1"/>
    <col min="5" max="5" width="11.109375" style="13" customWidth="1"/>
    <col min="6" max="6" width="7.109375" style="13" customWidth="1"/>
    <col min="7" max="7" width="1.109375" style="9" customWidth="1"/>
    <col min="8" max="8" width="1.6640625" style="9" customWidth="1"/>
    <col min="9" max="9" width="13" style="9" customWidth="1"/>
    <col min="10" max="10" width="9.6640625" style="9" customWidth="1"/>
    <col min="11" max="11" width="11" style="9" customWidth="1"/>
    <col min="12" max="12" width="12.5546875" style="13" customWidth="1"/>
    <col min="13" max="13" width="7.33203125" style="13" customWidth="1"/>
    <col min="14" max="14" width="2.6640625" style="9" customWidth="1"/>
    <col min="15" max="16384" width="8.6640625" style="9"/>
  </cols>
  <sheetData>
    <row r="1" spans="1:14" ht="19.5" thickBot="1">
      <c r="A1" s="2166" t="s">
        <v>626</v>
      </c>
      <c r="B1" s="2166"/>
      <c r="C1" s="2166"/>
      <c r="D1" s="2166"/>
      <c r="E1" s="2166"/>
      <c r="F1" s="2166"/>
      <c r="G1" s="2166"/>
      <c r="H1" s="2166"/>
      <c r="I1" s="2166"/>
      <c r="J1" s="2166"/>
      <c r="K1" s="2166"/>
      <c r="L1" s="2166"/>
      <c r="M1" s="2166"/>
      <c r="N1" s="2166"/>
    </row>
    <row r="2" spans="1:14" ht="11.1" customHeight="1">
      <c r="A2" s="1537"/>
      <c r="B2" s="1027"/>
      <c r="C2" s="1027"/>
      <c r="D2" s="1027"/>
      <c r="E2" s="1538"/>
      <c r="F2" s="1539"/>
      <c r="G2" s="1539"/>
      <c r="H2" s="1539"/>
      <c r="I2" s="1539"/>
      <c r="J2" s="1539"/>
      <c r="K2" s="1540"/>
      <c r="L2" s="1538"/>
      <c r="M2" s="1538"/>
      <c r="N2" s="1189"/>
    </row>
    <row r="3" spans="1:14">
      <c r="A3" s="865"/>
      <c r="B3" s="2168" t="s">
        <v>199</v>
      </c>
      <c r="C3" s="2168"/>
      <c r="D3" s="348">
        <v>2.5000000000000001E-2</v>
      </c>
      <c r="E3" s="1228"/>
      <c r="F3" s="1541" t="s">
        <v>640</v>
      </c>
      <c r="G3" s="1541"/>
      <c r="H3" s="1541"/>
      <c r="I3" s="1542"/>
      <c r="J3" s="1190"/>
      <c r="K3" s="340"/>
      <c r="L3" s="1228"/>
      <c r="M3" s="1228"/>
      <c r="N3" s="1065"/>
    </row>
    <row r="4" spans="1:14">
      <c r="A4" s="865"/>
      <c r="B4" s="2168" t="s">
        <v>200</v>
      </c>
      <c r="C4" s="2168"/>
      <c r="D4" s="348">
        <v>3.5000000000000003E-2</v>
      </c>
      <c r="E4" s="1228"/>
      <c r="F4" s="1543" t="s">
        <v>641</v>
      </c>
      <c r="G4" s="1543"/>
      <c r="H4" s="1544"/>
      <c r="I4" s="1545"/>
      <c r="J4" s="342"/>
      <c r="K4" s="373">
        <v>0.1</v>
      </c>
      <c r="L4" s="1228"/>
      <c r="M4" s="1228"/>
      <c r="N4" s="1065"/>
    </row>
    <row r="5" spans="1:14">
      <c r="A5" s="865"/>
      <c r="B5" s="2167" t="s">
        <v>198</v>
      </c>
      <c r="C5" s="2167"/>
      <c r="D5" s="407">
        <v>3.5000000000000003E-2</v>
      </c>
      <c r="E5" s="1228"/>
      <c r="F5" s="1543" t="s">
        <v>642</v>
      </c>
      <c r="G5" s="1543"/>
      <c r="H5" s="1544"/>
      <c r="I5" s="1546"/>
      <c r="J5" s="340"/>
      <c r="K5" s="408">
        <v>0.1</v>
      </c>
      <c r="L5" s="1228"/>
      <c r="M5" s="1228"/>
      <c r="N5" s="1065"/>
    </row>
    <row r="6" spans="1:14">
      <c r="A6" s="865"/>
      <c r="B6" s="1547" t="s">
        <v>506</v>
      </c>
      <c r="C6" s="1547"/>
      <c r="D6" s="348">
        <v>2.5000000000000001E-2</v>
      </c>
      <c r="E6" s="1228"/>
      <c r="F6" s="1543" t="s">
        <v>1425</v>
      </c>
      <c r="G6" s="1543"/>
      <c r="H6" s="1544"/>
      <c r="I6" s="1546"/>
      <c r="J6" s="340"/>
      <c r="K6" s="408">
        <v>0.1</v>
      </c>
      <c r="L6" s="1228"/>
      <c r="M6" s="1228"/>
      <c r="N6" s="1065"/>
    </row>
    <row r="7" spans="1:14">
      <c r="A7" s="865"/>
      <c r="B7" s="2168" t="s">
        <v>201</v>
      </c>
      <c r="C7" s="2168"/>
      <c r="D7" s="348">
        <v>3.5000000000000003E-2</v>
      </c>
      <c r="E7" s="1228"/>
      <c r="F7" s="1543" t="s">
        <v>643</v>
      </c>
      <c r="G7" s="1543"/>
      <c r="H7" s="1544"/>
      <c r="I7" s="1546"/>
      <c r="J7" s="340"/>
      <c r="K7" s="408">
        <v>0.05</v>
      </c>
      <c r="L7" s="1228"/>
      <c r="M7" s="1228"/>
      <c r="N7" s="1065"/>
    </row>
    <row r="8" spans="1:14">
      <c r="A8" s="865"/>
      <c r="B8" s="1547" t="s">
        <v>403</v>
      </c>
      <c r="C8" s="1547"/>
      <c r="D8" s="348">
        <v>2.5000000000000001E-2</v>
      </c>
      <c r="E8" s="1228"/>
      <c r="F8" s="1543" t="s">
        <v>658</v>
      </c>
      <c r="G8" s="1190"/>
      <c r="H8" s="1190"/>
      <c r="I8" s="1190"/>
      <c r="J8" s="340"/>
      <c r="K8" s="408">
        <v>0.05</v>
      </c>
      <c r="L8" s="1228"/>
      <c r="M8" s="1228"/>
      <c r="N8" s="1065"/>
    </row>
    <row r="9" spans="1:14">
      <c r="A9" s="865"/>
      <c r="B9" s="1547" t="s">
        <v>404</v>
      </c>
      <c r="C9" s="1547"/>
      <c r="D9" s="348">
        <v>2.5000000000000001E-2</v>
      </c>
      <c r="E9" s="1228"/>
      <c r="F9" s="2169" t="s">
        <v>142</v>
      </c>
      <c r="G9" s="2170"/>
      <c r="H9" s="2170"/>
      <c r="I9" s="2170"/>
      <c r="J9" s="2171"/>
      <c r="K9" s="373">
        <v>0.1</v>
      </c>
      <c r="L9" s="1228"/>
      <c r="M9" s="1228"/>
      <c r="N9" s="1065"/>
    </row>
    <row r="10" spans="1:14">
      <c r="A10" s="865"/>
      <c r="B10" s="1547" t="s">
        <v>444</v>
      </c>
      <c r="C10" s="1547"/>
      <c r="D10" s="348">
        <v>3.5000000000000003E-2</v>
      </c>
      <c r="E10" s="1228"/>
      <c r="F10" s="1228"/>
      <c r="G10" s="1228"/>
      <c r="H10" s="1228"/>
      <c r="I10" s="1228"/>
      <c r="J10" s="1228"/>
      <c r="K10" s="1228"/>
      <c r="L10" s="1228"/>
      <c r="M10" s="1228"/>
      <c r="N10" s="1065"/>
    </row>
    <row r="11" spans="1:14" ht="8.25" customHeight="1">
      <c r="A11" s="865"/>
      <c r="B11" s="1044"/>
      <c r="C11" s="1044"/>
      <c r="D11" s="1044"/>
      <c r="E11" s="1228"/>
      <c r="F11" s="1228"/>
      <c r="G11" s="1044"/>
      <c r="H11" s="1044"/>
      <c r="I11" s="1044"/>
      <c r="J11" s="1044"/>
      <c r="K11" s="1044"/>
      <c r="L11" s="1228"/>
      <c r="M11" s="1228"/>
      <c r="N11" s="1065"/>
    </row>
    <row r="12" spans="1:14" ht="6" customHeight="1" thickBot="1">
      <c r="A12" s="871"/>
      <c r="B12" s="1087"/>
      <c r="C12" s="1087"/>
      <c r="D12" s="1087"/>
      <c r="E12" s="1087"/>
      <c r="F12" s="1087"/>
      <c r="G12" s="1087"/>
      <c r="H12" s="1087"/>
      <c r="I12" s="1087"/>
      <c r="J12" s="1087"/>
      <c r="K12" s="1087"/>
      <c r="L12" s="1061"/>
      <c r="M12" s="1061"/>
      <c r="N12" s="1128"/>
    </row>
    <row r="13" spans="1:14" ht="15.75">
      <c r="A13" s="2048" t="s">
        <v>232</v>
      </c>
      <c r="B13" s="2049"/>
      <c r="C13" s="2049"/>
      <c r="D13" s="2049"/>
      <c r="E13" s="2049"/>
      <c r="F13" s="2050"/>
      <c r="G13" s="876"/>
      <c r="H13" s="1902" t="s">
        <v>167</v>
      </c>
      <c r="I13" s="1903"/>
      <c r="J13" s="1903"/>
      <c r="K13" s="1903"/>
      <c r="L13" s="1903"/>
      <c r="M13" s="1903"/>
      <c r="N13" s="1548"/>
    </row>
    <row r="14" spans="1:14" ht="8.1" customHeight="1">
      <c r="A14" s="865"/>
      <c r="B14" s="1044"/>
      <c r="C14" s="1044"/>
      <c r="D14" s="1044"/>
      <c r="E14" s="2160" t="s">
        <v>202</v>
      </c>
      <c r="F14" s="2161" t="s">
        <v>203</v>
      </c>
      <c r="G14" s="876"/>
      <c r="H14" s="1549"/>
      <c r="I14" s="1550"/>
      <c r="J14" s="1550"/>
      <c r="K14" s="1550"/>
      <c r="L14" s="1550"/>
      <c r="M14" s="1550"/>
      <c r="N14" s="1548"/>
    </row>
    <row r="15" spans="1:14">
      <c r="A15" s="1074" t="s">
        <v>204</v>
      </c>
      <c r="B15" s="1044"/>
      <c r="C15" s="1044"/>
      <c r="D15" s="1551">
        <f>+$D$4</f>
        <v>3.5000000000000003E-2</v>
      </c>
      <c r="E15" s="2160"/>
      <c r="F15" s="2161"/>
      <c r="G15" s="876"/>
      <c r="H15" s="1552" t="s">
        <v>144</v>
      </c>
      <c r="I15" s="1553"/>
      <c r="J15" s="349">
        <v>1.1499999999999999</v>
      </c>
      <c r="K15" s="1553" t="s">
        <v>168</v>
      </c>
      <c r="L15" s="1554"/>
      <c r="M15" s="2149">
        <f>PV((K21+K22)/12,K23*12,-E90/J15/12)</f>
        <v>0</v>
      </c>
      <c r="N15" s="2150"/>
    </row>
    <row r="16" spans="1:14" ht="16.5" customHeight="1">
      <c r="A16" s="865"/>
      <c r="B16" s="1044" t="s">
        <v>206</v>
      </c>
      <c r="C16" s="1044"/>
      <c r="D16" s="1044"/>
      <c r="E16" s="343">
        <v>0</v>
      </c>
      <c r="F16" s="1219">
        <f>IFERROR(+E16/Rents!$K$56,0)</f>
        <v>0</v>
      </c>
      <c r="G16" s="876"/>
      <c r="H16" s="1049"/>
      <c r="I16" s="1190"/>
      <c r="J16" s="1555"/>
      <c r="K16" s="1190"/>
      <c r="L16" s="1555"/>
      <c r="M16" s="1555"/>
      <c r="N16" s="1556"/>
    </row>
    <row r="17" spans="1:16" ht="16.5" customHeight="1">
      <c r="A17" s="865"/>
      <c r="B17" s="1044" t="s">
        <v>205</v>
      </c>
      <c r="C17" s="1044"/>
      <c r="D17" s="1044"/>
      <c r="E17" s="343"/>
      <c r="F17" s="1219">
        <f>IFERROR(+E17/Rents!$K$56,0)</f>
        <v>0</v>
      </c>
      <c r="G17" s="876"/>
      <c r="H17" s="1557"/>
      <c r="I17" s="1558"/>
      <c r="J17" s="1559"/>
      <c r="K17" s="1560" t="s">
        <v>653</v>
      </c>
      <c r="L17" s="1559"/>
      <c r="M17" s="1559"/>
      <c r="N17" s="1561"/>
    </row>
    <row r="18" spans="1:16">
      <c r="A18" s="865"/>
      <c r="B18" s="1044" t="s">
        <v>221</v>
      </c>
      <c r="C18" s="1044"/>
      <c r="D18" s="1044"/>
      <c r="E18" s="343"/>
      <c r="F18" s="1219">
        <f>IFERROR(+E18/Rents!$K$56,0)</f>
        <v>0</v>
      </c>
      <c r="G18" s="876"/>
      <c r="H18" s="1562" t="s">
        <v>145</v>
      </c>
      <c r="I18" s="1044"/>
      <c r="J18" s="1044"/>
      <c r="K18" s="818"/>
      <c r="L18" s="819"/>
      <c r="M18" s="819"/>
      <c r="N18" s="820"/>
    </row>
    <row r="19" spans="1:16" ht="15.75">
      <c r="A19" s="865"/>
      <c r="B19" s="1044" t="s">
        <v>207</v>
      </c>
      <c r="C19" s="1044"/>
      <c r="D19" s="1044"/>
      <c r="E19" s="343"/>
      <c r="F19" s="1219">
        <f>IFERROR(+E19/Rents!$K$56,0)</f>
        <v>0</v>
      </c>
      <c r="G19" s="876"/>
      <c r="H19" s="865"/>
      <c r="I19" s="1044" t="s">
        <v>148</v>
      </c>
      <c r="J19" s="1044"/>
      <c r="K19" s="343"/>
      <c r="L19" s="2153"/>
      <c r="M19" s="2154"/>
      <c r="N19" s="2155"/>
    </row>
    <row r="20" spans="1:16" ht="15" customHeight="1">
      <c r="A20" s="865"/>
      <c r="B20" s="1044" t="s">
        <v>228</v>
      </c>
      <c r="C20" s="1044"/>
      <c r="D20" s="1044"/>
      <c r="E20" s="343"/>
      <c r="F20" s="1219">
        <f>IFERROR(+E20/Rents!$K$56,0)</f>
        <v>0</v>
      </c>
      <c r="G20" s="876"/>
      <c r="H20" s="865"/>
      <c r="I20" s="1044" t="s">
        <v>151</v>
      </c>
      <c r="J20" s="1044"/>
      <c r="K20" s="1407" t="s">
        <v>150</v>
      </c>
      <c r="L20" s="1563" t="s">
        <v>152</v>
      </c>
      <c r="M20" s="2151" t="s">
        <v>153</v>
      </c>
      <c r="N20" s="2152"/>
    </row>
    <row r="21" spans="1:16">
      <c r="A21" s="865"/>
      <c r="B21" s="1044" t="s">
        <v>217</v>
      </c>
      <c r="C21" s="2147"/>
      <c r="D21" s="2148"/>
      <c r="E21" s="343"/>
      <c r="F21" s="1219">
        <f>IFERROR(+E21/Rents!$K$56,0)</f>
        <v>0</v>
      </c>
      <c r="G21" s="876"/>
      <c r="H21" s="865"/>
      <c r="I21" s="1044" t="s">
        <v>146</v>
      </c>
      <c r="J21" s="1044"/>
      <c r="K21" s="344">
        <v>0</v>
      </c>
      <c r="L21" s="1564" t="s">
        <v>68</v>
      </c>
      <c r="M21" s="1565"/>
      <c r="N21" s="1047">
        <f>'Project Info'!O7+'Project Info'!O9</f>
        <v>0</v>
      </c>
    </row>
    <row r="22" spans="1:16">
      <c r="A22" s="865"/>
      <c r="B22" s="1075" t="s">
        <v>208</v>
      </c>
      <c r="C22" s="1075"/>
      <c r="D22" s="1075"/>
      <c r="E22" s="1231">
        <f>SUM(E16:E21)</f>
        <v>0</v>
      </c>
      <c r="F22" s="1219">
        <f>IFERROR(+E22/Rents!$K$56,0)</f>
        <v>0</v>
      </c>
      <c r="G22" s="876"/>
      <c r="H22" s="865"/>
      <c r="I22" s="1044" t="s">
        <v>107</v>
      </c>
      <c r="J22" s="1044"/>
      <c r="K22" s="344">
        <v>0</v>
      </c>
      <c r="L22" s="1566"/>
      <c r="M22" s="1567"/>
      <c r="N22" s="1568"/>
    </row>
    <row r="23" spans="1:16">
      <c r="A23" s="1074" t="s">
        <v>173</v>
      </c>
      <c r="B23" s="1044"/>
      <c r="C23" s="1044"/>
      <c r="D23" s="1569">
        <f>+$D$4</f>
        <v>3.5000000000000003E-2</v>
      </c>
      <c r="E23" s="1228"/>
      <c r="F23" s="1230"/>
      <c r="G23" s="876"/>
      <c r="H23" s="865"/>
      <c r="I23" s="1044" t="s">
        <v>147</v>
      </c>
      <c r="J23" s="1044"/>
      <c r="K23" s="345">
        <v>0</v>
      </c>
      <c r="L23" s="1570" t="s">
        <v>245</v>
      </c>
      <c r="M23" s="848">
        <v>0</v>
      </c>
      <c r="N23" s="849"/>
    </row>
    <row r="24" spans="1:16">
      <c r="A24" s="865"/>
      <c r="B24" s="1075" t="s">
        <v>222</v>
      </c>
      <c r="C24" s="1044"/>
      <c r="D24" s="1044"/>
      <c r="E24" s="343"/>
      <c r="F24" s="1219">
        <f>IFERROR(+E24/Rents!$K$56,0)</f>
        <v>0</v>
      </c>
      <c r="G24" s="876"/>
      <c r="H24" s="865"/>
      <c r="I24" s="1044" t="s">
        <v>154</v>
      </c>
      <c r="J24" s="1044"/>
      <c r="K24" s="1571">
        <f>IFERROR(IF(AND(K20="Hard",M20="Amortizing"),PMT(K21/12,K23*12,-K19)*12+(K19*K22),IF(AND(K20="Hard",M20="Interest Only"),+K21*K19,0)),0)</f>
        <v>0</v>
      </c>
      <c r="L24" s="1572">
        <f>IFERROR(IF(K20="Hard",+E90/K24,"DCR NA"),0)</f>
        <v>0</v>
      </c>
      <c r="M24" s="1228"/>
      <c r="N24" s="1065"/>
    </row>
    <row r="25" spans="1:16" ht="14.25" customHeight="1">
      <c r="A25" s="1074" t="s">
        <v>216</v>
      </c>
      <c r="B25" s="1044"/>
      <c r="C25" s="1044"/>
      <c r="D25" s="1569">
        <f>+$D$4</f>
        <v>3.5000000000000003E-2</v>
      </c>
      <c r="E25" s="1573"/>
      <c r="F25" s="1230"/>
      <c r="G25" s="876"/>
      <c r="H25" s="865"/>
      <c r="I25" s="1044"/>
      <c r="J25" s="1044"/>
      <c r="K25" s="1044"/>
      <c r="L25" s="1228"/>
      <c r="M25" s="1228"/>
      <c r="N25" s="1065"/>
    </row>
    <row r="26" spans="1:16" ht="14.25" customHeight="1">
      <c r="A26" s="865"/>
      <c r="B26" s="1044" t="s">
        <v>252</v>
      </c>
      <c r="C26" s="1044"/>
      <c r="D26" s="1044"/>
      <c r="E26" s="343">
        <v>0</v>
      </c>
      <c r="F26" s="1219">
        <f>IFERROR(+E26/Rents!$K$56,0)</f>
        <v>0</v>
      </c>
      <c r="G26" s="876"/>
      <c r="H26" s="2162" t="s">
        <v>654</v>
      </c>
      <c r="I26" s="1953"/>
      <c r="J26" s="1953"/>
      <c r="K26" s="1953"/>
      <c r="L26" s="1953"/>
      <c r="M26" s="1953"/>
      <c r="N26" s="1954"/>
    </row>
    <row r="27" spans="1:16">
      <c r="A27" s="865"/>
      <c r="B27" s="1044" t="s">
        <v>256</v>
      </c>
      <c r="C27" s="1044"/>
      <c r="D27" s="1044"/>
      <c r="E27" s="343">
        <v>0</v>
      </c>
      <c r="F27" s="1219">
        <f>IFERROR(+E27/Rents!$K$56,0)</f>
        <v>0</v>
      </c>
      <c r="G27" s="876"/>
      <c r="H27" s="1562" t="s">
        <v>656</v>
      </c>
      <c r="I27" s="1044"/>
      <c r="J27" s="1044"/>
      <c r="K27" s="823"/>
      <c r="L27" s="824"/>
      <c r="M27" s="824"/>
      <c r="N27" s="825"/>
    </row>
    <row r="28" spans="1:16" ht="18.75" customHeight="1">
      <c r="A28" s="865"/>
      <c r="B28" s="1044" t="s">
        <v>263</v>
      </c>
      <c r="C28" s="1044"/>
      <c r="D28" s="1044"/>
      <c r="E28" s="343">
        <v>0</v>
      </c>
      <c r="F28" s="1219">
        <f>IFERROR(+E28/Rents!$K$56,0)</f>
        <v>0</v>
      </c>
      <c r="G28" s="876"/>
      <c r="H28" s="865"/>
      <c r="I28" s="1044" t="s">
        <v>148</v>
      </c>
      <c r="J28" s="1044"/>
      <c r="K28" s="343"/>
      <c r="L28" s="326" t="s">
        <v>94</v>
      </c>
      <c r="M28" s="2178" t="s">
        <v>351</v>
      </c>
      <c r="N28" s="2179"/>
    </row>
    <row r="29" spans="1:16">
      <c r="A29" s="865"/>
      <c r="B29" s="1044" t="s">
        <v>217</v>
      </c>
      <c r="C29" s="821"/>
      <c r="D29" s="807"/>
      <c r="E29" s="343"/>
      <c r="F29" s="1219">
        <f>IFERROR(+E29/Rents!$K$56,0)</f>
        <v>0</v>
      </c>
      <c r="G29" s="876"/>
      <c r="H29" s="865"/>
      <c r="I29" s="1044" t="s">
        <v>149</v>
      </c>
      <c r="J29" s="1044"/>
      <c r="K29" s="1531" t="s">
        <v>150</v>
      </c>
      <c r="L29" s="1531" t="s">
        <v>152</v>
      </c>
      <c r="M29" s="2158" t="s">
        <v>581</v>
      </c>
      <c r="N29" s="2159"/>
    </row>
    <row r="30" spans="1:16">
      <c r="A30" s="865"/>
      <c r="B30" s="1075" t="s">
        <v>225</v>
      </c>
      <c r="C30" s="1044"/>
      <c r="D30" s="1044"/>
      <c r="E30" s="1231">
        <f>SUM(E26:E29)</f>
        <v>0</v>
      </c>
      <c r="F30" s="1219">
        <f>IFERROR(+E30/Rents!$K$56,0)</f>
        <v>0</v>
      </c>
      <c r="G30" s="876"/>
      <c r="H30" s="865"/>
      <c r="I30" s="1044" t="s">
        <v>582</v>
      </c>
      <c r="J30" s="1044"/>
      <c r="K30" s="205">
        <v>0</v>
      </c>
      <c r="L30" s="2180" t="s">
        <v>583</v>
      </c>
      <c r="M30" s="2181"/>
      <c r="N30" s="2182"/>
    </row>
    <row r="31" spans="1:16">
      <c r="A31" s="1074" t="s">
        <v>174</v>
      </c>
      <c r="B31" s="1044"/>
      <c r="C31" s="1044"/>
      <c r="D31" s="1569">
        <f>+$D$4</f>
        <v>3.5000000000000003E-2</v>
      </c>
      <c r="E31" s="1228"/>
      <c r="F31" s="1230"/>
      <c r="G31" s="876"/>
      <c r="H31" s="865"/>
      <c r="I31" s="1044" t="s">
        <v>146</v>
      </c>
      <c r="J31" s="1044"/>
      <c r="K31" s="346">
        <v>0</v>
      </c>
      <c r="L31" s="1574" t="s">
        <v>68</v>
      </c>
      <c r="M31" s="1575"/>
      <c r="N31" s="1576">
        <f>N21</f>
        <v>0</v>
      </c>
    </row>
    <row r="32" spans="1:16" ht="15.75">
      <c r="A32" s="865"/>
      <c r="B32" s="1044" t="s">
        <v>223</v>
      </c>
      <c r="C32" s="1044"/>
      <c r="D32" s="1044"/>
      <c r="E32" s="343"/>
      <c r="F32" s="1219">
        <f>IFERROR(+E32/Rents!$K$56,0)</f>
        <v>0</v>
      </c>
      <c r="G32" s="876"/>
      <c r="H32" s="865"/>
      <c r="I32" s="1044" t="s">
        <v>147</v>
      </c>
      <c r="J32" s="1044"/>
      <c r="K32" s="345">
        <v>0</v>
      </c>
      <c r="L32" s="1570" t="s">
        <v>245</v>
      </c>
      <c r="M32" s="848">
        <v>0</v>
      </c>
      <c r="N32" s="849"/>
      <c r="P32"/>
    </row>
    <row r="33" spans="1:20" ht="15.75">
      <c r="A33" s="865"/>
      <c r="B33" s="1044" t="s">
        <v>224</v>
      </c>
      <c r="C33" s="1044"/>
      <c r="D33" s="1044"/>
      <c r="E33" s="343">
        <v>0</v>
      </c>
      <c r="F33" s="1219">
        <f>IFERROR(+E33/Rents!$K$56,0)</f>
        <v>0</v>
      </c>
      <c r="G33" s="876"/>
      <c r="H33" s="865"/>
      <c r="I33" s="1044" t="s">
        <v>154</v>
      </c>
      <c r="J33" s="1044"/>
      <c r="K33" s="1571">
        <f>IF(AND(K29="Hard",M29="Amortizing"),PMT(K31/12,K32*12,-K28)*12,IF(AND(K29="Hard",M29="Fixed"),+K30*K28,0))</f>
        <v>0</v>
      </c>
      <c r="L33" s="1572">
        <f>IFERROR(IF(K29="Hard",+$E$90/($K$33+$K$24),"DCR NA"),0)</f>
        <v>0</v>
      </c>
      <c r="M33" s="1228"/>
      <c r="N33" s="1065"/>
      <c r="P33"/>
    </row>
    <row r="34" spans="1:20" ht="15.75">
      <c r="A34" s="865"/>
      <c r="B34" s="1044" t="s">
        <v>79</v>
      </c>
      <c r="C34" s="1044"/>
      <c r="D34" s="1044"/>
      <c r="E34" s="343"/>
      <c r="F34" s="1219">
        <f>IFERROR(+E34/Rents!$K$56,0)</f>
        <v>0</v>
      </c>
      <c r="G34" s="876"/>
      <c r="H34" s="1562" t="s">
        <v>656</v>
      </c>
      <c r="I34" s="1044"/>
      <c r="J34" s="1044"/>
      <c r="K34" s="858"/>
      <c r="L34" s="819"/>
      <c r="M34" s="819"/>
      <c r="N34" s="820"/>
      <c r="P34"/>
    </row>
    <row r="35" spans="1:20" ht="15.75">
      <c r="A35" s="865"/>
      <c r="B35" s="1044" t="s">
        <v>217</v>
      </c>
      <c r="C35" s="822"/>
      <c r="D35" s="807"/>
      <c r="E35" s="343"/>
      <c r="F35" s="1219">
        <f>IFERROR(+E35/Rents!$K$56,0)</f>
        <v>0</v>
      </c>
      <c r="G35" s="876"/>
      <c r="H35" s="865"/>
      <c r="I35" s="1044" t="s">
        <v>148</v>
      </c>
      <c r="J35" s="1044"/>
      <c r="K35" s="343"/>
      <c r="L35" s="1577" t="s">
        <v>94</v>
      </c>
      <c r="M35" s="2156" t="s">
        <v>351</v>
      </c>
      <c r="N35" s="2157"/>
      <c r="P35"/>
    </row>
    <row r="36" spans="1:20" ht="15.75" customHeight="1">
      <c r="A36" s="865"/>
      <c r="B36" s="1075" t="s">
        <v>80</v>
      </c>
      <c r="C36" s="1075"/>
      <c r="D36" s="1578"/>
      <c r="E36" s="1231">
        <f>SUM(E32:E35)</f>
        <v>0</v>
      </c>
      <c r="F36" s="1219">
        <f>IFERROR(+E36/Rents!$K$56,0)</f>
        <v>0</v>
      </c>
      <c r="G36" s="876"/>
      <c r="H36" s="865"/>
      <c r="I36" s="1044" t="s">
        <v>149</v>
      </c>
      <c r="J36" s="1044"/>
      <c r="K36" s="293" t="s">
        <v>150</v>
      </c>
      <c r="L36" s="1563" t="s">
        <v>152</v>
      </c>
      <c r="M36" s="2174" t="s">
        <v>581</v>
      </c>
      <c r="N36" s="2175"/>
      <c r="P36"/>
    </row>
    <row r="37" spans="1:20" ht="15.75">
      <c r="A37" s="1074" t="s">
        <v>209</v>
      </c>
      <c r="B37" s="1044"/>
      <c r="C37" s="1044"/>
      <c r="D37" s="1569">
        <f>+$D$4</f>
        <v>3.5000000000000003E-2</v>
      </c>
      <c r="E37" s="1228"/>
      <c r="F37" s="1230"/>
      <c r="G37" s="876"/>
      <c r="H37" s="865"/>
      <c r="I37" s="1044" t="s">
        <v>582</v>
      </c>
      <c r="J37" s="1044"/>
      <c r="K37" s="205">
        <v>0</v>
      </c>
      <c r="L37" s="2180" t="s">
        <v>583</v>
      </c>
      <c r="M37" s="2181"/>
      <c r="N37" s="2182"/>
      <c r="P37"/>
    </row>
    <row r="38" spans="1:20" ht="15.75">
      <c r="A38" s="865"/>
      <c r="B38" s="1044" t="s">
        <v>210</v>
      </c>
      <c r="C38" s="1044"/>
      <c r="D38" s="1044"/>
      <c r="E38" s="343">
        <v>0</v>
      </c>
      <c r="F38" s="1219">
        <f>IFERROR(+E38/Rents!$K$56,0)</f>
        <v>0</v>
      </c>
      <c r="G38" s="876"/>
      <c r="H38" s="865"/>
      <c r="I38" s="1044" t="s">
        <v>146</v>
      </c>
      <c r="J38" s="1044"/>
      <c r="K38" s="346">
        <v>0</v>
      </c>
      <c r="L38" s="1579" t="s">
        <v>122</v>
      </c>
      <c r="M38" s="1580"/>
      <c r="N38" s="1047">
        <f>N31</f>
        <v>0</v>
      </c>
      <c r="P38"/>
    </row>
    <row r="39" spans="1:20" ht="17.25" customHeight="1">
      <c r="A39" s="865"/>
      <c r="B39" s="1044" t="s">
        <v>211</v>
      </c>
      <c r="C39" s="1044"/>
      <c r="D39" s="1044"/>
      <c r="E39" s="343">
        <v>0</v>
      </c>
      <c r="F39" s="1219">
        <f>IFERROR(+E39/Rents!$K$56,0)</f>
        <v>0</v>
      </c>
      <c r="G39" s="876"/>
      <c r="H39" s="865"/>
      <c r="I39" s="1044" t="s">
        <v>147</v>
      </c>
      <c r="J39" s="1044"/>
      <c r="K39" s="345">
        <v>0</v>
      </c>
      <c r="L39" s="1570" t="s">
        <v>245</v>
      </c>
      <c r="M39" s="848"/>
      <c r="N39" s="849"/>
      <c r="P39"/>
    </row>
    <row r="40" spans="1:20" ht="17.25" customHeight="1">
      <c r="A40" s="865"/>
      <c r="B40" s="1044" t="s">
        <v>229</v>
      </c>
      <c r="C40" s="1044"/>
      <c r="D40" s="1044"/>
      <c r="E40" s="343"/>
      <c r="F40" s="1219">
        <f>IFERROR(+E40/Rents!$K$56,0)</f>
        <v>0</v>
      </c>
      <c r="G40" s="876"/>
      <c r="H40" s="865"/>
      <c r="I40" s="1044" t="s">
        <v>154</v>
      </c>
      <c r="J40" s="1044"/>
      <c r="K40" s="1571">
        <f>IF(AND(K36="Hard",M36="Amortizing"),PMT(K38/12,K39*12,-K35)*12,IF(AND(K36="Hard",M36="Fixed"),+K37*K35,0))</f>
        <v>0</v>
      </c>
      <c r="L40" s="1572">
        <f>IFERROR(IF(K36="Hard",+$E$90/($K$33+$K$24+K40),"DCR NA"),0)</f>
        <v>0</v>
      </c>
      <c r="M40" s="1228"/>
      <c r="N40" s="1065"/>
      <c r="P40"/>
    </row>
    <row r="41" spans="1:20" ht="15.75">
      <c r="A41" s="865"/>
      <c r="B41" s="1044" t="s">
        <v>230</v>
      </c>
      <c r="C41" s="1044"/>
      <c r="D41" s="1044"/>
      <c r="E41" s="343"/>
      <c r="F41" s="1219">
        <f>IFERROR(+E41/Rents!$K$56,0)</f>
        <v>0</v>
      </c>
      <c r="G41" s="876"/>
      <c r="H41" s="1562" t="s">
        <v>656</v>
      </c>
      <c r="I41" s="1044"/>
      <c r="J41" s="1044"/>
      <c r="K41" s="818"/>
      <c r="L41" s="819"/>
      <c r="M41" s="819"/>
      <c r="N41" s="820"/>
      <c r="P41"/>
    </row>
    <row r="42" spans="1:20" ht="15.75">
      <c r="A42" s="865"/>
      <c r="B42" s="1044" t="s">
        <v>212</v>
      </c>
      <c r="C42" s="1044"/>
      <c r="D42" s="1044"/>
      <c r="E42" s="343"/>
      <c r="F42" s="1219">
        <f>IFERROR(+E42/Rents!$K$56,0)</f>
        <v>0</v>
      </c>
      <c r="G42" s="876"/>
      <c r="H42" s="865"/>
      <c r="I42" s="1044" t="s">
        <v>148</v>
      </c>
      <c r="J42" s="1044"/>
      <c r="K42" s="343"/>
      <c r="L42" s="1577" t="s">
        <v>94</v>
      </c>
      <c r="M42" s="2156" t="s">
        <v>351</v>
      </c>
      <c r="N42" s="2157"/>
      <c r="P42"/>
      <c r="T42"/>
    </row>
    <row r="43" spans="1:20" ht="15.95" customHeight="1">
      <c r="A43" s="865"/>
      <c r="B43" s="1044" t="s">
        <v>214</v>
      </c>
      <c r="C43" s="1044"/>
      <c r="D43" s="1044"/>
      <c r="E43" s="343"/>
      <c r="F43" s="1219">
        <f>IFERROR(+E43/Rents!$K$56,0)</f>
        <v>0</v>
      </c>
      <c r="G43" s="876"/>
      <c r="H43" s="865"/>
      <c r="I43" s="1044" t="s">
        <v>149</v>
      </c>
      <c r="J43" s="1044"/>
      <c r="K43" s="293" t="s">
        <v>150</v>
      </c>
      <c r="L43" s="1563" t="s">
        <v>152</v>
      </c>
      <c r="M43" s="2174" t="s">
        <v>581</v>
      </c>
      <c r="N43" s="2175"/>
      <c r="O43" s="161"/>
      <c r="P43"/>
      <c r="T43"/>
    </row>
    <row r="44" spans="1:20" ht="15.75">
      <c r="A44" s="865"/>
      <c r="B44" s="1044" t="s">
        <v>213</v>
      </c>
      <c r="C44" s="1044"/>
      <c r="D44" s="1044"/>
      <c r="E44" s="343"/>
      <c r="F44" s="1219">
        <f>IFERROR(+E44/Rents!$K$56,0)</f>
        <v>0</v>
      </c>
      <c r="G44" s="876"/>
      <c r="H44" s="865"/>
      <c r="I44" s="1044" t="s">
        <v>582</v>
      </c>
      <c r="J44" s="1044"/>
      <c r="K44" s="205">
        <v>0</v>
      </c>
      <c r="L44" s="2180" t="s">
        <v>583</v>
      </c>
      <c r="M44" s="2181"/>
      <c r="N44" s="2182"/>
      <c r="P44"/>
    </row>
    <row r="45" spans="1:20" ht="15.75">
      <c r="A45" s="865"/>
      <c r="B45" s="1044" t="s">
        <v>217</v>
      </c>
      <c r="C45" s="822"/>
      <c r="D45" s="807"/>
      <c r="E45" s="343"/>
      <c r="F45" s="1219">
        <f>IFERROR(+E45/Rents!$K$56,0)</f>
        <v>0</v>
      </c>
      <c r="G45" s="876"/>
      <c r="H45" s="865"/>
      <c r="I45" s="1044" t="s">
        <v>146</v>
      </c>
      <c r="J45" s="1044"/>
      <c r="K45" s="346"/>
      <c r="L45" s="1579" t="s">
        <v>122</v>
      </c>
      <c r="M45" s="1580"/>
      <c r="N45" s="1047">
        <f>N38</f>
        <v>0</v>
      </c>
      <c r="P45"/>
    </row>
    <row r="46" spans="1:20" ht="14.25" customHeight="1">
      <c r="A46" s="865"/>
      <c r="B46" s="1075" t="s">
        <v>215</v>
      </c>
      <c r="C46" s="1044"/>
      <c r="D46" s="1044"/>
      <c r="E46" s="1231">
        <f>SUM(E38:E45)</f>
        <v>0</v>
      </c>
      <c r="F46" s="1581">
        <f>IFERROR(+E46/Rents!$K$56,0)</f>
        <v>0</v>
      </c>
      <c r="G46" s="876"/>
      <c r="H46" s="865"/>
      <c r="I46" s="1044" t="s">
        <v>147</v>
      </c>
      <c r="J46" s="1044"/>
      <c r="K46" s="345"/>
      <c r="L46" s="1570" t="s">
        <v>245</v>
      </c>
      <c r="M46" s="848"/>
      <c r="N46" s="849"/>
      <c r="P46"/>
    </row>
    <row r="47" spans="1:20" ht="15.75">
      <c r="A47" s="1074" t="s">
        <v>313</v>
      </c>
      <c r="B47" s="1044"/>
      <c r="C47" s="1044"/>
      <c r="D47" s="1569">
        <f>+$D$4</f>
        <v>3.5000000000000003E-2</v>
      </c>
      <c r="E47" s="1228"/>
      <c r="F47" s="1230"/>
      <c r="G47" s="876"/>
      <c r="H47" s="865"/>
      <c r="I47" s="1044" t="s">
        <v>154</v>
      </c>
      <c r="J47" s="1044"/>
      <c r="K47" s="1571">
        <f>IF(AND(K43="Hard",M43="Amortizing"),PMT(K45/12,K46*12,-K42)*12,IF(AND(K43="Hard",M43="Fixed"),+K44*K42,0))</f>
        <v>0</v>
      </c>
      <c r="L47" s="1572">
        <f>IFERROR(IF(K43="Hard",+$E$90/($K$33+$K$24+K40+K47),"DCR NA"),0)</f>
        <v>0</v>
      </c>
      <c r="M47" s="1228"/>
      <c r="N47" s="1065"/>
      <c r="P47"/>
    </row>
    <row r="48" spans="1:20" ht="15.75">
      <c r="A48" s="865"/>
      <c r="B48" s="1044" t="s">
        <v>389</v>
      </c>
      <c r="C48" s="1044"/>
      <c r="D48" s="1093"/>
      <c r="E48" s="343"/>
      <c r="F48" s="1219">
        <f>IFERROR(+E48/Rents!$K$56,0)</f>
        <v>0</v>
      </c>
      <c r="G48" s="876"/>
      <c r="H48" s="2162" t="s">
        <v>829</v>
      </c>
      <c r="I48" s="1953"/>
      <c r="J48" s="1953"/>
      <c r="K48" s="1953"/>
      <c r="L48" s="1953"/>
      <c r="M48" s="1953"/>
      <c r="N48" s="1954"/>
      <c r="P48"/>
    </row>
    <row r="49" spans="1:16" ht="15.75">
      <c r="A49" s="865"/>
      <c r="B49" s="1044" t="s">
        <v>218</v>
      </c>
      <c r="C49" s="1044"/>
      <c r="D49" s="1093"/>
      <c r="E49" s="343">
        <v>0</v>
      </c>
      <c r="F49" s="1219">
        <f>IFERROR(+E49/Rents!$K$56,0)</f>
        <v>0</v>
      </c>
      <c r="G49" s="876"/>
      <c r="H49" s="1562" t="s">
        <v>656</v>
      </c>
      <c r="I49" s="1044"/>
      <c r="J49" s="1044"/>
      <c r="K49" s="1582"/>
      <c r="L49" s="1583"/>
      <c r="M49" s="1583"/>
      <c r="N49" s="1584"/>
      <c r="P49"/>
    </row>
    <row r="50" spans="1:16" ht="15.75">
      <c r="A50" s="865"/>
      <c r="B50" s="1044" t="s">
        <v>217</v>
      </c>
      <c r="C50" s="822"/>
      <c r="D50" s="807"/>
      <c r="E50" s="343"/>
      <c r="F50" s="1219">
        <f>IFERROR(+E50/Rents!$K$56,0)</f>
        <v>0</v>
      </c>
      <c r="G50" s="876"/>
      <c r="H50" s="865"/>
      <c r="I50" s="1044" t="s">
        <v>148</v>
      </c>
      <c r="J50" s="1044"/>
      <c r="K50" s="343"/>
      <c r="L50" s="1225" t="s">
        <v>94</v>
      </c>
      <c r="M50" s="2156" t="s">
        <v>351</v>
      </c>
      <c r="N50" s="2157"/>
      <c r="P50"/>
    </row>
    <row r="51" spans="1:16" ht="15.75">
      <c r="A51" s="865"/>
      <c r="B51" s="1075" t="s">
        <v>219</v>
      </c>
      <c r="C51" s="1044"/>
      <c r="D51" s="1093"/>
      <c r="E51" s="1231">
        <f>SUM(E48:E50)</f>
        <v>0</v>
      </c>
      <c r="F51" s="1581">
        <f>IFERROR(+E51/Rents!$K$56,0)</f>
        <v>0</v>
      </c>
      <c r="G51" s="876"/>
      <c r="H51" s="865"/>
      <c r="I51" s="1044" t="s">
        <v>149</v>
      </c>
      <c r="J51" s="1044"/>
      <c r="K51" s="293" t="s">
        <v>652</v>
      </c>
      <c r="L51" s="876" t="s">
        <v>657</v>
      </c>
      <c r="M51" s="1616">
        <v>0</v>
      </c>
      <c r="N51" s="1585"/>
      <c r="P51"/>
    </row>
    <row r="52" spans="1:16" ht="15.75">
      <c r="A52" s="1074" t="s">
        <v>446</v>
      </c>
      <c r="B52" s="1075"/>
      <c r="C52" s="1044"/>
      <c r="D52" s="1569">
        <f>D6</f>
        <v>2.5000000000000001E-2</v>
      </c>
      <c r="E52" s="374">
        <v>0</v>
      </c>
      <c r="F52" s="1219">
        <f>IFERROR(+E52/Rents!$K$56,0)</f>
        <v>0</v>
      </c>
      <c r="G52" s="876"/>
      <c r="H52" s="865"/>
      <c r="I52" s="1044" t="s">
        <v>146</v>
      </c>
      <c r="J52" s="1044"/>
      <c r="K52" s="344">
        <v>0</v>
      </c>
      <c r="L52" s="1564" t="s">
        <v>122</v>
      </c>
      <c r="M52" s="1565"/>
      <c r="N52" s="1047">
        <f>N$38</f>
        <v>0</v>
      </c>
      <c r="P52"/>
    </row>
    <row r="53" spans="1:16" ht="15.75">
      <c r="A53" s="1074" t="s">
        <v>176</v>
      </c>
      <c r="B53" s="1044"/>
      <c r="C53" s="1044"/>
      <c r="D53" s="1569">
        <f>+$D$4</f>
        <v>3.5000000000000003E-2</v>
      </c>
      <c r="E53" s="1228"/>
      <c r="F53" s="1230"/>
      <c r="G53" s="876"/>
      <c r="H53" s="2162" t="s">
        <v>655</v>
      </c>
      <c r="I53" s="1953"/>
      <c r="J53" s="1953"/>
      <c r="K53" s="1953"/>
      <c r="L53" s="1953"/>
      <c r="M53" s="1953"/>
      <c r="N53" s="1954"/>
      <c r="P53"/>
    </row>
    <row r="54" spans="1:16">
      <c r="A54" s="865"/>
      <c r="B54" s="1044" t="s">
        <v>217</v>
      </c>
      <c r="C54" s="822"/>
      <c r="D54" s="807"/>
      <c r="E54" s="343">
        <v>0</v>
      </c>
      <c r="F54" s="1219">
        <f>IFERROR(+E54/Rents!$K$56,0)</f>
        <v>0</v>
      </c>
      <c r="G54" s="876"/>
      <c r="H54" s="1562" t="s">
        <v>656</v>
      </c>
      <c r="I54" s="1044"/>
      <c r="J54" s="1044"/>
      <c r="K54" s="1582" t="s">
        <v>562</v>
      </c>
      <c r="L54" s="1583"/>
      <c r="M54" s="1583"/>
      <c r="N54" s="1584"/>
    </row>
    <row r="55" spans="1:16" ht="14.25" customHeight="1">
      <c r="A55" s="865"/>
      <c r="B55" s="1044" t="s">
        <v>217</v>
      </c>
      <c r="C55" s="822" t="s">
        <v>662</v>
      </c>
      <c r="D55" s="807"/>
      <c r="E55" s="343"/>
      <c r="F55" s="1219">
        <f>IFERROR(+E55/Rents!$K$56,0)</f>
        <v>0</v>
      </c>
      <c r="G55" s="876"/>
      <c r="H55" s="865"/>
      <c r="I55" s="1044" t="s">
        <v>148</v>
      </c>
      <c r="J55" s="1044"/>
      <c r="K55" s="343"/>
      <c r="L55" s="1225" t="s">
        <v>94</v>
      </c>
      <c r="M55" s="2156" t="s">
        <v>351</v>
      </c>
      <c r="N55" s="2157"/>
    </row>
    <row r="56" spans="1:16" ht="17.25" customHeight="1">
      <c r="A56" s="865"/>
      <c r="B56" s="1075" t="s">
        <v>231</v>
      </c>
      <c r="C56" s="1075"/>
      <c r="D56" s="1586"/>
      <c r="E56" s="1587">
        <f>SUM(E54:E55)</f>
        <v>0</v>
      </c>
      <c r="F56" s="1219">
        <f>IFERROR(+E56/Rents!$K$56,0)</f>
        <v>0</v>
      </c>
      <c r="G56" s="876"/>
      <c r="H56" s="865"/>
      <c r="I56" s="1044" t="s">
        <v>149</v>
      </c>
      <c r="J56" s="1044"/>
      <c r="K56" s="293" t="s">
        <v>652</v>
      </c>
      <c r="L56" s="876" t="s">
        <v>657</v>
      </c>
      <c r="M56" s="1616">
        <v>0</v>
      </c>
      <c r="N56" s="1585"/>
    </row>
    <row r="57" spans="1:16">
      <c r="A57" s="1104" t="s">
        <v>806</v>
      </c>
      <c r="B57" s="1285"/>
      <c r="C57" s="1285"/>
      <c r="D57" s="1075"/>
      <c r="E57" s="374"/>
      <c r="F57" s="1219">
        <f>IFERROR(+E57/Rents!$K$56,0)</f>
        <v>0</v>
      </c>
      <c r="G57" s="876"/>
      <c r="H57" s="865"/>
      <c r="I57" s="1044" t="s">
        <v>146</v>
      </c>
      <c r="J57" s="1044"/>
      <c r="K57" s="344">
        <v>0</v>
      </c>
      <c r="L57" s="1564" t="s">
        <v>122</v>
      </c>
      <c r="M57" s="1565"/>
      <c r="N57" s="1047">
        <f>N$38</f>
        <v>0</v>
      </c>
    </row>
    <row r="58" spans="1:16" ht="17.25">
      <c r="A58" s="865"/>
      <c r="B58" s="1588" t="s">
        <v>220</v>
      </c>
      <c r="C58" s="1589"/>
      <c r="D58" s="1590"/>
      <c r="E58" s="1591">
        <f>+E51+E46+E36+E30+E22+E24+E52+E56+E57</f>
        <v>0</v>
      </c>
      <c r="F58" s="1592">
        <f>IFERROR(+E58/Rents!$K$56,0)</f>
        <v>0</v>
      </c>
      <c r="G58" s="876"/>
      <c r="H58" s="1593"/>
      <c r="I58" s="1594"/>
      <c r="J58" s="1595"/>
      <c r="K58" s="1029"/>
      <c r="L58" s="1228"/>
      <c r="M58" s="1228"/>
      <c r="N58" s="1065"/>
    </row>
    <row r="59" spans="1:16">
      <c r="A59" s="1074" t="s">
        <v>226</v>
      </c>
      <c r="B59" s="1044"/>
      <c r="C59" s="1044"/>
      <c r="D59" s="1044"/>
      <c r="E59" s="1228"/>
      <c r="F59" s="1230"/>
      <c r="G59" s="876"/>
      <c r="H59" s="1562" t="s">
        <v>656</v>
      </c>
      <c r="I59" s="1044"/>
      <c r="J59" s="1044"/>
      <c r="K59" s="858"/>
      <c r="L59" s="859"/>
      <c r="M59" s="859"/>
      <c r="N59" s="826"/>
    </row>
    <row r="60" spans="1:16">
      <c r="A60" s="865"/>
      <c r="B60" s="1044" t="s">
        <v>86</v>
      </c>
      <c r="C60" s="1044"/>
      <c r="D60" s="1569">
        <f>+$D$5</f>
        <v>3.5000000000000003E-2</v>
      </c>
      <c r="E60" s="343"/>
      <c r="F60" s="1219">
        <f>IFERROR(+E60/Rents!$K$56,0)</f>
        <v>0</v>
      </c>
      <c r="G60" s="876"/>
      <c r="H60" s="865"/>
      <c r="I60" s="1044" t="s">
        <v>148</v>
      </c>
      <c r="J60" s="1044"/>
      <c r="K60" s="343"/>
      <c r="L60" s="1225" t="s">
        <v>94</v>
      </c>
      <c r="M60" s="2156" t="s">
        <v>351</v>
      </c>
      <c r="N60" s="2157"/>
    </row>
    <row r="61" spans="1:16" ht="15.75" customHeight="1">
      <c r="A61" s="865"/>
      <c r="B61" s="1044" t="s">
        <v>296</v>
      </c>
      <c r="C61" s="1044"/>
      <c r="D61" s="1569">
        <f>+$D$5</f>
        <v>3.5000000000000003E-2</v>
      </c>
      <c r="E61" s="347">
        <v>0</v>
      </c>
      <c r="F61" s="1219">
        <f>IFERROR(+E61/Rents!$K$56,0)</f>
        <v>0</v>
      </c>
      <c r="G61" s="876"/>
      <c r="H61" s="865"/>
      <c r="I61" s="1044" t="s">
        <v>149</v>
      </c>
      <c r="J61" s="1044"/>
      <c r="K61" s="293" t="s">
        <v>652</v>
      </c>
      <c r="L61" s="876" t="s">
        <v>657</v>
      </c>
      <c r="M61" s="1616">
        <v>0</v>
      </c>
      <c r="N61" s="1585"/>
    </row>
    <row r="62" spans="1:16" ht="15.95" customHeight="1">
      <c r="A62" s="865"/>
      <c r="B62" s="1044" t="s">
        <v>217</v>
      </c>
      <c r="C62" s="779"/>
      <c r="D62" s="1569">
        <f>+$D$5</f>
        <v>3.5000000000000003E-2</v>
      </c>
      <c r="E62" s="343">
        <v>0</v>
      </c>
      <c r="F62" s="1219">
        <f>IFERROR(+E62/Rents!$K$56,0)</f>
        <v>0</v>
      </c>
      <c r="G62" s="876"/>
      <c r="H62" s="865"/>
      <c r="I62" s="1044" t="s">
        <v>146</v>
      </c>
      <c r="J62" s="1044"/>
      <c r="K62" s="344">
        <v>0</v>
      </c>
      <c r="L62" s="1564" t="s">
        <v>122</v>
      </c>
      <c r="M62" s="1565"/>
      <c r="N62" s="1047">
        <f>N$38</f>
        <v>0</v>
      </c>
    </row>
    <row r="63" spans="1:16" ht="16.5" customHeight="1" thickBot="1">
      <c r="A63" s="865"/>
      <c r="B63" s="1044" t="s">
        <v>217</v>
      </c>
      <c r="C63" s="779"/>
      <c r="D63" s="1569">
        <f>+$D$5</f>
        <v>3.5000000000000003E-2</v>
      </c>
      <c r="E63" s="343">
        <v>0</v>
      </c>
      <c r="F63" s="1219">
        <f>IFERROR(+E63/Rents!$K$56,0)</f>
        <v>0</v>
      </c>
      <c r="G63" s="876"/>
      <c r="H63" s="871"/>
      <c r="I63" s="1087"/>
      <c r="J63" s="1087"/>
      <c r="K63" s="1087"/>
      <c r="L63" s="1061"/>
      <c r="M63" s="1061"/>
      <c r="N63" s="1596"/>
    </row>
    <row r="64" spans="1:16" ht="15.95" customHeight="1">
      <c r="A64" s="865"/>
      <c r="B64" s="1075" t="s">
        <v>227</v>
      </c>
      <c r="C64" s="1075"/>
      <c r="D64" s="1075"/>
      <c r="E64" s="1231">
        <f>SUM(E60:E63)</f>
        <v>0</v>
      </c>
      <c r="F64" s="1219">
        <f>IFERROR(+E64/Rents!$K$56,0)</f>
        <v>0</v>
      </c>
      <c r="G64" s="876"/>
      <c r="H64" s="1562" t="s">
        <v>656</v>
      </c>
      <c r="I64" s="1044"/>
      <c r="J64" s="1044"/>
      <c r="K64" s="827"/>
      <c r="L64" s="828"/>
      <c r="M64" s="828"/>
      <c r="N64" s="829"/>
    </row>
    <row r="65" spans="1:14">
      <c r="A65" s="865"/>
      <c r="B65" s="876"/>
      <c r="C65" s="876"/>
      <c r="D65" s="876"/>
      <c r="E65" s="1365"/>
      <c r="F65" s="1597"/>
      <c r="G65" s="876"/>
      <c r="H65" s="865"/>
      <c r="I65" s="1044" t="s">
        <v>148</v>
      </c>
      <c r="J65" s="1044"/>
      <c r="K65" s="343"/>
      <c r="L65" s="1225" t="s">
        <v>94</v>
      </c>
      <c r="M65" s="2156" t="s">
        <v>351</v>
      </c>
      <c r="N65" s="2157"/>
    </row>
    <row r="66" spans="1:14" ht="15.75">
      <c r="A66" s="865"/>
      <c r="B66" s="1075"/>
      <c r="C66" s="1075"/>
      <c r="D66" s="1075"/>
      <c r="E66" s="1229"/>
      <c r="F66" s="1230"/>
      <c r="G66" s="876"/>
      <c r="H66" s="865"/>
      <c r="I66" s="1044" t="s">
        <v>149</v>
      </c>
      <c r="J66" s="1044"/>
      <c r="K66" s="293" t="s">
        <v>652</v>
      </c>
      <c r="L66" s="876" t="s">
        <v>657</v>
      </c>
      <c r="M66" s="1616">
        <v>0</v>
      </c>
      <c r="N66" s="1585"/>
    </row>
    <row r="67" spans="1:14" ht="18" thickBot="1">
      <c r="A67" s="871"/>
      <c r="B67" s="1598" t="s">
        <v>679</v>
      </c>
      <c r="C67" s="1599"/>
      <c r="D67" s="1599"/>
      <c r="E67" s="1600">
        <f>+E58+E64+E57</f>
        <v>0</v>
      </c>
      <c r="F67" s="1601">
        <f>IFERROR(+E67/Rents!$K$56,0)</f>
        <v>0</v>
      </c>
      <c r="G67" s="876"/>
      <c r="H67" s="865"/>
      <c r="I67" s="1044" t="s">
        <v>146</v>
      </c>
      <c r="J67" s="1044"/>
      <c r="K67" s="344">
        <v>0</v>
      </c>
      <c r="L67" s="1564" t="s">
        <v>122</v>
      </c>
      <c r="M67" s="1565"/>
      <c r="N67" s="1047">
        <f>N$38</f>
        <v>0</v>
      </c>
    </row>
    <row r="68" spans="1:14" ht="15.75" thickBot="1">
      <c r="A68" s="865"/>
      <c r="B68" s="1044"/>
      <c r="C68" s="1044"/>
      <c r="D68" s="1044"/>
      <c r="E68" s="1228"/>
      <c r="F68" s="1230"/>
      <c r="G68" s="876"/>
      <c r="H68" s="871"/>
      <c r="I68" s="1087"/>
      <c r="J68" s="1087"/>
      <c r="K68" s="1087"/>
      <c r="L68" s="1061"/>
      <c r="M68" s="1061"/>
      <c r="N68" s="1596"/>
    </row>
    <row r="69" spans="1:14" ht="15" customHeight="1">
      <c r="A69" s="2096" t="s">
        <v>233</v>
      </c>
      <c r="B69" s="2097"/>
      <c r="C69" s="2097"/>
      <c r="D69" s="2097"/>
      <c r="E69" s="2097"/>
      <c r="F69" s="2098"/>
      <c r="G69" s="876"/>
      <c r="H69" s="1562" t="s">
        <v>656</v>
      </c>
      <c r="I69" s="1044"/>
      <c r="J69" s="1044"/>
      <c r="K69" s="827"/>
      <c r="L69" s="828"/>
      <c r="M69" s="828"/>
      <c r="N69" s="829"/>
    </row>
    <row r="70" spans="1:14" ht="15.95" customHeight="1">
      <c r="A70" s="865"/>
      <c r="B70" s="1044"/>
      <c r="C70" s="1044"/>
      <c r="D70" s="1044"/>
      <c r="E70" s="2172" t="s">
        <v>202</v>
      </c>
      <c r="F70" s="2183" t="s">
        <v>203</v>
      </c>
      <c r="G70" s="876"/>
      <c r="H70" s="865"/>
      <c r="I70" s="1044" t="s">
        <v>148</v>
      </c>
      <c r="J70" s="1044"/>
      <c r="K70" s="343">
        <v>0</v>
      </c>
      <c r="L70" s="1225" t="s">
        <v>94</v>
      </c>
      <c r="M70" s="2156" t="s">
        <v>351</v>
      </c>
      <c r="N70" s="2157"/>
    </row>
    <row r="71" spans="1:14" ht="12.95" customHeight="1">
      <c r="A71" s="1074" t="s">
        <v>88</v>
      </c>
      <c r="B71" s="1044"/>
      <c r="C71" s="1044"/>
      <c r="D71" s="1044"/>
      <c r="E71" s="2173"/>
      <c r="F71" s="2184"/>
      <c r="G71" s="876"/>
      <c r="H71" s="865"/>
      <c r="I71" s="1044" t="s">
        <v>149</v>
      </c>
      <c r="J71" s="1044"/>
      <c r="K71" s="293" t="s">
        <v>660</v>
      </c>
      <c r="L71" s="876" t="s">
        <v>657</v>
      </c>
      <c r="M71" s="1616">
        <v>0</v>
      </c>
      <c r="N71" s="1617"/>
    </row>
    <row r="72" spans="1:14">
      <c r="A72" s="1074"/>
      <c r="B72" s="1044" t="s">
        <v>619</v>
      </c>
      <c r="C72" s="1044"/>
      <c r="D72" s="1602">
        <f t="shared" ref="D72:D74" si="0">+D$3</f>
        <v>2.5000000000000001E-2</v>
      </c>
      <c r="E72" s="1603">
        <f>Rents!AK38</f>
        <v>0</v>
      </c>
      <c r="F72" s="1604">
        <f>IFERROR(IF(Rents!AG$38=0,0,E72/Rents!$AG$38),0)</f>
        <v>0</v>
      </c>
      <c r="G72" s="876"/>
      <c r="H72" s="865"/>
      <c r="I72" s="1044" t="s">
        <v>146</v>
      </c>
      <c r="J72" s="1044"/>
      <c r="K72" s="344">
        <v>0</v>
      </c>
      <c r="L72" s="1564" t="s">
        <v>122</v>
      </c>
      <c r="M72" s="1565"/>
      <c r="N72" s="1047">
        <f>N$38</f>
        <v>0</v>
      </c>
    </row>
    <row r="73" spans="1:14" ht="15.75" thickBot="1">
      <c r="A73" s="1074"/>
      <c r="B73" s="1044" t="s">
        <v>618</v>
      </c>
      <c r="C73" s="1044"/>
      <c r="D73" s="1602">
        <f t="shared" si="0"/>
        <v>2.5000000000000001E-2</v>
      </c>
      <c r="E73" s="1603">
        <f>Rents!AL38</f>
        <v>0</v>
      </c>
      <c r="F73" s="1604">
        <f>IF(Rents!AH$38=0,0,E73/Rents!$AH$38)</f>
        <v>0</v>
      </c>
      <c r="G73" s="876"/>
      <c r="H73" s="871"/>
      <c r="I73" s="1087"/>
      <c r="J73" s="1087"/>
      <c r="K73" s="1087"/>
      <c r="L73" s="1061"/>
      <c r="M73" s="1061"/>
      <c r="N73" s="1596"/>
    </row>
    <row r="74" spans="1:14" ht="15.75">
      <c r="A74" s="865"/>
      <c r="B74" s="1044" t="s">
        <v>1413</v>
      </c>
      <c r="C74" s="1044"/>
      <c r="D74" s="1602">
        <f t="shared" si="0"/>
        <v>2.5000000000000001E-2</v>
      </c>
      <c r="E74" s="1603">
        <f>Rents!AM38</f>
        <v>0</v>
      </c>
      <c r="F74" s="1604">
        <f>IF(Rents!AI$38=0,0,+E74/Rents!$AI$38)</f>
        <v>0</v>
      </c>
      <c r="G74" s="922"/>
      <c r="H74" s="1562" t="s">
        <v>656</v>
      </c>
      <c r="I74" s="1044"/>
      <c r="J74" s="1044"/>
      <c r="K74" s="827"/>
      <c r="L74" s="828"/>
      <c r="M74" s="828"/>
      <c r="N74" s="829"/>
    </row>
    <row r="75" spans="1:14">
      <c r="A75" s="865"/>
      <c r="B75" s="1044" t="s">
        <v>647</v>
      </c>
      <c r="C75" s="1044"/>
      <c r="D75" s="1602">
        <f>+D$3</f>
        <v>2.5000000000000001E-2</v>
      </c>
      <c r="E75" s="1228">
        <f>Rents!AN38</f>
        <v>0</v>
      </c>
      <c r="F75" s="1604">
        <f>IFERROR(+E75/(Rents!$K$56-Rents!H38-Rents!I38-Rents!J38),0)</f>
        <v>0</v>
      </c>
      <c r="G75" s="876"/>
      <c r="H75" s="865"/>
      <c r="I75" s="1044" t="s">
        <v>148</v>
      </c>
      <c r="J75" s="1044"/>
      <c r="K75" s="343">
        <v>0</v>
      </c>
      <c r="L75" s="1225" t="s">
        <v>94</v>
      </c>
      <c r="M75" s="2156" t="s">
        <v>351</v>
      </c>
      <c r="N75" s="2157"/>
    </row>
    <row r="76" spans="1:14" ht="15.75">
      <c r="A76" s="865"/>
      <c r="B76" s="1044" t="s">
        <v>89</v>
      </c>
      <c r="C76" s="1044"/>
      <c r="D76" s="1602">
        <f>+D3</f>
        <v>2.5000000000000001E-2</v>
      </c>
      <c r="E76" s="1228">
        <f>+Rents!G57</f>
        <v>0</v>
      </c>
      <c r="F76" s="1604">
        <f>IF(Rents!$B$52=0,0,+E76/Rents!$B$52)</f>
        <v>0</v>
      </c>
      <c r="G76" s="876"/>
      <c r="H76" s="865"/>
      <c r="I76" s="1044" t="s">
        <v>149</v>
      </c>
      <c r="J76" s="1044"/>
      <c r="K76" s="293" t="s">
        <v>660</v>
      </c>
      <c r="L76" s="876" t="s">
        <v>657</v>
      </c>
      <c r="M76" s="1616">
        <v>0</v>
      </c>
      <c r="N76" s="1585"/>
    </row>
    <row r="77" spans="1:14" ht="15.75">
      <c r="A77" s="865"/>
      <c r="B77" s="1044" t="s">
        <v>1423</v>
      </c>
      <c r="C77" s="922"/>
      <c r="D77" s="1602">
        <f>+D3</f>
        <v>2.5000000000000001E-2</v>
      </c>
      <c r="E77" s="1228">
        <f>+Rents!G58</f>
        <v>0</v>
      </c>
      <c r="F77" s="1604">
        <f>IF(Rents!G38=0,0,E77/Rents!$G$38)</f>
        <v>0</v>
      </c>
      <c r="G77" s="876"/>
      <c r="H77" s="865"/>
      <c r="I77" s="1044" t="s">
        <v>146</v>
      </c>
      <c r="J77" s="1044"/>
      <c r="K77" s="344">
        <v>0</v>
      </c>
      <c r="L77" s="1564" t="s">
        <v>122</v>
      </c>
      <c r="M77" s="1565"/>
      <c r="N77" s="1047">
        <f>N$38</f>
        <v>0</v>
      </c>
    </row>
    <row r="78" spans="1:14" ht="15.75" thickBot="1">
      <c r="A78" s="865"/>
      <c r="B78" s="1044" t="s">
        <v>90</v>
      </c>
      <c r="C78" s="323">
        <f>Rents!E59</f>
        <v>0</v>
      </c>
      <c r="D78" s="1602">
        <f>+D3</f>
        <v>2.5000000000000001E-2</v>
      </c>
      <c r="E78" s="1605">
        <f>+Rents!G59</f>
        <v>0</v>
      </c>
      <c r="F78" s="1604">
        <f>IFERROR(+E78/Rents!$K$56,0)</f>
        <v>0</v>
      </c>
      <c r="G78" s="876"/>
      <c r="H78" s="871"/>
      <c r="I78" s="1087"/>
      <c r="J78" s="1087"/>
      <c r="K78" s="1087"/>
      <c r="L78" s="1061"/>
      <c r="M78" s="1061"/>
      <c r="N78" s="1596"/>
    </row>
    <row r="79" spans="1:14" ht="15.95" customHeight="1">
      <c r="A79" s="865"/>
      <c r="B79" s="1044" t="s">
        <v>90</v>
      </c>
      <c r="C79" s="1220">
        <f>Rents!E60</f>
        <v>0</v>
      </c>
      <c r="D79" s="1602">
        <f t="shared" ref="D79" si="1">+D$3</f>
        <v>2.5000000000000001E-2</v>
      </c>
      <c r="E79" s="1605">
        <f>+Rents!G60</f>
        <v>0</v>
      </c>
      <c r="F79" s="1604">
        <f>IFERROR(+E79/Rents!$K$56,0)</f>
        <v>0</v>
      </c>
      <c r="G79" s="876"/>
      <c r="H79" s="1562" t="s">
        <v>667</v>
      </c>
      <c r="I79" s="1044"/>
      <c r="J79" s="1044"/>
      <c r="K79" s="827"/>
      <c r="L79" s="828"/>
      <c r="M79" s="828"/>
      <c r="N79" s="829"/>
    </row>
    <row r="80" spans="1:14">
      <c r="A80" s="876"/>
      <c r="B80" s="1075" t="s">
        <v>78</v>
      </c>
      <c r="C80" s="1044"/>
      <c r="D80" s="1093"/>
      <c r="E80" s="1229">
        <f>SUM(E72:E79)</f>
        <v>0</v>
      </c>
      <c r="F80" s="1604">
        <f>IFERROR(+E80/Rents!$K$56,0)</f>
        <v>0</v>
      </c>
      <c r="G80" s="876"/>
      <c r="H80" s="865"/>
      <c r="I80" s="1044" t="s">
        <v>148</v>
      </c>
      <c r="J80" s="1044"/>
      <c r="K80" s="343">
        <v>0</v>
      </c>
      <c r="L80" s="1225" t="s">
        <v>94</v>
      </c>
      <c r="M80" s="2156" t="s">
        <v>351</v>
      </c>
      <c r="N80" s="2157"/>
    </row>
    <row r="81" spans="1:14" ht="15.75">
      <c r="A81" s="1074" t="s">
        <v>135</v>
      </c>
      <c r="B81" s="1044"/>
      <c r="C81" s="1044"/>
      <c r="D81" s="1602">
        <f>+D3</f>
        <v>2.5000000000000001E-2</v>
      </c>
      <c r="E81" s="1228"/>
      <c r="F81" s="1604"/>
      <c r="G81" s="876"/>
      <c r="H81" s="865"/>
      <c r="I81" s="1044" t="s">
        <v>149</v>
      </c>
      <c r="J81" s="1044"/>
      <c r="K81" s="293" t="s">
        <v>652</v>
      </c>
      <c r="L81" s="876" t="s">
        <v>657</v>
      </c>
      <c r="M81" s="1616">
        <v>0</v>
      </c>
      <c r="N81" s="1585"/>
    </row>
    <row r="82" spans="1:14">
      <c r="A82" s="865"/>
      <c r="B82" s="1044" t="s">
        <v>136</v>
      </c>
      <c r="C82" s="1044"/>
      <c r="D82" s="1093"/>
      <c r="E82" s="343">
        <v>0</v>
      </c>
      <c r="F82" s="1604">
        <f>IFERROR(+E82/Rents!$K$56,0)</f>
        <v>0</v>
      </c>
      <c r="G82" s="876"/>
      <c r="H82" s="865"/>
      <c r="I82" s="1044" t="s">
        <v>146</v>
      </c>
      <c r="J82" s="1044"/>
      <c r="K82" s="344">
        <v>0</v>
      </c>
      <c r="L82" s="1564" t="s">
        <v>122</v>
      </c>
      <c r="M82" s="1565"/>
      <c r="N82" s="1047">
        <f>N$38</f>
        <v>0</v>
      </c>
    </row>
    <row r="83" spans="1:14">
      <c r="A83" s="865"/>
      <c r="B83" s="1044" t="s">
        <v>348</v>
      </c>
      <c r="C83" s="1044"/>
      <c r="D83" s="1093"/>
      <c r="E83" s="343"/>
      <c r="F83" s="1604">
        <f>IFERROR(+E83/Rents!$K$56,0)</f>
        <v>0</v>
      </c>
      <c r="G83" s="876"/>
      <c r="H83" s="865"/>
      <c r="I83" s="1044"/>
      <c r="J83" s="1044"/>
      <c r="K83" s="1044"/>
      <c r="L83" s="1228"/>
      <c r="M83" s="1228"/>
      <c r="N83" s="1606"/>
    </row>
    <row r="84" spans="1:14">
      <c r="A84" s="865"/>
      <c r="B84" s="1075" t="s">
        <v>138</v>
      </c>
      <c r="C84" s="1075"/>
      <c r="D84" s="1285"/>
      <c r="E84" s="1229">
        <f>SUM(E82:E83)</f>
        <v>0</v>
      </c>
      <c r="F84" s="1604">
        <f>IFERROR(+E84/Rents!$K$56,0)</f>
        <v>0</v>
      </c>
      <c r="G84" s="876"/>
      <c r="H84" s="2162" t="s">
        <v>689</v>
      </c>
      <c r="I84" s="1953"/>
      <c r="J84" s="1953"/>
      <c r="K84" s="1953"/>
      <c r="L84" s="1953"/>
      <c r="M84" s="1953"/>
      <c r="N84" s="1954"/>
    </row>
    <row r="85" spans="1:14">
      <c r="A85" s="876"/>
      <c r="B85" s="1044" t="s">
        <v>137</v>
      </c>
      <c r="C85" s="1044"/>
      <c r="D85" s="1093"/>
      <c r="E85" s="1228">
        <f>(E72*K4)+(E73*K5)+(E75*K7)+(Rents!AO38*K4)+(Rents!AP38*K5)+((Rents!T38-Rents!AO38-Rents!AP38)*K7)+(E76*K8)</f>
        <v>0</v>
      </c>
      <c r="F85" s="1604">
        <f>IFERROR(+E85/Rents!$K$56,0)</f>
        <v>0</v>
      </c>
      <c r="G85" s="876"/>
      <c r="H85" s="865" t="s">
        <v>683</v>
      </c>
      <c r="I85" s="1044"/>
      <c r="J85" s="1044"/>
      <c r="K85" s="1044"/>
      <c r="L85" s="1228"/>
      <c r="M85" s="1618">
        <v>0.4</v>
      </c>
      <c r="N85" s="1065"/>
    </row>
    <row r="86" spans="1:14">
      <c r="A86" s="1074" t="s">
        <v>139</v>
      </c>
      <c r="B86" s="1044"/>
      <c r="C86" s="1044"/>
      <c r="D86" s="1602">
        <f>+D3</f>
        <v>2.5000000000000001E-2</v>
      </c>
      <c r="E86" s="1228"/>
      <c r="F86" s="1604"/>
      <c r="G86" s="876"/>
      <c r="H86" s="865" t="s">
        <v>682</v>
      </c>
      <c r="I86" s="1044"/>
      <c r="J86" s="1044"/>
      <c r="K86" s="1044"/>
      <c r="L86" s="1228"/>
      <c r="M86" s="1619">
        <v>0</v>
      </c>
      <c r="N86" s="1065"/>
    </row>
    <row r="87" spans="1:14">
      <c r="A87" s="865"/>
      <c r="B87" s="1075" t="s">
        <v>141</v>
      </c>
      <c r="C87" s="1044"/>
      <c r="D87" s="1044"/>
      <c r="E87" s="343">
        <v>0</v>
      </c>
      <c r="F87" s="1604">
        <f>IFERROR(+E87/Rents!$K$56,0)</f>
        <v>0</v>
      </c>
      <c r="G87" s="876"/>
      <c r="H87" s="1593" t="s">
        <v>684</v>
      </c>
      <c r="I87" s="1594"/>
      <c r="J87" s="1594"/>
      <c r="K87" s="1594"/>
      <c r="L87" s="1607"/>
      <c r="M87" s="1616">
        <v>0</v>
      </c>
      <c r="N87" s="1608"/>
    </row>
    <row r="88" spans="1:14">
      <c r="A88" s="865"/>
      <c r="B88" s="1044" t="s">
        <v>142</v>
      </c>
      <c r="C88" s="1044"/>
      <c r="D88" s="1044"/>
      <c r="E88" s="1228">
        <f>+E87*K9</f>
        <v>0</v>
      </c>
      <c r="F88" s="1604">
        <f>IFERROR(+E88/Rents!$K$56,0)</f>
        <v>0</v>
      </c>
      <c r="G88" s="876"/>
      <c r="H88" s="865"/>
      <c r="I88" s="1044"/>
      <c r="J88" s="1044"/>
      <c r="K88" s="1044"/>
      <c r="L88" s="1228"/>
      <c r="M88" s="1609"/>
      <c r="N88" s="1065"/>
    </row>
    <row r="89" spans="1:14">
      <c r="A89" s="865"/>
      <c r="B89" s="1075" t="s">
        <v>143</v>
      </c>
      <c r="C89" s="1075"/>
      <c r="D89" s="1075"/>
      <c r="E89" s="1229">
        <f>+E80+E84-E85+E87-E88</f>
        <v>0</v>
      </c>
      <c r="F89" s="1604">
        <f>IFERROR(+E89/Rents!$K$56,0)</f>
        <v>0</v>
      </c>
      <c r="G89" s="876"/>
      <c r="H89" s="2162" t="s">
        <v>721</v>
      </c>
      <c r="I89" s="1953"/>
      <c r="J89" s="1953"/>
      <c r="K89" s="1953"/>
      <c r="L89" s="1953"/>
      <c r="M89" s="1953"/>
      <c r="N89" s="1954"/>
    </row>
    <row r="90" spans="1:14" ht="17.100000000000001" customHeight="1">
      <c r="A90" s="865"/>
      <c r="B90" s="1075" t="s">
        <v>364</v>
      </c>
      <c r="C90" s="1044"/>
      <c r="D90" s="1044"/>
      <c r="E90" s="1610">
        <f>+E89-E67</f>
        <v>0</v>
      </c>
      <c r="F90" s="1611">
        <f>IFERROR(+E90/Rents!$K$56,0)</f>
        <v>0</v>
      </c>
      <c r="G90" s="876"/>
      <c r="H90" s="865" t="s">
        <v>668</v>
      </c>
      <c r="I90" s="1044"/>
      <c r="J90" s="1044"/>
      <c r="K90" s="1620"/>
      <c r="L90" s="1621">
        <v>15</v>
      </c>
      <c r="M90" s="1531" t="s">
        <v>681</v>
      </c>
      <c r="N90" s="1065"/>
    </row>
    <row r="91" spans="1:14" ht="15.95" customHeight="1" thickBot="1">
      <c r="A91" s="865"/>
      <c r="B91" s="1075"/>
      <c r="C91" s="1044"/>
      <c r="D91" s="1044"/>
      <c r="E91" s="1610"/>
      <c r="F91" s="1611"/>
      <c r="G91" s="876"/>
      <c r="H91" s="871" t="s">
        <v>680</v>
      </c>
      <c r="I91" s="1087"/>
      <c r="J91" s="1087"/>
      <c r="K91" s="1622"/>
      <c r="L91" s="1623">
        <v>15</v>
      </c>
      <c r="M91" s="1612" t="s">
        <v>681</v>
      </c>
      <c r="N91" s="1065"/>
    </row>
    <row r="92" spans="1:14" ht="17.100000000000001" customHeight="1" thickBot="1">
      <c r="A92" s="2096" t="s">
        <v>722</v>
      </c>
      <c r="B92" s="2097"/>
      <c r="C92" s="2097"/>
      <c r="D92" s="2097"/>
      <c r="E92" s="2097"/>
      <c r="F92" s="2098"/>
      <c r="G92" s="876"/>
      <c r="H92" s="2163" t="s">
        <v>685</v>
      </c>
      <c r="I92" s="2164"/>
      <c r="J92" s="2164"/>
      <c r="K92" s="2164"/>
      <c r="L92" s="2164"/>
      <c r="M92" s="2164"/>
      <c r="N92" s="2165"/>
    </row>
    <row r="93" spans="1:14">
      <c r="A93" s="865"/>
      <c r="B93" s="1093" t="s">
        <v>594</v>
      </c>
      <c r="C93" s="1093"/>
      <c r="D93" s="1044"/>
      <c r="E93" s="1620"/>
      <c r="F93" s="1230"/>
      <c r="G93" s="876"/>
      <c r="H93" s="1537" t="s">
        <v>686</v>
      </c>
      <c r="I93" s="1027"/>
      <c r="J93" s="1027"/>
      <c r="K93" s="1027"/>
      <c r="L93" s="1538"/>
      <c r="M93" s="1624"/>
      <c r="N93" s="1189"/>
    </row>
    <row r="94" spans="1:14">
      <c r="A94" s="865"/>
      <c r="B94" s="1794" t="s">
        <v>593</v>
      </c>
      <c r="C94" s="1878"/>
      <c r="D94" s="1044"/>
      <c r="E94" s="1174"/>
      <c r="F94" s="1230"/>
      <c r="G94" s="876"/>
      <c r="H94" s="865" t="s">
        <v>687</v>
      </c>
      <c r="I94" s="1044"/>
      <c r="J94" s="1044"/>
      <c r="K94" s="1044"/>
      <c r="L94" s="1228"/>
      <c r="M94" s="343"/>
      <c r="N94" s="1065"/>
    </row>
    <row r="95" spans="1:14" ht="15.75" thickBot="1">
      <c r="A95" s="871"/>
      <c r="B95" s="2176"/>
      <c r="C95" s="2177"/>
      <c r="D95" s="1613"/>
      <c r="E95" s="1626"/>
      <c r="F95" s="1614"/>
      <c r="G95" s="876"/>
      <c r="H95" s="871" t="s">
        <v>688</v>
      </c>
      <c r="I95" s="1087"/>
      <c r="J95" s="1087"/>
      <c r="K95" s="1087"/>
      <c r="L95" s="1061"/>
      <c r="M95" s="1625"/>
      <c r="N95" s="1128"/>
    </row>
    <row r="96" spans="1:14">
      <c r="A96" s="876"/>
      <c r="B96" s="876"/>
      <c r="C96" s="876"/>
      <c r="D96" s="876"/>
      <c r="E96" s="1365"/>
      <c r="F96" s="1365"/>
      <c r="G96" s="876"/>
      <c r="H96" s="876"/>
      <c r="I96" s="876"/>
      <c r="J96" s="876"/>
      <c r="K96" s="876"/>
      <c r="L96" s="1365"/>
      <c r="M96" s="1365"/>
      <c r="N96" s="876"/>
    </row>
    <row r="97" spans="1:14">
      <c r="A97" s="876"/>
      <c r="B97" s="876"/>
      <c r="C97" s="876"/>
      <c r="D97" s="876"/>
      <c r="E97" s="1365"/>
      <c r="F97" s="1365"/>
      <c r="G97" s="876"/>
      <c r="H97" s="876"/>
      <c r="I97" s="876"/>
      <c r="J97" s="876"/>
      <c r="K97" s="1365"/>
      <c r="L97" s="1365"/>
      <c r="M97" s="876"/>
      <c r="N97" s="876"/>
    </row>
    <row r="98" spans="1:14">
      <c r="A98" s="876"/>
      <c r="B98" s="876"/>
      <c r="C98" s="876"/>
      <c r="D98" s="876"/>
      <c r="E98" s="1365"/>
      <c r="F98" s="1365"/>
      <c r="G98" s="876"/>
      <c r="H98" s="876"/>
      <c r="I98" s="876"/>
      <c r="J98" s="876"/>
      <c r="K98" s="1365"/>
      <c r="L98" s="1365"/>
      <c r="M98" s="876"/>
      <c r="N98" s="876"/>
    </row>
    <row r="99" spans="1:14">
      <c r="A99" s="876"/>
      <c r="B99" s="876"/>
      <c r="C99" s="876"/>
      <c r="D99" s="876"/>
      <c r="E99" s="1365"/>
      <c r="F99" s="1365"/>
      <c r="G99" s="876"/>
      <c r="H99" s="876"/>
      <c r="I99" s="876" t="s">
        <v>727</v>
      </c>
      <c r="J99" s="876"/>
      <c r="K99" s="876"/>
      <c r="L99" s="876"/>
      <c r="M99" s="1615">
        <f>M56+M61+M66+M71+M76+M81+M85</f>
        <v>0.4</v>
      </c>
      <c r="N99" s="876"/>
    </row>
    <row r="100" spans="1:14">
      <c r="K100" s="13"/>
      <c r="M100" s="9"/>
    </row>
    <row r="101" spans="1:14">
      <c r="K101" s="13"/>
      <c r="M101" s="9"/>
    </row>
    <row r="102" spans="1:14">
      <c r="K102" s="13"/>
      <c r="M102" s="9"/>
    </row>
  </sheetData>
  <sheetProtection algorithmName="SHA-512" hashValue="iTrpeIMAtiJIneeMNOb+ynLhUX0CmVRYx0SS8FGZSJ2vCmtOfnZYPdfkg/0sKVty2GHERPhlYusOnsVRwg+OoQ==" saltValue="Ka0WvMcBzvDtQJRlTv62pg==" spinCount="100000" sheet="1" objects="1" scenarios="1"/>
  <mergeCells count="41">
    <mergeCell ref="A13:F13"/>
    <mergeCell ref="H13:M13"/>
    <mergeCell ref="A92:F92"/>
    <mergeCell ref="B95:C95"/>
    <mergeCell ref="M75:N75"/>
    <mergeCell ref="M80:N80"/>
    <mergeCell ref="M28:N28"/>
    <mergeCell ref="M35:N35"/>
    <mergeCell ref="M55:N55"/>
    <mergeCell ref="M36:N36"/>
    <mergeCell ref="L30:N30"/>
    <mergeCell ref="L37:N37"/>
    <mergeCell ref="H53:N53"/>
    <mergeCell ref="L44:N44"/>
    <mergeCell ref="A69:F69"/>
    <mergeCell ref="F70:F71"/>
    <mergeCell ref="H84:N84"/>
    <mergeCell ref="H92:N92"/>
    <mergeCell ref="A1:N1"/>
    <mergeCell ref="B5:C5"/>
    <mergeCell ref="B3:C3"/>
    <mergeCell ref="B4:C4"/>
    <mergeCell ref="B7:C7"/>
    <mergeCell ref="F9:J9"/>
    <mergeCell ref="H89:N89"/>
    <mergeCell ref="E70:E71"/>
    <mergeCell ref="M43:N43"/>
    <mergeCell ref="M65:N65"/>
    <mergeCell ref="M70:N70"/>
    <mergeCell ref="M60:N60"/>
    <mergeCell ref="H48:N48"/>
    <mergeCell ref="M50:N50"/>
    <mergeCell ref="C21:D21"/>
    <mergeCell ref="M15:N15"/>
    <mergeCell ref="M20:N20"/>
    <mergeCell ref="L19:N19"/>
    <mergeCell ref="M42:N42"/>
    <mergeCell ref="M29:N29"/>
    <mergeCell ref="E14:E15"/>
    <mergeCell ref="F14:F15"/>
    <mergeCell ref="H26:N26"/>
  </mergeCells>
  <phoneticPr fontId="12" type="noConversion"/>
  <dataValidations count="5">
    <dataValidation type="list" allowBlank="1" showInputMessage="1" showErrorMessage="1" sqref="M55 M35 M28 M60 M65 M70 M75 M80 M42 M50" xr:uid="{00000000-0002-0000-0600-000002000000}">
      <formula1>"-,Yes,No"</formula1>
    </dataValidation>
    <dataValidation type="list" allowBlank="1" showInputMessage="1" showErrorMessage="1" sqref="K61 K56 K66 K71 K76 K81 K51" xr:uid="{A251CACD-189F-CD47-A1A2-F0068D545DEF}">
      <formula1>"-, Resid. Receipts, Deferred"</formula1>
    </dataValidation>
    <dataValidation type="list" allowBlank="1" showInputMessage="1" showErrorMessage="1" sqref="K36 K43" xr:uid="{978508D2-7A21-1C4E-B08B-89CF0D0CC52F}">
      <formula1>"-, Hard, Resid. Receipts, Deferred"</formula1>
    </dataValidation>
    <dataValidation type="list" allowBlank="1" showInputMessage="1" showErrorMessage="1" sqref="M36:N36 M29:N29" xr:uid="{B107CE59-B126-5943-AF00-574A0A21CC2F}">
      <formula1>"Amortizing,Fixed,Interest Only,-"</formula1>
    </dataValidation>
    <dataValidation type="list" allowBlank="1" showInputMessage="1" showErrorMessage="1" sqref="M43:N43" xr:uid="{BA90BD09-16EF-A344-9A24-E666D068DB38}">
      <formula1>"Fixed,Interest Only,-"</formula1>
    </dataValidation>
  </dataValidations>
  <printOptions horizontalCentered="1" verticalCentered="1"/>
  <pageMargins left="0.6" right="0.62" top="0.75" bottom="0.42" header="0.3" footer="0.24"/>
  <pageSetup scale="51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97A-B37A-464D-8079-192621CFEBEE}">
  <sheetPr codeName="Sheet10">
    <tabColor rgb="FF7030A0"/>
  </sheetPr>
  <dimension ref="A1:F40"/>
  <sheetViews>
    <sheetView workbookViewId="0"/>
  </sheetViews>
  <sheetFormatPr defaultColWidth="7.88671875" defaultRowHeight="12.75"/>
  <cols>
    <col min="1" max="2" width="4" style="537" customWidth="1"/>
    <col min="3" max="3" width="26.88671875" style="537" customWidth="1"/>
    <col min="4" max="4" width="23.6640625" style="537" customWidth="1"/>
    <col min="5" max="5" width="14.44140625" style="537" customWidth="1"/>
    <col min="6" max="16384" width="7.88671875" style="537"/>
  </cols>
  <sheetData>
    <row r="1" spans="1:6" ht="30" customHeight="1" thickBot="1">
      <c r="A1" s="534" t="s">
        <v>842</v>
      </c>
      <c r="B1" s="535"/>
      <c r="C1" s="536"/>
      <c r="D1" s="536"/>
      <c r="E1" s="536"/>
      <c r="F1" s="536"/>
    </row>
    <row r="2" spans="1:6" ht="17.25" customHeight="1" thickBot="1">
      <c r="A2" s="538"/>
      <c r="B2" s="539" t="s">
        <v>843</v>
      </c>
      <c r="C2" s="539"/>
      <c r="D2" s="540" t="s">
        <v>844</v>
      </c>
      <c r="E2" s="539"/>
      <c r="F2" s="539"/>
    </row>
    <row r="3" spans="1:6" ht="15" customHeight="1" thickBot="1">
      <c r="A3" s="541"/>
      <c r="B3" s="542" t="s">
        <v>845</v>
      </c>
      <c r="C3" s="541"/>
      <c r="D3" s="541"/>
      <c r="E3" s="541"/>
      <c r="F3" s="541"/>
    </row>
    <row r="4" spans="1:6" ht="15" customHeight="1" thickBot="1">
      <c r="A4" s="541"/>
      <c r="B4" s="541" t="s">
        <v>846</v>
      </c>
      <c r="C4" s="541"/>
      <c r="D4" s="543" t="e">
        <f>VLOOKUP($D$2,pha_average_hdd_cdd,28,FALSE)</f>
        <v>#N/A</v>
      </c>
      <c r="E4" s="541"/>
      <c r="F4" s="541"/>
    </row>
    <row r="5" spans="1:6" ht="15" customHeight="1" thickBot="1">
      <c r="A5" s="541"/>
      <c r="B5" s="541"/>
      <c r="C5" s="541"/>
      <c r="D5" s="541"/>
      <c r="E5" s="541"/>
      <c r="F5" s="541"/>
    </row>
    <row r="6" spans="1:6" ht="15" customHeight="1" thickBot="1">
      <c r="A6" s="539"/>
      <c r="B6" s="539" t="s">
        <v>847</v>
      </c>
      <c r="C6" s="539"/>
      <c r="D6" s="543" t="e">
        <f>VLOOKUP($D$2,pha_average_hdd_cdd,30,FALSE)</f>
        <v>#N/A</v>
      </c>
      <c r="E6" s="539"/>
      <c r="F6" s="541"/>
    </row>
    <row r="7" spans="1:6" ht="15" customHeight="1" thickBot="1">
      <c r="A7" s="541"/>
      <c r="B7" s="541"/>
      <c r="C7" s="541"/>
      <c r="D7" s="541"/>
      <c r="E7" s="541"/>
      <c r="F7" s="541"/>
    </row>
    <row r="8" spans="1:6" ht="15" customHeight="1" thickBot="1">
      <c r="A8" s="541"/>
      <c r="B8" s="541" t="s">
        <v>848</v>
      </c>
      <c r="C8" s="541"/>
      <c r="D8" s="544" t="s">
        <v>849</v>
      </c>
      <c r="E8" s="541"/>
      <c r="F8" s="541"/>
    </row>
    <row r="9" spans="1:6" ht="15" customHeight="1">
      <c r="A9" s="541"/>
      <c r="B9" s="541"/>
      <c r="C9" s="541"/>
      <c r="D9" s="545"/>
      <c r="E9" s="541"/>
      <c r="F9" s="541"/>
    </row>
    <row r="10" spans="1:6" ht="15" customHeight="1">
      <c r="A10" s="541"/>
      <c r="B10" s="541" t="s">
        <v>850</v>
      </c>
      <c r="C10" s="541"/>
      <c r="D10" s="545"/>
      <c r="E10" s="541"/>
      <c r="F10" s="546" t="b">
        <v>0</v>
      </c>
    </row>
    <row r="11" spans="1:6" ht="15" customHeight="1" thickBot="1">
      <c r="A11" s="547"/>
      <c r="B11" s="547"/>
      <c r="C11" s="547"/>
      <c r="D11" s="547"/>
      <c r="E11" s="547"/>
      <c r="F11" s="547"/>
    </row>
    <row r="12" spans="1:6" ht="30" customHeight="1" thickTop="1">
      <c r="A12" s="548" t="s">
        <v>851</v>
      </c>
      <c r="B12" s="549"/>
      <c r="C12" s="550"/>
      <c r="D12" s="550"/>
      <c r="E12" s="550"/>
      <c r="F12" s="550"/>
    </row>
    <row r="13" spans="1:6" ht="13.5" thickBot="1">
      <c r="A13" s="551"/>
      <c r="B13" s="551"/>
      <c r="C13" s="551"/>
      <c r="D13" s="551"/>
      <c r="E13" s="551"/>
      <c r="F13" s="551"/>
    </row>
    <row r="14" spans="1:6" ht="15" customHeight="1" thickBot="1">
      <c r="A14" s="551"/>
      <c r="B14" s="551"/>
      <c r="C14" s="552" t="s">
        <v>852</v>
      </c>
      <c r="D14" s="553" t="e">
        <f>VLOOKUP(Location!$D$2,pha_average_hdd_cdd,2,FALSE)</f>
        <v>#N/A</v>
      </c>
      <c r="E14" s="551" t="s">
        <v>853</v>
      </c>
      <c r="F14" s="551"/>
    </row>
    <row r="15" spans="1:6" ht="15" customHeight="1" thickBot="1">
      <c r="A15" s="551"/>
      <c r="B15" s="551"/>
      <c r="C15" s="552" t="s">
        <v>854</v>
      </c>
      <c r="D15" s="553" t="e">
        <f>VLOOKUP(Location!$D$2,pha_average_hdd_cdd,3)</f>
        <v>#N/A</v>
      </c>
      <c r="E15" s="551" t="s">
        <v>853</v>
      </c>
      <c r="F15" s="551"/>
    </row>
    <row r="16" spans="1:6" ht="15" customHeight="1" thickBot="1">
      <c r="A16" s="551"/>
      <c r="B16" s="551"/>
      <c r="C16" s="552" t="s">
        <v>855</v>
      </c>
      <c r="D16" s="553" t="e">
        <f>VLOOKUP(Location!$D$2,pha_average_hdd_cdd,4)</f>
        <v>#N/A</v>
      </c>
      <c r="E16" s="551" t="s">
        <v>853</v>
      </c>
      <c r="F16" s="551"/>
    </row>
    <row r="17" spans="1:6" ht="15" customHeight="1" thickBot="1">
      <c r="A17" s="551"/>
      <c r="B17" s="551"/>
      <c r="C17" s="552" t="s">
        <v>856</v>
      </c>
      <c r="D17" s="553" t="e">
        <f>VLOOKUP(Location!$D$2,pha_average_hdd_cdd,5)</f>
        <v>#N/A</v>
      </c>
      <c r="E17" s="551" t="s">
        <v>853</v>
      </c>
      <c r="F17" s="551"/>
    </row>
    <row r="18" spans="1:6" ht="15" customHeight="1" thickBot="1">
      <c r="A18" s="551"/>
      <c r="B18" s="551"/>
      <c r="C18" s="552" t="s">
        <v>857</v>
      </c>
      <c r="D18" s="553" t="e">
        <f>VLOOKUP(Location!$D$2,pha_average_hdd_cdd,6)</f>
        <v>#N/A</v>
      </c>
      <c r="E18" s="551" t="s">
        <v>853</v>
      </c>
      <c r="F18" s="551"/>
    </row>
    <row r="19" spans="1:6" ht="15" customHeight="1" thickBot="1">
      <c r="A19" s="551"/>
      <c r="B19" s="551"/>
      <c r="C19" s="552" t="s">
        <v>858</v>
      </c>
      <c r="D19" s="553" t="e">
        <f>VLOOKUP(Location!$D$2,pha_average_hdd_cdd,7)</f>
        <v>#N/A</v>
      </c>
      <c r="E19" s="551" t="s">
        <v>853</v>
      </c>
      <c r="F19" s="551"/>
    </row>
    <row r="20" spans="1:6" ht="15" customHeight="1" thickBot="1">
      <c r="A20" s="551"/>
      <c r="B20" s="551"/>
      <c r="C20" s="552" t="s">
        <v>859</v>
      </c>
      <c r="D20" s="553" t="e">
        <f>VLOOKUP(Location!$D$2,pha_average_hdd_cdd,8)</f>
        <v>#N/A</v>
      </c>
      <c r="E20" s="551" t="s">
        <v>853</v>
      </c>
      <c r="F20" s="551"/>
    </row>
    <row r="21" spans="1:6" ht="15" customHeight="1" thickBot="1">
      <c r="A21" s="551"/>
      <c r="B21" s="551"/>
      <c r="C21" s="552" t="s">
        <v>860</v>
      </c>
      <c r="D21" s="553" t="e">
        <f>VLOOKUP(Location!$D$2,pha_average_hdd_cdd,9)</f>
        <v>#N/A</v>
      </c>
      <c r="E21" s="551" t="s">
        <v>853</v>
      </c>
      <c r="F21" s="551"/>
    </row>
    <row r="22" spans="1:6" ht="15" customHeight="1" thickBot="1">
      <c r="A22" s="551"/>
      <c r="B22" s="551"/>
      <c r="C22" s="552" t="s">
        <v>861</v>
      </c>
      <c r="D22" s="553" t="e">
        <f>VLOOKUP(Location!$D$2,pha_average_hdd_cdd,10)</f>
        <v>#N/A</v>
      </c>
      <c r="E22" s="551" t="s">
        <v>853</v>
      </c>
      <c r="F22" s="551"/>
    </row>
    <row r="23" spans="1:6" ht="15" customHeight="1" thickBot="1">
      <c r="A23" s="551"/>
      <c r="B23" s="551"/>
      <c r="C23" s="552" t="s">
        <v>862</v>
      </c>
      <c r="D23" s="553" t="e">
        <f>VLOOKUP(Location!$D$2,pha_average_hdd_cdd,11)</f>
        <v>#N/A</v>
      </c>
      <c r="E23" s="551" t="s">
        <v>853</v>
      </c>
      <c r="F23" s="551"/>
    </row>
    <row r="24" spans="1:6" ht="15" customHeight="1" thickBot="1">
      <c r="A24" s="551"/>
      <c r="B24" s="551"/>
      <c r="C24" s="552" t="s">
        <v>863</v>
      </c>
      <c r="D24" s="553" t="e">
        <f>VLOOKUP(Location!$D$2,pha_average_hdd_cdd,12)</f>
        <v>#N/A</v>
      </c>
      <c r="E24" s="551" t="s">
        <v>853</v>
      </c>
      <c r="F24" s="551"/>
    </row>
    <row r="25" spans="1:6" ht="15" customHeight="1" thickBot="1">
      <c r="A25" s="551"/>
      <c r="B25" s="551"/>
      <c r="C25" s="552" t="s">
        <v>864</v>
      </c>
      <c r="D25" s="553" t="e">
        <f>VLOOKUP(Location!$D$2,pha_average_hdd_cdd,13)</f>
        <v>#N/A</v>
      </c>
      <c r="E25" s="551" t="s">
        <v>853</v>
      </c>
      <c r="F25" s="551"/>
    </row>
    <row r="26" spans="1:6" ht="15" customHeight="1" thickBot="1">
      <c r="A26" s="551"/>
      <c r="B26" s="551"/>
      <c r="C26" s="552" t="s">
        <v>865</v>
      </c>
      <c r="D26" s="553" t="e">
        <f>VLOOKUP(Location!$D$2,pha_average_hdd_cdd,14)</f>
        <v>#N/A</v>
      </c>
      <c r="E26" s="551"/>
      <c r="F26" s="551"/>
    </row>
    <row r="27" spans="1:6" ht="15" customHeight="1" thickBot="1">
      <c r="A27" s="551"/>
      <c r="B27" s="551"/>
      <c r="C27" s="552" t="s">
        <v>866</v>
      </c>
      <c r="D27" s="553" t="e">
        <f>VLOOKUP(Location!$D$2,pha_average_hdd_cdd,15)</f>
        <v>#N/A</v>
      </c>
      <c r="E27" s="551" t="s">
        <v>853</v>
      </c>
      <c r="F27" s="551"/>
    </row>
    <row r="28" spans="1:6" ht="15" customHeight="1" thickBot="1">
      <c r="A28" s="551"/>
      <c r="B28" s="551"/>
      <c r="C28" s="552" t="s">
        <v>867</v>
      </c>
      <c r="D28" s="553" t="e">
        <f>VLOOKUP(Location!$D$2,pha_average_hdd_cdd,16)</f>
        <v>#N/A</v>
      </c>
      <c r="E28" s="551" t="s">
        <v>853</v>
      </c>
      <c r="F28" s="551"/>
    </row>
    <row r="29" spans="1:6" ht="15" customHeight="1" thickBot="1">
      <c r="A29" s="551"/>
      <c r="B29" s="551"/>
      <c r="C29" s="552" t="s">
        <v>868</v>
      </c>
      <c r="D29" s="553" t="e">
        <f>VLOOKUP(Location!$D$2,pha_average_hdd_cdd,17)</f>
        <v>#N/A</v>
      </c>
      <c r="E29" s="551" t="s">
        <v>853</v>
      </c>
      <c r="F29" s="551"/>
    </row>
    <row r="30" spans="1:6" ht="15" customHeight="1" thickBot="1">
      <c r="A30" s="551"/>
      <c r="B30" s="551"/>
      <c r="C30" s="552" t="s">
        <v>869</v>
      </c>
      <c r="D30" s="553" t="e">
        <f>VLOOKUP(Location!$D$2,pha_average_hdd_cdd,18)</f>
        <v>#N/A</v>
      </c>
      <c r="E30" s="551" t="s">
        <v>853</v>
      </c>
      <c r="F30" s="551"/>
    </row>
    <row r="31" spans="1:6" ht="15" customHeight="1" thickBot="1">
      <c r="A31" s="551"/>
      <c r="B31" s="551"/>
      <c r="C31" s="552" t="s">
        <v>870</v>
      </c>
      <c r="D31" s="553" t="e">
        <f>VLOOKUP(Location!$D$2,pha_average_hdd_cdd,19)</f>
        <v>#N/A</v>
      </c>
      <c r="E31" s="551" t="s">
        <v>853</v>
      </c>
      <c r="F31" s="551"/>
    </row>
    <row r="32" spans="1:6" ht="15" customHeight="1" thickBot="1">
      <c r="A32" s="551"/>
      <c r="B32" s="551"/>
      <c r="C32" s="552" t="s">
        <v>871</v>
      </c>
      <c r="D32" s="553" t="e">
        <f>VLOOKUP(Location!$D$2,pha_average_hdd_cdd,20)</f>
        <v>#N/A</v>
      </c>
      <c r="E32" s="551" t="s">
        <v>853</v>
      </c>
      <c r="F32" s="551"/>
    </row>
    <row r="33" spans="1:6" ht="15" customHeight="1" thickBot="1">
      <c r="A33" s="551"/>
      <c r="B33" s="551"/>
      <c r="C33" s="552" t="s">
        <v>872</v>
      </c>
      <c r="D33" s="553" t="e">
        <f>VLOOKUP(Location!$D$2,pha_average_hdd_cdd,21)</f>
        <v>#N/A</v>
      </c>
      <c r="E33" s="551" t="s">
        <v>853</v>
      </c>
      <c r="F33" s="551"/>
    </row>
    <row r="34" spans="1:6" ht="15" customHeight="1" thickBot="1">
      <c r="A34" s="551"/>
      <c r="B34" s="551"/>
      <c r="C34" s="552" t="s">
        <v>873</v>
      </c>
      <c r="D34" s="553" t="e">
        <f>VLOOKUP(Location!$D$2,pha_average_hdd_cdd,22)</f>
        <v>#N/A</v>
      </c>
      <c r="E34" s="551" t="s">
        <v>853</v>
      </c>
      <c r="F34" s="551"/>
    </row>
    <row r="35" spans="1:6" ht="15" customHeight="1" thickBot="1">
      <c r="A35" s="551"/>
      <c r="B35" s="551"/>
      <c r="C35" s="552" t="s">
        <v>874</v>
      </c>
      <c r="D35" s="553" t="e">
        <f>VLOOKUP(Location!$D$2,pha_average_hdd_cdd,23)</f>
        <v>#N/A</v>
      </c>
      <c r="E35" s="551" t="s">
        <v>853</v>
      </c>
      <c r="F35" s="551"/>
    </row>
    <row r="36" spans="1:6" ht="15" customHeight="1" thickBot="1">
      <c r="A36" s="551"/>
      <c r="B36" s="551"/>
      <c r="C36" s="552" t="s">
        <v>875</v>
      </c>
      <c r="D36" s="553" t="e">
        <f>VLOOKUP(Location!$D$2,pha_average_hdd_cdd,24)</f>
        <v>#N/A</v>
      </c>
      <c r="E36" s="551" t="s">
        <v>853</v>
      </c>
      <c r="F36" s="551"/>
    </row>
    <row r="37" spans="1:6" ht="15" customHeight="1" thickBot="1">
      <c r="A37" s="551"/>
      <c r="B37" s="551"/>
      <c r="C37" s="552" t="s">
        <v>876</v>
      </c>
      <c r="D37" s="553" t="e">
        <f>VLOOKUP(Location!$D$2,pha_average_hdd_cdd,25)</f>
        <v>#N/A</v>
      </c>
      <c r="E37" s="551" t="s">
        <v>853</v>
      </c>
      <c r="F37" s="551"/>
    </row>
    <row r="38" spans="1:6" ht="15" customHeight="1" thickBot="1">
      <c r="A38" s="551"/>
      <c r="B38" s="551"/>
      <c r="C38" s="552" t="s">
        <v>877</v>
      </c>
      <c r="D38" s="553" t="e">
        <f>VLOOKUP(Location!$D$2,pha_average_hdd_cdd,26)</f>
        <v>#N/A</v>
      </c>
      <c r="E38" s="551" t="s">
        <v>853</v>
      </c>
      <c r="F38" s="551"/>
    </row>
    <row r="39" spans="1:6" ht="15" customHeight="1" thickBot="1">
      <c r="A39" s="551"/>
      <c r="B39" s="551"/>
      <c r="C39" s="552" t="s">
        <v>878</v>
      </c>
      <c r="D39" s="553" t="e">
        <f>VLOOKUP(Location!$D$2,pha_average_hdd_cdd,27)</f>
        <v>#N/A</v>
      </c>
      <c r="E39" s="551"/>
      <c r="F39" s="551"/>
    </row>
    <row r="40" spans="1:6" ht="15" customHeight="1" thickBot="1">
      <c r="A40" s="551"/>
      <c r="B40" s="551"/>
      <c r="C40" s="552" t="s">
        <v>879</v>
      </c>
      <c r="D40" s="553" t="e">
        <f>VLOOKUP(Location!$D$2,pha_average_hdd_cdd,29)</f>
        <v>#N/A</v>
      </c>
      <c r="E40" s="551" t="s">
        <v>853</v>
      </c>
      <c r="F40" s="551"/>
    </row>
  </sheetData>
  <sheetProtection sheet="1" objects="1" scenarios="1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9</xdr:row>
                    <xdr:rowOff>0</xdr:rowOff>
                  </from>
                  <to>
                    <xdr:col>3</xdr:col>
                    <xdr:colOff>800100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19E8-632E-AF49-B365-AC5F4C9D0873}">
  <sheetPr codeName="Sheet11">
    <tabColor rgb="FF7030A0"/>
    <pageSetUpPr fitToPage="1"/>
  </sheetPr>
  <dimension ref="A1:Q420"/>
  <sheetViews>
    <sheetView workbookViewId="0"/>
  </sheetViews>
  <sheetFormatPr defaultColWidth="7.5546875" defaultRowHeight="12.75"/>
  <cols>
    <col min="1" max="1" width="4" style="556" customWidth="1"/>
    <col min="2" max="2" width="19.44140625" style="556" customWidth="1"/>
    <col min="3" max="3" width="2.33203125" style="556" customWidth="1"/>
    <col min="4" max="4" width="16" style="600" customWidth="1"/>
    <col min="5" max="5" width="2.33203125" style="556" customWidth="1"/>
    <col min="6" max="6" width="16" style="600" customWidth="1"/>
    <col min="7" max="7" width="1.88671875" style="556" customWidth="1"/>
    <col min="8" max="8" width="10.88671875" style="556" customWidth="1"/>
    <col min="9" max="9" width="4.33203125" style="556" customWidth="1"/>
    <col min="10" max="10" width="10.88671875" style="556" customWidth="1"/>
    <col min="11" max="11" width="4" style="556" customWidth="1"/>
    <col min="12" max="13" width="10.88671875" style="556" customWidth="1"/>
    <col min="14" max="14" width="22.6640625" style="600" bestFit="1" customWidth="1"/>
    <col min="15" max="16384" width="7.5546875" style="556"/>
  </cols>
  <sheetData>
    <row r="1" spans="1:17" ht="21" customHeight="1" thickBot="1">
      <c r="A1" s="551"/>
      <c r="B1" s="551"/>
      <c r="C1" s="551"/>
      <c r="D1" s="554" t="s">
        <v>880</v>
      </c>
      <c r="E1" s="555"/>
      <c r="F1" s="554" t="s">
        <v>881</v>
      </c>
      <c r="G1" s="551"/>
      <c r="H1" s="551"/>
      <c r="I1" s="551"/>
      <c r="J1" s="551"/>
      <c r="K1" s="551"/>
      <c r="L1" s="551"/>
      <c r="M1" s="551"/>
      <c r="N1" s="554" t="s">
        <v>882</v>
      </c>
      <c r="O1" s="556" t="s">
        <v>140</v>
      </c>
    </row>
    <row r="2" spans="1:17" ht="15" customHeight="1" thickBot="1">
      <c r="A2" s="551"/>
      <c r="B2" s="557" t="s">
        <v>883</v>
      </c>
      <c r="C2" s="558"/>
      <c r="D2" s="559">
        <v>40754</v>
      </c>
      <c r="E2" s="560"/>
      <c r="F2" s="559">
        <v>40786</v>
      </c>
      <c r="G2" s="551"/>
      <c r="H2" s="551"/>
      <c r="I2" s="551"/>
      <c r="J2" s="551"/>
      <c r="K2" s="551"/>
      <c r="L2" s="551"/>
      <c r="M2" s="551"/>
      <c r="N2" s="561"/>
    </row>
    <row r="3" spans="1:17" ht="15" customHeight="1" thickBot="1">
      <c r="A3" s="562"/>
      <c r="B3" s="563"/>
      <c r="C3" s="564"/>
      <c r="D3" s="565"/>
      <c r="E3" s="566"/>
      <c r="F3" s="565"/>
      <c r="G3" s="562"/>
      <c r="H3" s="562"/>
      <c r="I3" s="562"/>
      <c r="J3" s="562"/>
      <c r="K3" s="562"/>
      <c r="L3" s="562"/>
      <c r="M3" s="562"/>
      <c r="N3" s="567"/>
    </row>
    <row r="4" spans="1:17" ht="30" customHeight="1" thickTop="1">
      <c r="A4" s="548" t="s">
        <v>884</v>
      </c>
      <c r="B4" s="568"/>
      <c r="C4" s="568"/>
      <c r="D4" s="569"/>
      <c r="E4" s="570"/>
      <c r="F4" s="569"/>
      <c r="G4" s="570"/>
      <c r="H4" s="568"/>
      <c r="I4" s="568"/>
      <c r="J4" s="568"/>
      <c r="K4" s="568"/>
      <c r="L4" s="568"/>
      <c r="M4" s="568"/>
      <c r="N4" s="571" t="e">
        <f>F354</f>
        <v>#DIV/0!</v>
      </c>
      <c r="P4" s="572"/>
    </row>
    <row r="5" spans="1:17" ht="15" customHeight="1" thickBot="1">
      <c r="A5" s="573"/>
      <c r="B5" s="551"/>
      <c r="C5" s="551"/>
      <c r="D5" s="574"/>
      <c r="E5" s="575"/>
      <c r="F5" s="574"/>
      <c r="G5" s="575"/>
      <c r="H5" s="551"/>
      <c r="I5" s="551"/>
      <c r="J5" s="551"/>
      <c r="K5" s="551"/>
      <c r="L5" s="551"/>
      <c r="M5" s="551"/>
      <c r="N5" s="576" t="e">
        <f>IF(N4&gt;=0.1,"Need to Update Allowances","")</f>
        <v>#DIV/0!</v>
      </c>
    </row>
    <row r="6" spans="1:17" ht="15" customHeight="1" thickBot="1">
      <c r="A6" s="573"/>
      <c r="B6" s="577" t="s">
        <v>885</v>
      </c>
      <c r="C6" s="551"/>
      <c r="D6" s="578"/>
      <c r="E6" s="575"/>
      <c r="F6" s="578"/>
      <c r="G6" s="575"/>
      <c r="H6" s="551"/>
      <c r="I6" s="551"/>
      <c r="J6" s="551"/>
      <c r="K6" s="551"/>
      <c r="L6" s="551"/>
      <c r="M6" s="551"/>
      <c r="N6" s="561"/>
    </row>
    <row r="7" spans="1:17" ht="7.5" customHeight="1" thickBot="1">
      <c r="A7" s="573"/>
      <c r="B7" s="551"/>
      <c r="C7" s="551"/>
      <c r="D7" s="574"/>
      <c r="E7" s="575"/>
      <c r="F7" s="574"/>
      <c r="G7" s="575"/>
      <c r="H7" s="551"/>
      <c r="I7" s="551"/>
      <c r="J7" s="551"/>
      <c r="K7" s="551"/>
      <c r="L7" s="551"/>
      <c r="M7" s="551"/>
      <c r="N7" s="561"/>
    </row>
    <row r="8" spans="1:17" ht="15" customHeight="1" thickBot="1">
      <c r="A8" s="573"/>
      <c r="B8" s="577" t="s">
        <v>886</v>
      </c>
      <c r="C8" s="551"/>
      <c r="D8" s="578"/>
      <c r="E8" s="575"/>
      <c r="F8" s="578"/>
      <c r="G8" s="575"/>
      <c r="H8" s="551"/>
      <c r="I8" s="551"/>
      <c r="J8" s="551"/>
      <c r="K8" s="551"/>
      <c r="L8" s="551"/>
      <c r="M8" s="551"/>
      <c r="N8" s="561"/>
    </row>
    <row r="9" spans="1:17" ht="7.5" customHeight="1" thickBot="1">
      <c r="A9" s="573"/>
      <c r="B9" s="551"/>
      <c r="C9" s="551"/>
      <c r="D9" s="574"/>
      <c r="E9" s="575"/>
      <c r="F9" s="574"/>
      <c r="G9" s="575"/>
      <c r="H9" s="551"/>
      <c r="I9" s="551"/>
      <c r="J9" s="551"/>
      <c r="K9" s="551"/>
      <c r="L9" s="551"/>
      <c r="M9" s="551"/>
      <c r="N9" s="561"/>
    </row>
    <row r="10" spans="1:17" ht="15" customHeight="1" thickBot="1">
      <c r="A10" s="573"/>
      <c r="B10" s="577" t="s">
        <v>887</v>
      </c>
      <c r="C10" s="551"/>
      <c r="D10" s="559"/>
      <c r="E10" s="575"/>
      <c r="F10" s="559"/>
      <c r="G10" s="575"/>
      <c r="H10" s="551"/>
      <c r="I10" s="551"/>
      <c r="J10" s="551"/>
      <c r="K10" s="551"/>
      <c r="L10" s="551"/>
      <c r="M10" s="551"/>
      <c r="N10" s="561"/>
      <c r="Q10" s="537"/>
    </row>
    <row r="11" spans="1:17" ht="15" customHeight="1">
      <c r="A11" s="573"/>
      <c r="B11" s="551"/>
      <c r="C11" s="551"/>
      <c r="D11" s="579"/>
      <c r="E11" s="580"/>
      <c r="F11" s="579"/>
      <c r="G11" s="575"/>
      <c r="H11" s="551"/>
      <c r="I11" s="551"/>
      <c r="J11" s="551"/>
      <c r="K11" s="551"/>
      <c r="L11" s="551"/>
      <c r="M11" s="551"/>
      <c r="N11" s="561"/>
    </row>
    <row r="12" spans="1:17" ht="15" customHeight="1">
      <c r="A12" s="573"/>
      <c r="B12" s="577" t="s">
        <v>888</v>
      </c>
      <c r="C12" s="551"/>
      <c r="D12" s="579"/>
      <c r="E12" s="580"/>
      <c r="F12" s="579"/>
      <c r="G12" s="575"/>
      <c r="H12" s="551" t="s">
        <v>889</v>
      </c>
      <c r="I12" s="551"/>
      <c r="J12" s="551"/>
      <c r="K12" s="551"/>
      <c r="L12" s="551"/>
      <c r="M12" s="551"/>
      <c r="N12" s="561"/>
    </row>
    <row r="13" spans="1:17" ht="15" customHeight="1">
      <c r="A13" s="573"/>
      <c r="B13" s="577"/>
      <c r="C13" s="551"/>
      <c r="D13" s="581">
        <v>1</v>
      </c>
      <c r="E13" s="580"/>
      <c r="F13" s="581">
        <v>1</v>
      </c>
      <c r="G13" s="575"/>
      <c r="H13" s="551"/>
      <c r="I13" s="551"/>
      <c r="J13" s="551"/>
      <c r="K13" s="551"/>
      <c r="L13" s="551"/>
      <c r="M13" s="551"/>
      <c r="N13" s="561"/>
    </row>
    <row r="14" spans="1:17" ht="15" customHeight="1">
      <c r="A14" s="573"/>
      <c r="B14" s="577"/>
      <c r="C14" s="551"/>
      <c r="D14" s="579"/>
      <c r="E14" s="580"/>
      <c r="F14" s="579"/>
      <c r="G14" s="575"/>
      <c r="H14" s="551"/>
      <c r="I14" s="551"/>
      <c r="J14" s="551"/>
      <c r="K14" s="551"/>
      <c r="L14" s="551"/>
      <c r="M14" s="551"/>
      <c r="N14" s="561"/>
    </row>
    <row r="15" spans="1:17" ht="15" customHeight="1">
      <c r="A15" s="573"/>
      <c r="B15" s="577" t="s">
        <v>890</v>
      </c>
      <c r="C15" s="551"/>
      <c r="D15" s="579"/>
      <c r="E15" s="580"/>
      <c r="F15" s="579"/>
      <c r="G15" s="575"/>
      <c r="H15" s="551" t="s">
        <v>891</v>
      </c>
      <c r="I15" s="551"/>
      <c r="J15" s="551"/>
      <c r="K15" s="551"/>
      <c r="L15" s="551"/>
      <c r="M15" s="551"/>
      <c r="N15" s="561"/>
    </row>
    <row r="16" spans="1:17" ht="15" customHeight="1">
      <c r="A16" s="573"/>
      <c r="B16" s="577"/>
      <c r="C16" s="551"/>
      <c r="D16" s="561">
        <v>12</v>
      </c>
      <c r="E16" s="575"/>
      <c r="F16" s="561">
        <v>12</v>
      </c>
      <c r="G16" s="575"/>
      <c r="H16" s="551"/>
      <c r="I16" s="551"/>
      <c r="J16" s="551"/>
      <c r="K16" s="551"/>
      <c r="L16" s="551"/>
      <c r="M16" s="551"/>
      <c r="N16" s="561"/>
    </row>
    <row r="17" spans="1:16" ht="15" customHeight="1" thickBot="1">
      <c r="A17" s="573"/>
      <c r="B17" s="551"/>
      <c r="C17" s="551"/>
      <c r="D17" s="574"/>
      <c r="E17" s="575"/>
      <c r="F17" s="574"/>
      <c r="G17" s="575"/>
      <c r="H17" s="551"/>
      <c r="I17" s="582"/>
      <c r="J17" s="577" t="s">
        <v>892</v>
      </c>
      <c r="K17" s="577"/>
      <c r="L17" s="577" t="s">
        <v>893</v>
      </c>
      <c r="M17" s="551"/>
      <c r="N17" s="561"/>
    </row>
    <row r="18" spans="1:16" ht="15" customHeight="1" thickBot="1">
      <c r="A18" s="573"/>
      <c r="B18" s="577" t="s">
        <v>894</v>
      </c>
      <c r="C18" s="551"/>
      <c r="D18" s="578"/>
      <c r="E18" s="575"/>
      <c r="F18" s="578"/>
      <c r="G18" s="575"/>
      <c r="H18" s="551" t="s">
        <v>895</v>
      </c>
      <c r="I18" s="582" t="b">
        <v>0</v>
      </c>
      <c r="J18" s="583"/>
      <c r="K18" s="582" t="b">
        <v>0</v>
      </c>
      <c r="L18" s="583"/>
      <c r="M18" s="558" t="s">
        <v>895</v>
      </c>
      <c r="N18" s="561"/>
    </row>
    <row r="19" spans="1:16" ht="7.5" customHeight="1">
      <c r="A19" s="551"/>
      <c r="B19" s="551"/>
      <c r="C19" s="551"/>
      <c r="D19" s="561"/>
      <c r="E19" s="551"/>
      <c r="F19" s="561"/>
      <c r="G19" s="551"/>
      <c r="H19" s="551"/>
      <c r="I19" s="582"/>
      <c r="J19" s="561"/>
      <c r="K19" s="551"/>
      <c r="L19" s="561"/>
      <c r="M19" s="551"/>
      <c r="N19" s="561"/>
    </row>
    <row r="20" spans="1:16" ht="15" customHeight="1" thickBot="1">
      <c r="A20" s="551"/>
      <c r="B20" s="577" t="s">
        <v>896</v>
      </c>
      <c r="C20" s="577"/>
      <c r="D20" s="561"/>
      <c r="E20" s="551"/>
      <c r="F20" s="561"/>
      <c r="G20" s="551"/>
      <c r="H20" s="551"/>
      <c r="I20" s="582"/>
      <c r="J20" s="577"/>
      <c r="K20" s="577"/>
      <c r="L20" s="577"/>
      <c r="M20" s="551"/>
      <c r="N20" s="561"/>
    </row>
    <row r="21" spans="1:16" ht="15" customHeight="1" thickBot="1">
      <c r="A21" s="551"/>
      <c r="B21" s="558" t="s">
        <v>897</v>
      </c>
      <c r="C21" s="558"/>
      <c r="D21" s="578"/>
      <c r="E21" s="551"/>
      <c r="F21" s="578"/>
      <c r="G21" s="551"/>
      <c r="H21" s="551" t="s">
        <v>898</v>
      </c>
      <c r="I21" s="582" t="b">
        <v>1</v>
      </c>
      <c r="J21" s="551"/>
      <c r="K21" s="561"/>
      <c r="L21" s="551"/>
      <c r="M21" s="561"/>
      <c r="N21" s="561"/>
    </row>
    <row r="22" spans="1:16" ht="15" customHeight="1" thickBot="1">
      <c r="A22" s="551"/>
      <c r="B22" s="558" t="s">
        <v>899</v>
      </c>
      <c r="C22" s="558"/>
      <c r="D22" s="578"/>
      <c r="E22" s="551"/>
      <c r="F22" s="578"/>
      <c r="G22" s="551"/>
      <c r="H22" s="551" t="s">
        <v>898</v>
      </c>
      <c r="I22" s="582" t="b">
        <v>0</v>
      </c>
      <c r="J22" s="551"/>
      <c r="K22" s="561"/>
      <c r="L22" s="551"/>
      <c r="M22" s="561"/>
      <c r="N22" s="561"/>
    </row>
    <row r="23" spans="1:16" ht="15" customHeight="1" thickBot="1">
      <c r="A23" s="551"/>
      <c r="B23" s="558" t="s">
        <v>900</v>
      </c>
      <c r="C23" s="558"/>
      <c r="D23" s="578"/>
      <c r="E23" s="551"/>
      <c r="F23" s="578"/>
      <c r="G23" s="551"/>
      <c r="H23" s="551" t="s">
        <v>898</v>
      </c>
      <c r="I23" s="582" t="b">
        <v>0</v>
      </c>
      <c r="J23" s="551"/>
      <c r="K23" s="561"/>
      <c r="L23" s="551"/>
      <c r="M23" s="561"/>
      <c r="N23" s="561"/>
    </row>
    <row r="24" spans="1:16" ht="15" customHeight="1" thickBot="1">
      <c r="A24" s="551"/>
      <c r="B24" s="558" t="s">
        <v>901</v>
      </c>
      <c r="C24" s="558"/>
      <c r="D24" s="578"/>
      <c r="E24" s="551"/>
      <c r="F24" s="578"/>
      <c r="G24" s="551"/>
      <c r="H24" s="551" t="s">
        <v>898</v>
      </c>
      <c r="I24" s="582" t="b">
        <v>0</v>
      </c>
      <c r="J24" s="551"/>
      <c r="K24" s="561"/>
      <c r="L24" s="551"/>
      <c r="M24" s="561"/>
      <c r="N24" s="561"/>
    </row>
    <row r="25" spans="1:16" ht="7.5" customHeight="1" thickBot="1">
      <c r="A25" s="551"/>
      <c r="B25" s="558"/>
      <c r="C25" s="558"/>
      <c r="D25" s="584"/>
      <c r="E25" s="551"/>
      <c r="F25" s="584"/>
      <c r="G25" s="551"/>
      <c r="H25" s="551"/>
      <c r="I25" s="582"/>
      <c r="J25" s="551"/>
      <c r="K25" s="561"/>
      <c r="L25" s="551"/>
      <c r="M25" s="561"/>
      <c r="N25" s="561"/>
    </row>
    <row r="26" spans="1:16" ht="15" customHeight="1" thickBot="1">
      <c r="A26" s="551"/>
      <c r="B26" s="558" t="s">
        <v>902</v>
      </c>
      <c r="C26" s="558"/>
      <c r="D26" s="585"/>
      <c r="E26" s="551"/>
      <c r="F26" s="585"/>
      <c r="G26" s="551"/>
      <c r="H26" s="551" t="s">
        <v>903</v>
      </c>
      <c r="I26" s="582" t="b">
        <v>1</v>
      </c>
      <c r="J26" s="551"/>
      <c r="K26" s="561"/>
      <c r="L26" s="551"/>
      <c r="M26" s="561"/>
      <c r="N26" s="561"/>
      <c r="P26" s="586"/>
    </row>
    <row r="27" spans="1:16" ht="15" customHeight="1" thickBot="1">
      <c r="A27" s="551"/>
      <c r="B27" s="558" t="s">
        <v>904</v>
      </c>
      <c r="C27" s="558"/>
      <c r="D27" s="578"/>
      <c r="E27" s="551"/>
      <c r="F27" s="578"/>
      <c r="G27" s="551"/>
      <c r="H27" s="551" t="s">
        <v>903</v>
      </c>
      <c r="I27" s="582" t="b">
        <v>0</v>
      </c>
      <c r="J27" s="551"/>
      <c r="K27" s="561"/>
      <c r="L27" s="551"/>
      <c r="M27" s="561"/>
      <c r="N27" s="561"/>
      <c r="P27" s="586"/>
    </row>
    <row r="28" spans="1:16" ht="15" customHeight="1" thickBot="1">
      <c r="A28" s="551"/>
      <c r="B28" s="558" t="s">
        <v>905</v>
      </c>
      <c r="C28" s="558"/>
      <c r="D28" s="578"/>
      <c r="E28" s="551"/>
      <c r="F28" s="578"/>
      <c r="G28" s="551"/>
      <c r="H28" s="551" t="s">
        <v>903</v>
      </c>
      <c r="I28" s="582" t="b">
        <v>0</v>
      </c>
      <c r="J28" s="551"/>
      <c r="K28" s="561"/>
      <c r="L28" s="551"/>
      <c r="M28" s="561"/>
      <c r="N28" s="561"/>
      <c r="P28" s="586"/>
    </row>
    <row r="29" spans="1:16" ht="15" customHeight="1" thickBot="1">
      <c r="A29" s="551"/>
      <c r="B29" s="558" t="s">
        <v>906</v>
      </c>
      <c r="C29" s="558"/>
      <c r="D29" s="578"/>
      <c r="E29" s="551"/>
      <c r="F29" s="578"/>
      <c r="G29" s="551"/>
      <c r="H29" s="551" t="s">
        <v>903</v>
      </c>
      <c r="I29" s="582" t="b">
        <v>0</v>
      </c>
      <c r="J29" s="551"/>
      <c r="K29" s="561"/>
      <c r="L29" s="551"/>
      <c r="M29" s="561"/>
      <c r="N29" s="561"/>
      <c r="P29" s="586"/>
    </row>
    <row r="30" spans="1:16" ht="15" customHeight="1">
      <c r="A30" s="551"/>
      <c r="B30" s="551"/>
      <c r="C30" s="551"/>
      <c r="D30" s="561"/>
      <c r="E30" s="551"/>
      <c r="F30" s="561"/>
      <c r="G30" s="551"/>
      <c r="H30" s="551"/>
      <c r="I30" s="582"/>
      <c r="J30" s="551"/>
      <c r="K30" s="561"/>
      <c r="L30" s="551"/>
      <c r="M30" s="561"/>
      <c r="N30" s="561"/>
    </row>
    <row r="31" spans="1:16" ht="15" customHeight="1" thickBot="1">
      <c r="A31" s="551"/>
      <c r="B31" s="577" t="s">
        <v>907</v>
      </c>
      <c r="C31" s="577"/>
      <c r="D31" s="561"/>
      <c r="E31" s="551"/>
      <c r="F31" s="561"/>
      <c r="G31" s="551"/>
      <c r="H31" s="551"/>
      <c r="I31" s="582"/>
      <c r="J31" s="551"/>
      <c r="K31" s="561"/>
      <c r="L31" s="551"/>
      <c r="M31" s="561"/>
      <c r="N31" s="561"/>
    </row>
    <row r="32" spans="1:16" ht="15" customHeight="1" thickBot="1">
      <c r="A32" s="551"/>
      <c r="B32" s="558" t="s">
        <v>897</v>
      </c>
      <c r="C32" s="558"/>
      <c r="D32" s="578"/>
      <c r="E32" s="551"/>
      <c r="F32" s="578"/>
      <c r="G32" s="551"/>
      <c r="H32" s="551" t="s">
        <v>898</v>
      </c>
      <c r="I32" s="582" t="b">
        <v>1</v>
      </c>
      <c r="J32" s="551"/>
      <c r="K32" s="561"/>
      <c r="L32" s="551"/>
      <c r="M32" s="561"/>
      <c r="N32" s="561"/>
    </row>
    <row r="33" spans="1:16" ht="15" customHeight="1" thickBot="1">
      <c r="A33" s="551"/>
      <c r="B33" s="558" t="s">
        <v>899</v>
      </c>
      <c r="C33" s="558"/>
      <c r="D33" s="578"/>
      <c r="E33" s="551"/>
      <c r="F33" s="585"/>
      <c r="G33" s="551"/>
      <c r="H33" s="551" t="s">
        <v>898</v>
      </c>
      <c r="I33" s="582" t="b">
        <v>0</v>
      </c>
      <c r="J33" s="551"/>
      <c r="K33" s="561"/>
      <c r="L33" s="551"/>
      <c r="M33" s="561"/>
      <c r="N33" s="561"/>
    </row>
    <row r="34" spans="1:16" ht="15" customHeight="1" thickBot="1">
      <c r="A34" s="551"/>
      <c r="B34" s="558" t="s">
        <v>900</v>
      </c>
      <c r="C34" s="558"/>
      <c r="D34" s="578"/>
      <c r="E34" s="551"/>
      <c r="F34" s="578"/>
      <c r="G34" s="551"/>
      <c r="H34" s="551" t="s">
        <v>898</v>
      </c>
      <c r="I34" s="582" t="b">
        <v>0</v>
      </c>
      <c r="J34" s="551"/>
      <c r="K34" s="561"/>
      <c r="L34" s="551"/>
      <c r="M34" s="561"/>
      <c r="N34" s="561"/>
    </row>
    <row r="35" spans="1:16" ht="15" customHeight="1" thickBot="1">
      <c r="A35" s="551"/>
      <c r="B35" s="558" t="s">
        <v>901</v>
      </c>
      <c r="C35" s="558"/>
      <c r="D35" s="578"/>
      <c r="E35" s="551"/>
      <c r="F35" s="578"/>
      <c r="G35" s="551"/>
      <c r="H35" s="551" t="s">
        <v>898</v>
      </c>
      <c r="I35" s="582" t="b">
        <v>0</v>
      </c>
      <c r="J35" s="551"/>
      <c r="K35" s="561"/>
      <c r="L35" s="551"/>
      <c r="M35" s="561"/>
      <c r="N35" s="561"/>
    </row>
    <row r="36" spans="1:16" ht="7.5" customHeight="1" thickBot="1">
      <c r="A36" s="551"/>
      <c r="B36" s="558"/>
      <c r="C36" s="558"/>
      <c r="D36" s="561"/>
      <c r="E36" s="551"/>
      <c r="F36" s="561"/>
      <c r="G36" s="551"/>
      <c r="H36" s="551"/>
      <c r="I36" s="582"/>
      <c r="J36" s="551"/>
      <c r="K36" s="561"/>
      <c r="L36" s="551"/>
      <c r="M36" s="561"/>
      <c r="N36" s="561"/>
    </row>
    <row r="37" spans="1:16" ht="15" customHeight="1" thickBot="1">
      <c r="A37" s="551"/>
      <c r="B37" s="558" t="s">
        <v>902</v>
      </c>
      <c r="C37" s="558"/>
      <c r="D37" s="578"/>
      <c r="E37" s="551"/>
      <c r="F37" s="578"/>
      <c r="G37" s="551"/>
      <c r="H37" s="551" t="s">
        <v>903</v>
      </c>
      <c r="I37" s="582" t="b">
        <v>0</v>
      </c>
      <c r="J37" s="551"/>
      <c r="K37" s="561"/>
      <c r="L37" s="551"/>
      <c r="M37" s="561"/>
      <c r="N37" s="561"/>
      <c r="P37" s="586"/>
    </row>
    <row r="38" spans="1:16" ht="15" customHeight="1" thickBot="1">
      <c r="A38" s="551"/>
      <c r="B38" s="558" t="s">
        <v>904</v>
      </c>
      <c r="C38" s="558"/>
      <c r="D38" s="578"/>
      <c r="E38" s="551"/>
      <c r="F38" s="585"/>
      <c r="G38" s="551"/>
      <c r="H38" s="551" t="s">
        <v>903</v>
      </c>
      <c r="I38" s="582" t="b">
        <v>0</v>
      </c>
      <c r="J38" s="551"/>
      <c r="K38" s="561"/>
      <c r="L38" s="551"/>
      <c r="M38" s="561"/>
      <c r="N38" s="561"/>
      <c r="P38" s="586"/>
    </row>
    <row r="39" spans="1:16" ht="15" customHeight="1" thickBot="1">
      <c r="A39" s="551"/>
      <c r="B39" s="558" t="s">
        <v>905</v>
      </c>
      <c r="C39" s="558"/>
      <c r="D39" s="578"/>
      <c r="E39" s="551"/>
      <c r="F39" s="578"/>
      <c r="G39" s="551"/>
      <c r="H39" s="551" t="s">
        <v>903</v>
      </c>
      <c r="I39" s="582" t="b">
        <v>0</v>
      </c>
      <c r="J39" s="551"/>
      <c r="K39" s="561"/>
      <c r="L39" s="551"/>
      <c r="M39" s="561"/>
      <c r="N39" s="561"/>
      <c r="P39" s="586" t="str">
        <f>IF(AND(D39&lt;&gt;0,F39&lt;&gt;0),(F39-D39)/D39,"")</f>
        <v/>
      </c>
    </row>
    <row r="40" spans="1:16" ht="15" customHeight="1" thickBot="1">
      <c r="A40" s="551"/>
      <c r="B40" s="558" t="s">
        <v>906</v>
      </c>
      <c r="C40" s="558"/>
      <c r="D40" s="578"/>
      <c r="E40" s="551"/>
      <c r="F40" s="578"/>
      <c r="G40" s="551"/>
      <c r="H40" s="551" t="s">
        <v>903</v>
      </c>
      <c r="I40" s="582" t="b">
        <v>0</v>
      </c>
      <c r="J40" s="551"/>
      <c r="K40" s="561"/>
      <c r="L40" s="551"/>
      <c r="M40" s="561"/>
      <c r="N40" s="561"/>
      <c r="P40" s="586" t="str">
        <f>IF(AND(D40&lt;&gt;0,F40&lt;&gt;0),(F40-D40)/D40,"")</f>
        <v/>
      </c>
    </row>
    <row r="41" spans="1:16" ht="15" customHeight="1" thickBot="1">
      <c r="A41" s="551"/>
      <c r="B41" s="551"/>
      <c r="C41" s="551"/>
      <c r="D41" s="561"/>
      <c r="E41" s="551"/>
      <c r="F41" s="561"/>
      <c r="G41" s="551"/>
      <c r="H41" s="551"/>
      <c r="I41" s="551"/>
      <c r="J41" s="551"/>
      <c r="K41" s="561"/>
      <c r="L41" s="551"/>
      <c r="M41" s="561"/>
      <c r="N41" s="561"/>
    </row>
    <row r="42" spans="1:16" ht="15" customHeight="1" thickBot="1">
      <c r="A42" s="551"/>
      <c r="B42" s="577" t="s">
        <v>908</v>
      </c>
      <c r="C42" s="551"/>
      <c r="D42" s="578"/>
      <c r="E42" s="551"/>
      <c r="F42" s="578"/>
      <c r="G42" s="551"/>
      <c r="H42" s="551" t="s">
        <v>903</v>
      </c>
      <c r="I42" s="551"/>
      <c r="J42" s="551"/>
      <c r="K42" s="551"/>
      <c r="L42" s="551"/>
      <c r="M42" s="551"/>
      <c r="N42" s="561"/>
    </row>
    <row r="43" spans="1:16" ht="15" customHeight="1" thickBot="1">
      <c r="A43" s="551"/>
      <c r="B43" s="577"/>
      <c r="C43" s="551"/>
      <c r="D43" s="561"/>
      <c r="E43" s="551"/>
      <c r="F43" s="561"/>
      <c r="G43" s="551"/>
      <c r="H43" s="551"/>
      <c r="I43" s="551"/>
      <c r="J43" s="551"/>
      <c r="K43" s="551"/>
      <c r="L43" s="551"/>
      <c r="M43" s="551"/>
      <c r="N43" s="561"/>
    </row>
    <row r="44" spans="1:16" ht="15" customHeight="1" thickBot="1">
      <c r="A44" s="551"/>
      <c r="B44" s="577" t="s">
        <v>909</v>
      </c>
      <c r="C44" s="551"/>
      <c r="D44" s="578"/>
      <c r="E44" s="551"/>
      <c r="F44" s="578"/>
      <c r="G44" s="551"/>
      <c r="H44" s="551" t="s">
        <v>910</v>
      </c>
      <c r="I44" s="551"/>
      <c r="J44" s="551"/>
      <c r="K44" s="551"/>
      <c r="L44" s="551"/>
      <c r="M44" s="551"/>
      <c r="N44" s="561"/>
    </row>
    <row r="45" spans="1:16">
      <c r="A45" s="551"/>
      <c r="B45" s="551"/>
      <c r="C45" s="551"/>
      <c r="D45" s="561"/>
      <c r="E45" s="551"/>
      <c r="F45" s="561"/>
      <c r="G45" s="551"/>
      <c r="H45" s="551"/>
      <c r="I45" s="551"/>
      <c r="J45" s="551"/>
      <c r="K45" s="551"/>
      <c r="L45" s="551"/>
      <c r="M45" s="551"/>
      <c r="N45" s="561"/>
    </row>
    <row r="46" spans="1:16" ht="13.5" thickBot="1">
      <c r="A46" s="562"/>
      <c r="B46" s="563"/>
      <c r="C46" s="564"/>
      <c r="D46" s="565"/>
      <c r="E46" s="566"/>
      <c r="F46" s="565"/>
      <c r="G46" s="562"/>
      <c r="H46" s="562"/>
      <c r="I46" s="562"/>
      <c r="J46" s="562"/>
      <c r="K46" s="562"/>
      <c r="L46" s="562"/>
      <c r="M46" s="562"/>
      <c r="N46" s="567"/>
    </row>
    <row r="47" spans="1:16" ht="30" customHeight="1" thickTop="1">
      <c r="A47" s="548" t="s">
        <v>911</v>
      </c>
      <c r="B47" s="568"/>
      <c r="C47" s="568"/>
      <c r="D47" s="569"/>
      <c r="E47" s="570"/>
      <c r="F47" s="569"/>
      <c r="G47" s="570"/>
      <c r="H47" s="568"/>
      <c r="I47" s="568"/>
      <c r="J47" s="568"/>
      <c r="K47" s="568"/>
      <c r="L47" s="568"/>
      <c r="M47" s="568"/>
      <c r="N47" s="571"/>
    </row>
    <row r="48" spans="1:16">
      <c r="A48" s="587" t="s">
        <v>912</v>
      </c>
      <c r="B48" s="568"/>
      <c r="C48" s="568"/>
      <c r="D48" s="569"/>
      <c r="E48" s="570"/>
      <c r="F48" s="569"/>
      <c r="G48" s="570"/>
      <c r="H48" s="568"/>
      <c r="I48" s="568"/>
      <c r="J48" s="568"/>
      <c r="K48" s="568"/>
      <c r="L48" s="568"/>
      <c r="M48" s="568"/>
      <c r="N48" s="571"/>
    </row>
    <row r="49" spans="1:14">
      <c r="A49" s="587" t="s">
        <v>913</v>
      </c>
      <c r="B49" s="568"/>
      <c r="C49" s="568"/>
      <c r="D49" s="569"/>
      <c r="E49" s="570"/>
      <c r="F49" s="569"/>
      <c r="G49" s="570"/>
      <c r="H49" s="568"/>
      <c r="I49" s="568"/>
      <c r="J49" s="568"/>
      <c r="K49" s="568"/>
      <c r="L49" s="568"/>
      <c r="M49" s="568"/>
      <c r="N49" s="571"/>
    </row>
    <row r="50" spans="1:14" ht="15.75">
      <c r="A50" s="573"/>
      <c r="B50" s="551"/>
      <c r="C50" s="551"/>
      <c r="D50" s="581"/>
      <c r="E50" s="541"/>
      <c r="F50" s="581"/>
      <c r="G50" s="551"/>
      <c r="H50" s="551"/>
      <c r="I50" s="551"/>
      <c r="J50" s="551"/>
      <c r="K50" s="551"/>
      <c r="L50" s="551"/>
      <c r="M50" s="551"/>
      <c r="N50" s="576" t="str">
        <f>IF(N47&gt;=0.1,"Need to Update Allowances","")</f>
        <v/>
      </c>
    </row>
    <row r="51" spans="1:14" ht="15.75">
      <c r="A51" s="573"/>
      <c r="B51" s="577" t="s">
        <v>914</v>
      </c>
      <c r="C51" s="551"/>
      <c r="D51" s="581"/>
      <c r="E51" s="541"/>
      <c r="F51" s="581" t="b">
        <v>0</v>
      </c>
      <c r="G51" s="551"/>
      <c r="H51" s="551"/>
      <c r="I51" s="551"/>
      <c r="J51" s="551"/>
      <c r="K51" s="551"/>
      <c r="L51" s="551"/>
      <c r="M51" s="551"/>
      <c r="N51" s="561"/>
    </row>
    <row r="52" spans="1:14" ht="16.5" thickBot="1">
      <c r="A52" s="573"/>
      <c r="B52" s="551"/>
      <c r="C52" s="551"/>
      <c r="D52" s="579"/>
      <c r="E52" s="580"/>
      <c r="F52" s="579"/>
      <c r="G52" s="575"/>
      <c r="H52" s="551"/>
      <c r="I52" s="551"/>
      <c r="J52" s="551"/>
      <c r="K52" s="551"/>
      <c r="L52" s="551"/>
      <c r="M52" s="551"/>
      <c r="N52" s="561"/>
    </row>
    <row r="53" spans="1:14" ht="16.5" thickBot="1">
      <c r="A53" s="573"/>
      <c r="B53" s="577" t="s">
        <v>885</v>
      </c>
      <c r="C53" s="551"/>
      <c r="D53" s="578"/>
      <c r="E53" s="575"/>
      <c r="F53" s="578"/>
      <c r="G53" s="575"/>
      <c r="H53" s="551"/>
      <c r="I53" s="551"/>
      <c r="J53" s="551"/>
      <c r="K53" s="551"/>
      <c r="L53" s="551"/>
      <c r="M53" s="551"/>
      <c r="N53" s="561"/>
    </row>
    <row r="54" spans="1:14" ht="7.5" customHeight="1" thickBot="1">
      <c r="A54" s="573"/>
      <c r="B54" s="551"/>
      <c r="C54" s="551"/>
      <c r="D54" s="574"/>
      <c r="E54" s="575"/>
      <c r="F54" s="574"/>
      <c r="G54" s="575"/>
      <c r="H54" s="551"/>
      <c r="I54" s="551"/>
      <c r="J54" s="551"/>
      <c r="K54" s="551"/>
      <c r="L54" s="551"/>
      <c r="M54" s="551"/>
      <c r="N54" s="561"/>
    </row>
    <row r="55" spans="1:14" ht="16.5" thickBot="1">
      <c r="A55" s="573"/>
      <c r="B55" s="577" t="s">
        <v>886</v>
      </c>
      <c r="C55" s="551"/>
      <c r="D55" s="578"/>
      <c r="E55" s="575"/>
      <c r="F55" s="578"/>
      <c r="G55" s="575"/>
      <c r="H55" s="551"/>
      <c r="I55" s="551"/>
      <c r="J55" s="551"/>
      <c r="K55" s="551"/>
      <c r="L55" s="551"/>
      <c r="M55" s="551"/>
      <c r="N55" s="561"/>
    </row>
    <row r="56" spans="1:14" ht="7.5" customHeight="1" thickBot="1">
      <c r="A56" s="573"/>
      <c r="B56" s="551"/>
      <c r="C56" s="551"/>
      <c r="D56" s="574"/>
      <c r="E56" s="575"/>
      <c r="F56" s="574"/>
      <c r="G56" s="575"/>
      <c r="H56" s="551"/>
      <c r="I56" s="551"/>
      <c r="J56" s="551"/>
      <c r="K56" s="551"/>
      <c r="L56" s="551"/>
      <c r="M56" s="551"/>
      <c r="N56" s="561"/>
    </row>
    <row r="57" spans="1:14" ht="16.5" thickBot="1">
      <c r="A57" s="573"/>
      <c r="B57" s="577" t="s">
        <v>887</v>
      </c>
      <c r="C57" s="551"/>
      <c r="D57" s="588"/>
      <c r="E57" s="575"/>
      <c r="F57" s="588"/>
      <c r="G57" s="575"/>
      <c r="H57" s="551"/>
      <c r="I57" s="551"/>
      <c r="J57" s="551"/>
      <c r="K57" s="551"/>
      <c r="L57" s="551"/>
      <c r="M57" s="551"/>
      <c r="N57" s="561"/>
    </row>
    <row r="58" spans="1:14" ht="15.75">
      <c r="A58" s="573"/>
      <c r="B58" s="551"/>
      <c r="C58" s="551"/>
      <c r="D58" s="579"/>
      <c r="E58" s="580"/>
      <c r="F58" s="579"/>
      <c r="G58" s="575"/>
      <c r="H58" s="551"/>
      <c r="I58" s="551"/>
      <c r="J58" s="551"/>
      <c r="K58" s="551"/>
      <c r="L58" s="551"/>
      <c r="M58" s="551"/>
      <c r="N58" s="561"/>
    </row>
    <row r="59" spans="1:14" ht="15.75">
      <c r="A59" s="573"/>
      <c r="B59" s="577" t="s">
        <v>888</v>
      </c>
      <c r="C59" s="551"/>
      <c r="D59" s="579"/>
      <c r="E59" s="580"/>
      <c r="F59" s="579"/>
      <c r="G59" s="575"/>
      <c r="H59" s="551"/>
      <c r="I59" s="551"/>
      <c r="J59" s="551"/>
      <c r="K59" s="551"/>
      <c r="L59" s="551"/>
      <c r="M59" s="551"/>
      <c r="N59" s="561"/>
    </row>
    <row r="60" spans="1:14" ht="15.75">
      <c r="A60" s="573"/>
      <c r="B60" s="577"/>
      <c r="C60" s="551"/>
      <c r="D60" s="561">
        <v>1</v>
      </c>
      <c r="E60" s="575"/>
      <c r="F60" s="561">
        <v>1</v>
      </c>
      <c r="G60" s="575"/>
      <c r="H60" s="551"/>
      <c r="I60" s="551"/>
      <c r="J60" s="551"/>
      <c r="K60" s="551"/>
      <c r="L60" s="551"/>
      <c r="M60" s="551"/>
      <c r="N60" s="561"/>
    </row>
    <row r="61" spans="1:14" ht="15.75">
      <c r="A61" s="573"/>
      <c r="B61" s="577"/>
      <c r="C61" s="551"/>
      <c r="D61" s="579"/>
      <c r="E61" s="580"/>
      <c r="F61" s="579"/>
      <c r="G61" s="575"/>
      <c r="H61" s="551"/>
      <c r="I61" s="551"/>
      <c r="J61" s="551"/>
      <c r="K61" s="551"/>
      <c r="L61" s="551"/>
      <c r="M61" s="551"/>
      <c r="N61" s="561"/>
    </row>
    <row r="62" spans="1:14" ht="15.75">
      <c r="A62" s="573"/>
      <c r="B62" s="577" t="s">
        <v>890</v>
      </c>
      <c r="C62" s="551"/>
      <c r="D62" s="579"/>
      <c r="E62" s="580"/>
      <c r="F62" s="579"/>
      <c r="G62" s="575"/>
      <c r="H62" s="551"/>
      <c r="I62" s="551"/>
      <c r="J62" s="551"/>
      <c r="K62" s="551"/>
      <c r="L62" s="551"/>
      <c r="M62" s="551"/>
      <c r="N62" s="561"/>
    </row>
    <row r="63" spans="1:14" ht="15.75">
      <c r="A63" s="573"/>
      <c r="B63" s="577"/>
      <c r="C63" s="551"/>
      <c r="D63" s="561">
        <v>12</v>
      </c>
      <c r="E63" s="575"/>
      <c r="F63" s="561">
        <v>12</v>
      </c>
      <c r="G63" s="575"/>
      <c r="H63" s="551"/>
      <c r="I63" s="551"/>
      <c r="J63" s="551"/>
      <c r="K63" s="551"/>
      <c r="L63" s="551"/>
      <c r="M63" s="551"/>
      <c r="N63" s="561"/>
    </row>
    <row r="64" spans="1:14" ht="16.5" thickBot="1">
      <c r="A64" s="573"/>
      <c r="B64" s="551"/>
      <c r="C64" s="551"/>
      <c r="D64" s="574"/>
      <c r="E64" s="575"/>
      <c r="F64" s="574"/>
      <c r="G64" s="575"/>
      <c r="H64" s="551"/>
      <c r="I64" s="582"/>
      <c r="J64" s="577" t="s">
        <v>892</v>
      </c>
      <c r="K64" s="577"/>
      <c r="L64" s="577" t="s">
        <v>893</v>
      </c>
      <c r="M64" s="551"/>
      <c r="N64" s="561"/>
    </row>
    <row r="65" spans="1:14" ht="16.5" thickBot="1">
      <c r="A65" s="573"/>
      <c r="B65" s="577" t="s">
        <v>894</v>
      </c>
      <c r="C65" s="551"/>
      <c r="D65" s="578"/>
      <c r="E65" s="575"/>
      <c r="F65" s="578"/>
      <c r="G65" s="575"/>
      <c r="H65" s="551" t="s">
        <v>895</v>
      </c>
      <c r="I65" s="582" t="b">
        <v>0</v>
      </c>
      <c r="J65" s="583"/>
      <c r="K65" s="582" t="b">
        <v>0</v>
      </c>
      <c r="L65" s="583"/>
      <c r="M65" s="558" t="s">
        <v>895</v>
      </c>
      <c r="N65" s="561"/>
    </row>
    <row r="66" spans="1:14">
      <c r="A66" s="551"/>
      <c r="B66" s="551"/>
      <c r="C66" s="551"/>
      <c r="D66" s="561"/>
      <c r="E66" s="551"/>
      <c r="F66" s="561"/>
      <c r="G66" s="551"/>
      <c r="H66" s="551"/>
      <c r="I66" s="551"/>
      <c r="J66" s="551"/>
      <c r="K66" s="551"/>
      <c r="L66" s="551"/>
      <c r="M66" s="551"/>
      <c r="N66" s="561"/>
    </row>
    <row r="67" spans="1:14" ht="13.5" thickBot="1">
      <c r="A67" s="551"/>
      <c r="B67" s="577" t="s">
        <v>896</v>
      </c>
      <c r="C67" s="577"/>
      <c r="D67" s="561"/>
      <c r="E67" s="551"/>
      <c r="F67" s="561"/>
      <c r="G67" s="551"/>
      <c r="H67" s="551"/>
      <c r="I67" s="551"/>
      <c r="J67" s="551"/>
      <c r="K67" s="551"/>
      <c r="L67" s="551"/>
      <c r="M67" s="551"/>
      <c r="N67" s="561"/>
    </row>
    <row r="68" spans="1:14" ht="13.5" thickBot="1">
      <c r="A68" s="551"/>
      <c r="B68" s="558" t="s">
        <v>897</v>
      </c>
      <c r="C68" s="558"/>
      <c r="D68" s="578"/>
      <c r="E68" s="551"/>
      <c r="F68" s="578"/>
      <c r="G68" s="551"/>
      <c r="H68" s="551" t="s">
        <v>898</v>
      </c>
      <c r="I68" s="551"/>
      <c r="J68" s="551"/>
      <c r="K68" s="551"/>
      <c r="L68" s="551"/>
      <c r="M68" s="551"/>
      <c r="N68" s="561"/>
    </row>
    <row r="69" spans="1:14" ht="13.5" thickBot="1">
      <c r="A69" s="551"/>
      <c r="B69" s="558" t="s">
        <v>899</v>
      </c>
      <c r="C69" s="558"/>
      <c r="D69" s="578"/>
      <c r="E69" s="551"/>
      <c r="F69" s="578"/>
      <c r="G69" s="551"/>
      <c r="H69" s="551" t="s">
        <v>898</v>
      </c>
      <c r="I69" s="551"/>
      <c r="J69" s="551"/>
      <c r="K69" s="551"/>
      <c r="L69" s="551"/>
      <c r="M69" s="551"/>
      <c r="N69" s="561"/>
    </row>
    <row r="70" spans="1:14" ht="13.5" thickBot="1">
      <c r="A70" s="551"/>
      <c r="B70" s="558" t="s">
        <v>900</v>
      </c>
      <c r="C70" s="558"/>
      <c r="D70" s="578"/>
      <c r="E70" s="551"/>
      <c r="F70" s="578"/>
      <c r="G70" s="551"/>
      <c r="H70" s="551" t="s">
        <v>898</v>
      </c>
      <c r="I70" s="551"/>
      <c r="J70" s="551"/>
      <c r="K70" s="551"/>
      <c r="L70" s="551"/>
      <c r="M70" s="551"/>
      <c r="N70" s="561"/>
    </row>
    <row r="71" spans="1:14" ht="13.5" thickBot="1">
      <c r="A71" s="551"/>
      <c r="B71" s="558" t="s">
        <v>901</v>
      </c>
      <c r="C71" s="558"/>
      <c r="D71" s="578"/>
      <c r="E71" s="551"/>
      <c r="F71" s="578"/>
      <c r="G71" s="551"/>
      <c r="H71" s="551" t="s">
        <v>898</v>
      </c>
      <c r="I71" s="551"/>
      <c r="J71" s="551"/>
      <c r="K71" s="551"/>
      <c r="L71" s="551"/>
      <c r="M71" s="551"/>
      <c r="N71" s="561"/>
    </row>
    <row r="72" spans="1:14" ht="7.5" customHeight="1" thickBot="1">
      <c r="A72" s="551"/>
      <c r="B72" s="558"/>
      <c r="C72" s="558"/>
      <c r="D72" s="584"/>
      <c r="E72" s="551"/>
      <c r="F72" s="584"/>
      <c r="G72" s="551"/>
      <c r="H72" s="551"/>
      <c r="I72" s="551"/>
      <c r="J72" s="551"/>
      <c r="K72" s="551"/>
      <c r="L72" s="551"/>
      <c r="M72" s="551"/>
      <c r="N72" s="561"/>
    </row>
    <row r="73" spans="1:14" ht="13.5" thickBot="1">
      <c r="A73" s="551"/>
      <c r="B73" s="558" t="s">
        <v>902</v>
      </c>
      <c r="C73" s="558"/>
      <c r="D73" s="578"/>
      <c r="E73" s="551"/>
      <c r="F73" s="578"/>
      <c r="G73" s="551"/>
      <c r="H73" s="551" t="s">
        <v>903</v>
      </c>
      <c r="I73" s="551"/>
      <c r="J73" s="551"/>
      <c r="K73" s="551"/>
      <c r="L73" s="551"/>
      <c r="M73" s="551"/>
      <c r="N73" s="561"/>
    </row>
    <row r="74" spans="1:14" ht="13.5" thickBot="1">
      <c r="A74" s="551"/>
      <c r="B74" s="558" t="s">
        <v>904</v>
      </c>
      <c r="C74" s="558"/>
      <c r="D74" s="578"/>
      <c r="E74" s="551"/>
      <c r="F74" s="578"/>
      <c r="G74" s="551"/>
      <c r="H74" s="551" t="s">
        <v>903</v>
      </c>
      <c r="I74" s="551"/>
      <c r="J74" s="551"/>
      <c r="K74" s="551"/>
      <c r="L74" s="551"/>
      <c r="M74" s="551"/>
      <c r="N74" s="561"/>
    </row>
    <row r="75" spans="1:14" ht="13.5" thickBot="1">
      <c r="A75" s="551"/>
      <c r="B75" s="558" t="s">
        <v>905</v>
      </c>
      <c r="C75" s="558"/>
      <c r="D75" s="578"/>
      <c r="E75" s="551"/>
      <c r="F75" s="578"/>
      <c r="G75" s="551"/>
      <c r="H75" s="551" t="s">
        <v>903</v>
      </c>
      <c r="I75" s="551"/>
      <c r="J75" s="551"/>
      <c r="K75" s="551"/>
      <c r="L75" s="551"/>
      <c r="M75" s="551"/>
      <c r="N75" s="561"/>
    </row>
    <row r="76" spans="1:14" ht="13.5" thickBot="1">
      <c r="A76" s="551"/>
      <c r="B76" s="558" t="s">
        <v>906</v>
      </c>
      <c r="C76" s="558"/>
      <c r="D76" s="578"/>
      <c r="E76" s="551"/>
      <c r="F76" s="578"/>
      <c r="G76" s="551"/>
      <c r="H76" s="551" t="s">
        <v>903</v>
      </c>
      <c r="I76" s="551"/>
      <c r="J76" s="551"/>
      <c r="K76" s="551"/>
      <c r="L76" s="551"/>
      <c r="M76" s="551"/>
      <c r="N76" s="561"/>
    </row>
    <row r="77" spans="1:14">
      <c r="A77" s="551"/>
      <c r="B77" s="551"/>
      <c r="C77" s="551"/>
      <c r="D77" s="561"/>
      <c r="E77" s="551"/>
      <c r="F77" s="561"/>
      <c r="G77" s="551"/>
      <c r="H77" s="551"/>
      <c r="I77" s="551"/>
      <c r="J77" s="551"/>
      <c r="K77" s="551"/>
      <c r="L77" s="551"/>
      <c r="M77" s="551"/>
      <c r="N77" s="561"/>
    </row>
    <row r="78" spans="1:14" ht="13.5" thickBot="1">
      <c r="A78" s="551"/>
      <c r="B78" s="577" t="s">
        <v>907</v>
      </c>
      <c r="C78" s="577"/>
      <c r="D78" s="561"/>
      <c r="E78" s="551"/>
      <c r="F78" s="561"/>
      <c r="G78" s="551"/>
      <c r="H78" s="551"/>
      <c r="I78" s="551"/>
      <c r="J78" s="551"/>
      <c r="K78" s="551"/>
      <c r="L78" s="551"/>
      <c r="M78" s="551"/>
      <c r="N78" s="561"/>
    </row>
    <row r="79" spans="1:14" ht="13.5" thickBot="1">
      <c r="A79" s="551"/>
      <c r="B79" s="558" t="s">
        <v>897</v>
      </c>
      <c r="C79" s="558"/>
      <c r="D79" s="578"/>
      <c r="E79" s="551"/>
      <c r="F79" s="578"/>
      <c r="G79" s="551"/>
      <c r="H79" s="551" t="s">
        <v>898</v>
      </c>
      <c r="I79" s="551"/>
      <c r="J79" s="551"/>
      <c r="K79" s="551"/>
      <c r="L79" s="551"/>
      <c r="M79" s="551"/>
      <c r="N79" s="561"/>
    </row>
    <row r="80" spans="1:14" ht="13.5" thickBot="1">
      <c r="A80" s="551"/>
      <c r="B80" s="558" t="s">
        <v>899</v>
      </c>
      <c r="C80" s="558"/>
      <c r="D80" s="578"/>
      <c r="E80" s="551"/>
      <c r="F80" s="578"/>
      <c r="G80" s="551"/>
      <c r="H80" s="551" t="s">
        <v>898</v>
      </c>
      <c r="I80" s="551"/>
      <c r="J80" s="551"/>
      <c r="K80" s="551"/>
      <c r="L80" s="551"/>
      <c r="M80" s="551"/>
      <c r="N80" s="561"/>
    </row>
    <row r="81" spans="1:14" ht="13.5" thickBot="1">
      <c r="A81" s="551"/>
      <c r="B81" s="558" t="s">
        <v>900</v>
      </c>
      <c r="C81" s="558"/>
      <c r="D81" s="578"/>
      <c r="E81" s="551"/>
      <c r="F81" s="578"/>
      <c r="G81" s="551"/>
      <c r="H81" s="551" t="s">
        <v>898</v>
      </c>
      <c r="I81" s="551"/>
      <c r="J81" s="551"/>
      <c r="K81" s="551"/>
      <c r="L81" s="551"/>
      <c r="M81" s="551"/>
      <c r="N81" s="561"/>
    </row>
    <row r="82" spans="1:14" ht="13.5" thickBot="1">
      <c r="A82" s="551"/>
      <c r="B82" s="558" t="s">
        <v>901</v>
      </c>
      <c r="C82" s="558"/>
      <c r="D82" s="578"/>
      <c r="E82" s="551"/>
      <c r="F82" s="578"/>
      <c r="G82" s="551"/>
      <c r="H82" s="551" t="s">
        <v>898</v>
      </c>
      <c r="I82" s="551"/>
      <c r="J82" s="551"/>
      <c r="K82" s="551"/>
      <c r="L82" s="551"/>
      <c r="M82" s="551"/>
      <c r="N82" s="561"/>
    </row>
    <row r="83" spans="1:14" ht="7.5" customHeight="1" thickBot="1">
      <c r="A83" s="551"/>
      <c r="B83" s="558"/>
      <c r="C83" s="558"/>
      <c r="D83" s="561"/>
      <c r="E83" s="551"/>
      <c r="F83" s="561"/>
      <c r="G83" s="551"/>
      <c r="H83" s="551"/>
      <c r="I83" s="582"/>
      <c r="J83" s="551"/>
      <c r="K83" s="551"/>
      <c r="L83" s="551"/>
      <c r="M83" s="551"/>
      <c r="N83" s="561"/>
    </row>
    <row r="84" spans="1:14" ht="13.5" thickBot="1">
      <c r="A84" s="551"/>
      <c r="B84" s="558" t="s">
        <v>902</v>
      </c>
      <c r="C84" s="558"/>
      <c r="D84" s="578"/>
      <c r="E84" s="551"/>
      <c r="F84" s="578"/>
      <c r="G84" s="551"/>
      <c r="H84" s="551" t="s">
        <v>903</v>
      </c>
      <c r="I84" s="582"/>
      <c r="J84" s="551"/>
      <c r="K84" s="551"/>
      <c r="L84" s="551"/>
      <c r="M84" s="551"/>
      <c r="N84" s="561"/>
    </row>
    <row r="85" spans="1:14" ht="13.5" thickBot="1">
      <c r="A85" s="551"/>
      <c r="B85" s="558" t="s">
        <v>904</v>
      </c>
      <c r="C85" s="558"/>
      <c r="D85" s="578"/>
      <c r="E85" s="551"/>
      <c r="F85" s="578"/>
      <c r="G85" s="551"/>
      <c r="H85" s="551" t="s">
        <v>903</v>
      </c>
      <c r="I85" s="582"/>
      <c r="J85" s="551"/>
      <c r="K85" s="551"/>
      <c r="L85" s="551"/>
      <c r="M85" s="551"/>
      <c r="N85" s="561"/>
    </row>
    <row r="86" spans="1:14" ht="13.5" thickBot="1">
      <c r="A86" s="551"/>
      <c r="B86" s="558" t="s">
        <v>905</v>
      </c>
      <c r="C86" s="558"/>
      <c r="D86" s="578"/>
      <c r="E86" s="551"/>
      <c r="F86" s="578"/>
      <c r="G86" s="551"/>
      <c r="H86" s="551" t="s">
        <v>903</v>
      </c>
      <c r="I86" s="582"/>
      <c r="J86" s="551"/>
      <c r="K86" s="551"/>
      <c r="L86" s="551"/>
      <c r="M86" s="551"/>
      <c r="N86" s="561"/>
    </row>
    <row r="87" spans="1:14" ht="13.5" thickBot="1">
      <c r="A87" s="551"/>
      <c r="B87" s="558" t="s">
        <v>906</v>
      </c>
      <c r="C87" s="558"/>
      <c r="D87" s="578"/>
      <c r="E87" s="551"/>
      <c r="F87" s="578"/>
      <c r="G87" s="551"/>
      <c r="H87" s="551" t="s">
        <v>903</v>
      </c>
      <c r="I87" s="582"/>
      <c r="J87" s="551"/>
      <c r="K87" s="551"/>
      <c r="L87" s="551"/>
      <c r="M87" s="551"/>
      <c r="N87" s="561"/>
    </row>
    <row r="88" spans="1:14" ht="13.5" thickBot="1">
      <c r="A88" s="551"/>
      <c r="B88" s="551"/>
      <c r="C88" s="551"/>
      <c r="D88" s="561"/>
      <c r="E88" s="551"/>
      <c r="F88" s="561"/>
      <c r="G88" s="551"/>
      <c r="H88" s="551"/>
      <c r="I88" s="551"/>
      <c r="J88" s="551"/>
      <c r="K88" s="551"/>
      <c r="L88" s="551"/>
      <c r="M88" s="551"/>
      <c r="N88" s="561"/>
    </row>
    <row r="89" spans="1:14" ht="13.5" thickBot="1">
      <c r="A89" s="551"/>
      <c r="B89" s="577" t="s">
        <v>908</v>
      </c>
      <c r="C89" s="551"/>
      <c r="D89" s="578"/>
      <c r="E89" s="551"/>
      <c r="F89" s="578"/>
      <c r="G89" s="551"/>
      <c r="H89" s="551" t="s">
        <v>903</v>
      </c>
      <c r="I89" s="551"/>
      <c r="J89" s="551"/>
      <c r="K89" s="551"/>
      <c r="L89" s="551"/>
      <c r="M89" s="551"/>
      <c r="N89" s="561"/>
    </row>
    <row r="90" spans="1:14" ht="13.5" thickBot="1">
      <c r="A90" s="551"/>
      <c r="B90" s="551"/>
      <c r="C90" s="551"/>
      <c r="D90" s="561"/>
      <c r="E90" s="551"/>
      <c r="F90" s="561"/>
      <c r="G90" s="551"/>
      <c r="H90" s="551"/>
      <c r="I90" s="551"/>
      <c r="J90" s="551"/>
      <c r="K90" s="551"/>
      <c r="L90" s="551"/>
      <c r="M90" s="551"/>
      <c r="N90" s="561"/>
    </row>
    <row r="91" spans="1:14" ht="13.5" thickBot="1">
      <c r="A91" s="551"/>
      <c r="B91" s="577" t="s">
        <v>909</v>
      </c>
      <c r="C91" s="551"/>
      <c r="D91" s="578"/>
      <c r="E91" s="551"/>
      <c r="F91" s="578"/>
      <c r="G91" s="551"/>
      <c r="H91" s="551" t="s">
        <v>910</v>
      </c>
      <c r="I91" s="551"/>
      <c r="J91" s="551"/>
      <c r="K91" s="551"/>
      <c r="L91" s="551"/>
      <c r="M91" s="551"/>
      <c r="N91" s="561"/>
    </row>
    <row r="92" spans="1:14" ht="13.5" thickBot="1">
      <c r="A92" s="562"/>
      <c r="B92" s="563"/>
      <c r="C92" s="564"/>
      <c r="D92" s="565"/>
      <c r="E92" s="566"/>
      <c r="F92" s="565"/>
      <c r="G92" s="562"/>
      <c r="H92" s="562"/>
      <c r="I92" s="562"/>
      <c r="J92" s="562"/>
      <c r="K92" s="562"/>
      <c r="L92" s="562"/>
      <c r="M92" s="562"/>
      <c r="N92" s="567"/>
    </row>
    <row r="93" spans="1:14" ht="30" customHeight="1" thickTop="1">
      <c r="A93" s="548" t="s">
        <v>915</v>
      </c>
      <c r="B93" s="568"/>
      <c r="C93" s="568"/>
      <c r="D93" s="569"/>
      <c r="E93" s="570"/>
      <c r="F93" s="569"/>
      <c r="G93" s="570"/>
      <c r="H93" s="568"/>
      <c r="I93" s="568"/>
      <c r="J93" s="568"/>
      <c r="K93" s="568"/>
      <c r="L93" s="568"/>
      <c r="M93" s="568"/>
      <c r="N93" s="571" t="e">
        <f>F412</f>
        <v>#DIV/0!</v>
      </c>
    </row>
    <row r="94" spans="1:14" ht="16.5" thickBot="1">
      <c r="A94" s="573"/>
      <c r="B94" s="551"/>
      <c r="C94" s="551"/>
      <c r="D94" s="574"/>
      <c r="E94" s="575"/>
      <c r="F94" s="574"/>
      <c r="G94" s="575"/>
      <c r="H94" s="551"/>
      <c r="I94" s="551"/>
      <c r="J94" s="551"/>
      <c r="K94" s="551"/>
      <c r="L94" s="551"/>
      <c r="M94" s="551"/>
      <c r="N94" s="576" t="e">
        <f>IF(N93&gt;=0.1,"Need to Update Allowances","")</f>
        <v>#DIV/0!</v>
      </c>
    </row>
    <row r="95" spans="1:14" ht="16.5" thickBot="1">
      <c r="A95" s="573"/>
      <c r="B95" s="577" t="s">
        <v>885</v>
      </c>
      <c r="C95" s="551"/>
      <c r="D95" s="578"/>
      <c r="E95" s="575"/>
      <c r="F95" s="578"/>
      <c r="G95" s="575"/>
      <c r="H95" s="551"/>
      <c r="I95" s="551"/>
      <c r="J95" s="551"/>
      <c r="K95" s="551"/>
      <c r="L95" s="551"/>
      <c r="M95" s="551"/>
      <c r="N95" s="561"/>
    </row>
    <row r="96" spans="1:14" ht="7.5" customHeight="1" thickBot="1">
      <c r="A96" s="573"/>
      <c r="B96" s="551"/>
      <c r="C96" s="551"/>
      <c r="D96" s="574"/>
      <c r="E96" s="575"/>
      <c r="F96" s="574"/>
      <c r="G96" s="575"/>
      <c r="H96" s="551"/>
      <c r="I96" s="551"/>
      <c r="J96" s="551"/>
      <c r="K96" s="551"/>
      <c r="L96" s="551"/>
      <c r="M96" s="551"/>
      <c r="N96" s="561"/>
    </row>
    <row r="97" spans="1:14" ht="16.5" thickBot="1">
      <c r="A97" s="573"/>
      <c r="B97" s="577" t="s">
        <v>886</v>
      </c>
      <c r="C97" s="551"/>
      <c r="D97" s="578"/>
      <c r="E97" s="575"/>
      <c r="F97" s="578"/>
      <c r="G97" s="575"/>
      <c r="H97" s="551"/>
      <c r="I97" s="551"/>
      <c r="J97" s="551"/>
      <c r="K97" s="551"/>
      <c r="L97" s="551"/>
      <c r="M97" s="551"/>
      <c r="N97" s="561"/>
    </row>
    <row r="98" spans="1:14" ht="7.5" customHeight="1" thickBot="1">
      <c r="A98" s="573"/>
      <c r="B98" s="551"/>
      <c r="C98" s="551"/>
      <c r="D98" s="574"/>
      <c r="E98" s="575"/>
      <c r="F98" s="574"/>
      <c r="G98" s="575"/>
      <c r="H98" s="551"/>
      <c r="I98" s="551"/>
      <c r="J98" s="551"/>
      <c r="K98" s="551"/>
      <c r="L98" s="551"/>
      <c r="M98" s="551"/>
      <c r="N98" s="561"/>
    </row>
    <row r="99" spans="1:14" ht="16.5" thickBot="1">
      <c r="A99" s="573"/>
      <c r="B99" s="577" t="s">
        <v>887</v>
      </c>
      <c r="C99" s="551"/>
      <c r="D99" s="559"/>
      <c r="E99" s="575"/>
      <c r="F99" s="559"/>
      <c r="G99" s="575"/>
      <c r="H99" s="551"/>
      <c r="I99" s="551"/>
      <c r="J99" s="551"/>
      <c r="K99" s="551"/>
      <c r="L99" s="551"/>
      <c r="M99" s="551"/>
      <c r="N99" s="561"/>
    </row>
    <row r="100" spans="1:14" ht="7.5" customHeight="1">
      <c r="A100" s="573"/>
      <c r="B100" s="577"/>
      <c r="C100" s="551"/>
      <c r="D100" s="589"/>
      <c r="E100" s="580"/>
      <c r="F100" s="589"/>
      <c r="G100" s="575"/>
      <c r="H100" s="551"/>
      <c r="I100" s="551"/>
      <c r="J100" s="551"/>
      <c r="K100" s="551"/>
      <c r="L100" s="551"/>
      <c r="M100" s="551"/>
      <c r="N100" s="561"/>
    </row>
    <row r="101" spans="1:14" ht="15.75">
      <c r="A101" s="573"/>
      <c r="B101" s="577" t="s">
        <v>916</v>
      </c>
      <c r="C101" s="551"/>
      <c r="D101" s="589"/>
      <c r="E101" s="580"/>
      <c r="F101" s="589"/>
      <c r="G101" s="575"/>
      <c r="H101" s="551"/>
      <c r="I101" s="551"/>
      <c r="J101" s="551"/>
      <c r="K101" s="551"/>
      <c r="L101" s="551"/>
      <c r="M101" s="551"/>
      <c r="N101" s="561"/>
    </row>
    <row r="102" spans="1:14" ht="15.75">
      <c r="A102" s="573"/>
      <c r="B102" s="577"/>
      <c r="C102" s="551"/>
      <c r="D102" s="581"/>
      <c r="E102" s="580"/>
      <c r="F102" s="581">
        <v>1</v>
      </c>
      <c r="G102" s="575"/>
      <c r="H102" s="551"/>
      <c r="I102" s="551"/>
      <c r="J102" s="551"/>
      <c r="K102" s="551"/>
      <c r="L102" s="551"/>
      <c r="M102" s="551"/>
      <c r="N102" s="561"/>
    </row>
    <row r="103" spans="1:14" ht="15.75">
      <c r="A103" s="573"/>
      <c r="B103" s="551"/>
      <c r="C103" s="551"/>
      <c r="D103" s="579"/>
      <c r="E103" s="580"/>
      <c r="F103" s="579"/>
      <c r="G103" s="575"/>
      <c r="H103" s="551"/>
      <c r="I103" s="551"/>
      <c r="J103" s="551"/>
      <c r="K103" s="551"/>
      <c r="L103" s="551"/>
      <c r="M103" s="551"/>
      <c r="N103" s="561"/>
    </row>
    <row r="104" spans="1:14" ht="15.75">
      <c r="A104" s="573"/>
      <c r="B104" s="577" t="s">
        <v>888</v>
      </c>
      <c r="C104" s="551"/>
      <c r="D104" s="579"/>
      <c r="E104" s="580"/>
      <c r="F104" s="579"/>
      <c r="G104" s="575"/>
      <c r="H104" s="551"/>
      <c r="I104" s="551"/>
      <c r="J104" s="551"/>
      <c r="K104" s="551"/>
      <c r="L104" s="551"/>
      <c r="M104" s="551"/>
      <c r="N104" s="561"/>
    </row>
    <row r="105" spans="1:14" ht="15.75">
      <c r="A105" s="573"/>
      <c r="B105" s="577"/>
      <c r="C105" s="551"/>
      <c r="D105" s="561">
        <v>1</v>
      </c>
      <c r="E105" s="575"/>
      <c r="F105" s="561">
        <v>1</v>
      </c>
      <c r="G105" s="575"/>
      <c r="H105" s="551"/>
      <c r="I105" s="551"/>
      <c r="J105" s="551"/>
      <c r="K105" s="551"/>
      <c r="L105" s="551"/>
      <c r="M105" s="551"/>
      <c r="N105" s="561"/>
    </row>
    <row r="106" spans="1:14" ht="15.75">
      <c r="A106" s="573"/>
      <c r="B106" s="577"/>
      <c r="C106" s="551"/>
      <c r="D106" s="579"/>
      <c r="E106" s="580"/>
      <c r="F106" s="579"/>
      <c r="G106" s="575"/>
      <c r="H106" s="551"/>
      <c r="I106" s="551"/>
      <c r="J106" s="551"/>
      <c r="K106" s="551"/>
      <c r="L106" s="551"/>
      <c r="M106" s="551"/>
      <c r="N106" s="561"/>
    </row>
    <row r="107" spans="1:14" ht="15.75">
      <c r="A107" s="573"/>
      <c r="B107" s="577" t="s">
        <v>890</v>
      </c>
      <c r="C107" s="551"/>
      <c r="D107" s="579"/>
      <c r="E107" s="580"/>
      <c r="F107" s="579"/>
      <c r="G107" s="575"/>
      <c r="H107" s="551"/>
      <c r="I107" s="551"/>
      <c r="J107" s="551"/>
      <c r="K107" s="551"/>
      <c r="L107" s="551"/>
      <c r="M107" s="551"/>
      <c r="N107" s="561"/>
    </row>
    <row r="108" spans="1:14" ht="15.75">
      <c r="A108" s="573"/>
      <c r="B108" s="577"/>
      <c r="C108" s="551"/>
      <c r="D108" s="561">
        <v>12</v>
      </c>
      <c r="E108" s="575"/>
      <c r="F108" s="561">
        <v>12</v>
      </c>
      <c r="G108" s="575"/>
      <c r="H108" s="551"/>
      <c r="I108" s="551"/>
      <c r="J108" s="551"/>
      <c r="K108" s="551"/>
      <c r="L108" s="551"/>
      <c r="M108" s="551"/>
      <c r="N108" s="561"/>
    </row>
    <row r="109" spans="1:14" ht="16.5" thickBot="1">
      <c r="A109" s="573"/>
      <c r="B109" s="551"/>
      <c r="C109" s="551"/>
      <c r="D109" s="579"/>
      <c r="E109" s="580"/>
      <c r="F109" s="579"/>
      <c r="G109" s="575"/>
      <c r="H109" s="551"/>
      <c r="I109" s="582"/>
      <c r="J109" s="577" t="s">
        <v>892</v>
      </c>
      <c r="K109" s="577"/>
      <c r="L109" s="577" t="s">
        <v>893</v>
      </c>
      <c r="M109" s="551"/>
      <c r="N109" s="561"/>
    </row>
    <row r="110" spans="1:14" ht="16.5" thickBot="1">
      <c r="A110" s="573"/>
      <c r="B110" s="577" t="s">
        <v>894</v>
      </c>
      <c r="C110" s="551"/>
      <c r="D110" s="578"/>
      <c r="E110" s="580"/>
      <c r="F110" s="578"/>
      <c r="G110" s="575"/>
      <c r="H110" s="551" t="s">
        <v>895</v>
      </c>
      <c r="I110" s="582" t="b">
        <v>0</v>
      </c>
      <c r="J110" s="583"/>
      <c r="K110" s="582" t="b">
        <v>0</v>
      </c>
      <c r="L110" s="583"/>
      <c r="M110" s="558" t="s">
        <v>895</v>
      </c>
      <c r="N110" s="561"/>
    </row>
    <row r="111" spans="1:14">
      <c r="A111" s="551"/>
      <c r="B111" s="551"/>
      <c r="C111" s="551"/>
      <c r="D111" s="561"/>
      <c r="E111" s="551"/>
      <c r="F111" s="561"/>
      <c r="G111" s="551"/>
      <c r="H111" s="551"/>
      <c r="I111" s="551"/>
      <c r="J111" s="551"/>
      <c r="K111" s="561"/>
      <c r="L111" s="551"/>
      <c r="M111" s="551"/>
      <c r="N111" s="561"/>
    </row>
    <row r="112" spans="1:14" ht="13.5" thickBot="1">
      <c r="A112" s="551"/>
      <c r="B112" s="577" t="s">
        <v>896</v>
      </c>
      <c r="C112" s="577"/>
      <c r="D112" s="561"/>
      <c r="E112" s="551"/>
      <c r="F112" s="561"/>
      <c r="G112" s="551"/>
      <c r="H112" s="551"/>
      <c r="I112" s="551"/>
      <c r="J112" s="551"/>
      <c r="K112" s="561"/>
      <c r="L112" s="590"/>
      <c r="M112" s="551"/>
      <c r="N112" s="561"/>
    </row>
    <row r="113" spans="1:14" ht="13.5" thickBot="1">
      <c r="A113" s="551"/>
      <c r="B113" s="558" t="s">
        <v>897</v>
      </c>
      <c r="C113" s="558"/>
      <c r="D113" s="578"/>
      <c r="E113" s="551"/>
      <c r="F113" s="578"/>
      <c r="G113" s="551"/>
      <c r="H113" s="551" t="str">
        <f>INDEX(B288:B291,Tariffs!F102)</f>
        <v>Therms</v>
      </c>
      <c r="I113" s="551"/>
      <c r="J113" s="551"/>
      <c r="K113" s="561"/>
      <c r="L113" s="591"/>
      <c r="M113" s="551"/>
      <c r="N113" s="561"/>
    </row>
    <row r="114" spans="1:14" ht="13.5" thickBot="1">
      <c r="A114" s="551"/>
      <c r="B114" s="558" t="s">
        <v>899</v>
      </c>
      <c r="C114" s="558"/>
      <c r="D114" s="578"/>
      <c r="E114" s="551"/>
      <c r="F114" s="578"/>
      <c r="G114" s="551"/>
      <c r="H114" s="551" t="str">
        <f>H113</f>
        <v>Therms</v>
      </c>
      <c r="I114" s="551"/>
      <c r="J114" s="551"/>
      <c r="K114" s="561"/>
      <c r="L114" s="591"/>
      <c r="M114" s="551"/>
      <c r="N114" s="561"/>
    </row>
    <row r="115" spans="1:14" ht="13.5" thickBot="1">
      <c r="A115" s="551"/>
      <c r="B115" s="558" t="s">
        <v>900</v>
      </c>
      <c r="C115" s="558"/>
      <c r="D115" s="578"/>
      <c r="E115" s="551"/>
      <c r="F115" s="578"/>
      <c r="G115" s="551"/>
      <c r="H115" s="551" t="str">
        <f>H114</f>
        <v>Therms</v>
      </c>
      <c r="I115" s="551"/>
      <c r="J115" s="551"/>
      <c r="K115" s="561"/>
      <c r="L115" s="591"/>
      <c r="M115" s="551"/>
      <c r="N115" s="561"/>
    </row>
    <row r="116" spans="1:14" ht="13.5" thickBot="1">
      <c r="A116" s="551"/>
      <c r="B116" s="558" t="s">
        <v>901</v>
      </c>
      <c r="C116" s="558"/>
      <c r="D116" s="578"/>
      <c r="E116" s="551"/>
      <c r="F116" s="578"/>
      <c r="G116" s="551"/>
      <c r="H116" s="551" t="str">
        <f>H115</f>
        <v>Therms</v>
      </c>
      <c r="I116" s="551"/>
      <c r="J116" s="551"/>
      <c r="K116" s="561"/>
      <c r="L116" s="591"/>
      <c r="M116" s="551"/>
      <c r="N116" s="561"/>
    </row>
    <row r="117" spans="1:14" ht="7.5" customHeight="1" thickBot="1">
      <c r="A117" s="551"/>
      <c r="B117" s="558"/>
      <c r="C117" s="558"/>
      <c r="D117" s="592"/>
      <c r="E117" s="551"/>
      <c r="F117" s="592"/>
      <c r="G117" s="551"/>
      <c r="H117" s="551"/>
      <c r="I117" s="551"/>
      <c r="J117" s="551"/>
      <c r="K117" s="561"/>
      <c r="L117" s="591"/>
      <c r="M117" s="551"/>
      <c r="N117" s="561"/>
    </row>
    <row r="118" spans="1:14" ht="13.5" thickBot="1">
      <c r="A118" s="551"/>
      <c r="B118" s="558" t="s">
        <v>902</v>
      </c>
      <c r="C118" s="558"/>
      <c r="D118" s="585"/>
      <c r="E118" s="551"/>
      <c r="F118" s="585"/>
      <c r="G118" s="551"/>
      <c r="H118" s="551" t="str">
        <f>"$/"&amp;H116</f>
        <v>$/Therms</v>
      </c>
      <c r="I118" s="551"/>
      <c r="J118" s="551"/>
      <c r="K118" s="561"/>
      <c r="L118" s="591"/>
      <c r="M118" s="551"/>
      <c r="N118" s="561"/>
    </row>
    <row r="119" spans="1:14" ht="13.5" thickBot="1">
      <c r="A119" s="551"/>
      <c r="B119" s="558" t="s">
        <v>904</v>
      </c>
      <c r="C119" s="558"/>
      <c r="D119" s="578"/>
      <c r="E119" s="551"/>
      <c r="F119" s="578"/>
      <c r="G119" s="551"/>
      <c r="H119" s="551" t="str">
        <f>H118</f>
        <v>$/Therms</v>
      </c>
      <c r="I119" s="551"/>
      <c r="J119" s="551"/>
      <c r="K119" s="561"/>
      <c r="L119" s="591"/>
      <c r="M119" s="551"/>
      <c r="N119" s="561"/>
    </row>
    <row r="120" spans="1:14" ht="13.5" thickBot="1">
      <c r="A120" s="551"/>
      <c r="B120" s="558" t="s">
        <v>905</v>
      </c>
      <c r="C120" s="558"/>
      <c r="D120" s="578"/>
      <c r="E120" s="551"/>
      <c r="F120" s="578"/>
      <c r="G120" s="551"/>
      <c r="H120" s="551" t="str">
        <f>H119</f>
        <v>$/Therms</v>
      </c>
      <c r="I120" s="551"/>
      <c r="J120" s="551"/>
      <c r="K120" s="561"/>
      <c r="L120" s="591"/>
      <c r="M120" s="551"/>
      <c r="N120" s="561"/>
    </row>
    <row r="121" spans="1:14" ht="13.5" thickBot="1">
      <c r="A121" s="551"/>
      <c r="B121" s="558" t="s">
        <v>906</v>
      </c>
      <c r="C121" s="558"/>
      <c r="D121" s="578"/>
      <c r="E121" s="551"/>
      <c r="F121" s="578"/>
      <c r="G121" s="551"/>
      <c r="H121" s="551" t="str">
        <f>H120</f>
        <v>$/Therms</v>
      </c>
      <c r="I121" s="551"/>
      <c r="J121" s="551"/>
      <c r="K121" s="561"/>
      <c r="L121" s="591"/>
      <c r="M121" s="551"/>
      <c r="N121" s="561"/>
    </row>
    <row r="122" spans="1:14">
      <c r="A122" s="551"/>
      <c r="B122" s="551"/>
      <c r="C122" s="551"/>
      <c r="D122" s="561"/>
      <c r="E122" s="551"/>
      <c r="F122" s="561"/>
      <c r="G122" s="551"/>
      <c r="H122" s="551"/>
      <c r="I122" s="551"/>
      <c r="J122" s="551"/>
      <c r="K122" s="561"/>
      <c r="L122" s="591"/>
      <c r="M122" s="551"/>
      <c r="N122" s="561"/>
    </row>
    <row r="123" spans="1:14" ht="13.5" thickBot="1">
      <c r="A123" s="551"/>
      <c r="B123" s="577" t="s">
        <v>907</v>
      </c>
      <c r="C123" s="577"/>
      <c r="D123" s="561"/>
      <c r="E123" s="551"/>
      <c r="F123" s="561"/>
      <c r="G123" s="551"/>
      <c r="H123" s="551"/>
      <c r="I123" s="551"/>
      <c r="J123" s="551"/>
      <c r="K123" s="561"/>
      <c r="L123" s="591"/>
      <c r="M123" s="551"/>
      <c r="N123" s="561"/>
    </row>
    <row r="124" spans="1:14" ht="13.5" thickBot="1">
      <c r="A124" s="551"/>
      <c r="B124" s="558" t="s">
        <v>897</v>
      </c>
      <c r="C124" s="558"/>
      <c r="D124" s="578"/>
      <c r="E124" s="551"/>
      <c r="F124" s="578"/>
      <c r="G124" s="551"/>
      <c r="H124" s="551" t="str">
        <f>H116</f>
        <v>Therms</v>
      </c>
      <c r="I124" s="551"/>
      <c r="J124" s="551"/>
      <c r="K124" s="561"/>
      <c r="L124" s="591"/>
      <c r="M124" s="551"/>
      <c r="N124" s="561"/>
    </row>
    <row r="125" spans="1:14" ht="13.5" thickBot="1">
      <c r="A125" s="551"/>
      <c r="B125" s="558" t="s">
        <v>899</v>
      </c>
      <c r="C125" s="558"/>
      <c r="D125" s="578"/>
      <c r="E125" s="551"/>
      <c r="F125" s="578"/>
      <c r="G125" s="551"/>
      <c r="H125" s="551" t="str">
        <f>H124</f>
        <v>Therms</v>
      </c>
      <c r="I125" s="551"/>
      <c r="J125" s="551"/>
      <c r="K125" s="561"/>
      <c r="L125" s="591"/>
      <c r="M125" s="551"/>
      <c r="N125" s="561"/>
    </row>
    <row r="126" spans="1:14" ht="13.5" thickBot="1">
      <c r="A126" s="551"/>
      <c r="B126" s="558" t="s">
        <v>900</v>
      </c>
      <c r="C126" s="558"/>
      <c r="D126" s="578"/>
      <c r="E126" s="551"/>
      <c r="F126" s="578"/>
      <c r="G126" s="551"/>
      <c r="H126" s="551" t="str">
        <f>H125</f>
        <v>Therms</v>
      </c>
      <c r="I126" s="551"/>
      <c r="J126" s="551"/>
      <c r="K126" s="561"/>
      <c r="L126" s="591"/>
      <c r="M126" s="551"/>
      <c r="N126" s="561"/>
    </row>
    <row r="127" spans="1:14" ht="13.5" thickBot="1">
      <c r="A127" s="551"/>
      <c r="B127" s="558" t="s">
        <v>901</v>
      </c>
      <c r="C127" s="558"/>
      <c r="D127" s="578"/>
      <c r="E127" s="551"/>
      <c r="F127" s="578"/>
      <c r="G127" s="551"/>
      <c r="H127" s="551" t="str">
        <f>H126</f>
        <v>Therms</v>
      </c>
      <c r="I127" s="551"/>
      <c r="J127" s="551"/>
      <c r="K127" s="561"/>
      <c r="L127" s="591"/>
      <c r="M127" s="551"/>
      <c r="N127" s="561"/>
    </row>
    <row r="128" spans="1:14" ht="7.5" customHeight="1" thickBot="1">
      <c r="A128" s="551"/>
      <c r="B128" s="558"/>
      <c r="C128" s="558"/>
      <c r="D128" s="561"/>
      <c r="E128" s="551"/>
      <c r="F128" s="561"/>
      <c r="G128" s="551"/>
      <c r="H128" s="551"/>
      <c r="I128" s="551"/>
      <c r="J128" s="551"/>
      <c r="K128" s="561"/>
      <c r="L128" s="591"/>
      <c r="M128" s="551"/>
      <c r="N128" s="561"/>
    </row>
    <row r="129" spans="1:14" ht="13.5" thickBot="1">
      <c r="A129" s="551"/>
      <c r="B129" s="558" t="s">
        <v>902</v>
      </c>
      <c r="C129" s="558"/>
      <c r="D129" s="578"/>
      <c r="E129" s="551"/>
      <c r="F129" s="578"/>
      <c r="G129" s="551"/>
      <c r="H129" s="551" t="str">
        <f>H118</f>
        <v>$/Therms</v>
      </c>
      <c r="I129" s="551"/>
      <c r="J129" s="551"/>
      <c r="K129" s="561"/>
      <c r="L129" s="591"/>
      <c r="M129" s="551"/>
      <c r="N129" s="561"/>
    </row>
    <row r="130" spans="1:14" ht="13.5" thickBot="1">
      <c r="A130" s="551"/>
      <c r="B130" s="558" t="s">
        <v>904</v>
      </c>
      <c r="C130" s="558"/>
      <c r="D130" s="578"/>
      <c r="E130" s="551"/>
      <c r="F130" s="585"/>
      <c r="G130" s="551"/>
      <c r="H130" s="551" t="str">
        <f>H118</f>
        <v>$/Therms</v>
      </c>
      <c r="I130" s="551"/>
      <c r="J130" s="551"/>
      <c r="K130" s="561"/>
      <c r="L130" s="591"/>
      <c r="M130" s="551"/>
      <c r="N130" s="561"/>
    </row>
    <row r="131" spans="1:14" ht="13.5" thickBot="1">
      <c r="A131" s="551"/>
      <c r="B131" s="558" t="s">
        <v>905</v>
      </c>
      <c r="C131" s="558"/>
      <c r="D131" s="578"/>
      <c r="E131" s="551"/>
      <c r="F131" s="578"/>
      <c r="G131" s="551"/>
      <c r="H131" s="551" t="str">
        <f>H118</f>
        <v>$/Therms</v>
      </c>
      <c r="I131" s="551"/>
      <c r="J131" s="551"/>
      <c r="K131" s="561"/>
      <c r="L131" s="591"/>
      <c r="M131" s="551"/>
      <c r="N131" s="561"/>
    </row>
    <row r="132" spans="1:14" ht="13.5" thickBot="1">
      <c r="A132" s="551"/>
      <c r="B132" s="558" t="s">
        <v>906</v>
      </c>
      <c r="C132" s="558"/>
      <c r="D132" s="578"/>
      <c r="E132" s="551"/>
      <c r="F132" s="578"/>
      <c r="G132" s="551"/>
      <c r="H132" s="551" t="str">
        <f>H118</f>
        <v>$/Therms</v>
      </c>
      <c r="I132" s="551"/>
      <c r="J132" s="551"/>
      <c r="K132" s="561"/>
      <c r="L132" s="591"/>
      <c r="M132" s="551"/>
      <c r="N132" s="561"/>
    </row>
    <row r="133" spans="1:14" ht="13.5" thickBot="1">
      <c r="A133" s="551"/>
      <c r="B133" s="551"/>
      <c r="C133" s="551"/>
      <c r="D133" s="561"/>
      <c r="E133" s="551"/>
      <c r="F133" s="561"/>
      <c r="G133" s="551"/>
      <c r="H133" s="551"/>
      <c r="I133" s="551"/>
      <c r="J133" s="551"/>
      <c r="K133" s="561"/>
      <c r="L133" s="591"/>
      <c r="M133" s="551"/>
      <c r="N133" s="561"/>
    </row>
    <row r="134" spans="1:14" ht="13.5" thickBot="1">
      <c r="A134" s="551"/>
      <c r="B134" s="577" t="s">
        <v>908</v>
      </c>
      <c r="C134" s="551"/>
      <c r="D134" s="578"/>
      <c r="E134" s="551"/>
      <c r="F134" s="578"/>
      <c r="G134" s="551"/>
      <c r="H134" s="551" t="str">
        <f>H118</f>
        <v>$/Therms</v>
      </c>
      <c r="I134" s="551"/>
      <c r="J134" s="551"/>
      <c r="K134" s="561"/>
      <c r="L134" s="551"/>
      <c r="M134" s="551"/>
      <c r="N134" s="561"/>
    </row>
    <row r="135" spans="1:14" ht="7.5" customHeight="1" thickBot="1">
      <c r="A135" s="551"/>
      <c r="B135" s="577"/>
      <c r="C135" s="551"/>
      <c r="D135" s="561"/>
      <c r="E135" s="551"/>
      <c r="F135" s="561"/>
      <c r="G135" s="551"/>
      <c r="H135" s="551"/>
      <c r="I135" s="551"/>
      <c r="J135" s="561"/>
      <c r="K135" s="551"/>
      <c r="L135" s="551"/>
      <c r="M135" s="551"/>
      <c r="N135" s="561"/>
    </row>
    <row r="136" spans="1:14" ht="13.5" thickBot="1">
      <c r="A136" s="551"/>
      <c r="B136" s="577" t="s">
        <v>909</v>
      </c>
      <c r="C136" s="551"/>
      <c r="D136" s="578"/>
      <c r="E136" s="551"/>
      <c r="F136" s="578"/>
      <c r="G136" s="551"/>
      <c r="H136" s="551" t="s">
        <v>910</v>
      </c>
      <c r="I136" s="551"/>
      <c r="J136" s="551"/>
      <c r="K136" s="551"/>
      <c r="L136" s="551"/>
      <c r="M136" s="551"/>
      <c r="N136" s="561"/>
    </row>
    <row r="137" spans="1:14" ht="13.5" thickBot="1">
      <c r="A137" s="562"/>
      <c r="B137" s="563"/>
      <c r="C137" s="564"/>
      <c r="D137" s="565"/>
      <c r="E137" s="566"/>
      <c r="F137" s="565"/>
      <c r="G137" s="562"/>
      <c r="H137" s="562"/>
      <c r="I137" s="562"/>
      <c r="J137" s="562"/>
      <c r="K137" s="562"/>
      <c r="L137" s="562"/>
      <c r="M137" s="562"/>
      <c r="N137" s="567"/>
    </row>
    <row r="138" spans="1:14" ht="30" customHeight="1" thickTop="1">
      <c r="A138" s="548" t="s">
        <v>917</v>
      </c>
      <c r="B138" s="568"/>
      <c r="C138" s="568"/>
      <c r="D138" s="569"/>
      <c r="E138" s="570"/>
      <c r="F138" s="569"/>
      <c r="G138" s="570"/>
      <c r="H138" s="568"/>
      <c r="I138" s="568"/>
      <c r="J138" s="568"/>
      <c r="K138" s="568"/>
      <c r="L138" s="568"/>
      <c r="M138" s="568"/>
      <c r="N138" s="571"/>
    </row>
    <row r="139" spans="1:14" ht="16.5" thickBot="1">
      <c r="A139" s="573"/>
      <c r="B139" s="551"/>
      <c r="C139" s="551"/>
      <c r="D139" s="574"/>
      <c r="E139" s="575"/>
      <c r="F139" s="574"/>
      <c r="G139" s="575"/>
      <c r="H139" s="551"/>
      <c r="I139" s="551"/>
      <c r="J139" s="551"/>
      <c r="K139" s="551"/>
      <c r="L139" s="551"/>
      <c r="M139" s="551"/>
      <c r="N139" s="576"/>
    </row>
    <row r="140" spans="1:14" ht="13.5" thickBot="1">
      <c r="A140" s="551"/>
      <c r="B140" s="577" t="s">
        <v>918</v>
      </c>
      <c r="C140" s="551"/>
      <c r="D140" s="593"/>
      <c r="E140" s="575"/>
      <c r="F140" s="593"/>
      <c r="G140" s="575"/>
      <c r="H140" s="551"/>
      <c r="I140" s="551"/>
      <c r="J140" s="551"/>
      <c r="K140" s="551"/>
      <c r="L140" s="551"/>
      <c r="M140" s="551"/>
      <c r="N140" s="561"/>
    </row>
    <row r="141" spans="1:14" ht="7.5" customHeight="1" thickBot="1">
      <c r="A141" s="551"/>
      <c r="B141" s="551"/>
      <c r="C141" s="551"/>
      <c r="D141" s="574"/>
      <c r="E141" s="575"/>
      <c r="F141" s="574"/>
      <c r="G141" s="575"/>
      <c r="H141" s="551"/>
      <c r="I141" s="551"/>
      <c r="J141" s="551"/>
      <c r="K141" s="551"/>
      <c r="L141" s="551"/>
      <c r="M141" s="551"/>
      <c r="N141" s="561"/>
    </row>
    <row r="142" spans="1:14" ht="13.5" thickBot="1">
      <c r="A142" s="551"/>
      <c r="B142" s="577" t="s">
        <v>249</v>
      </c>
      <c r="C142" s="551"/>
      <c r="D142" s="594"/>
      <c r="E142" s="575"/>
      <c r="F142" s="594"/>
      <c r="G142" s="575"/>
      <c r="H142" s="551"/>
      <c r="I142" s="551"/>
      <c r="J142" s="551"/>
      <c r="K142" s="551"/>
      <c r="L142" s="551"/>
      <c r="M142" s="551"/>
      <c r="N142" s="561"/>
    </row>
    <row r="143" spans="1:14" ht="13.5" thickBot="1">
      <c r="A143" s="551"/>
      <c r="B143" s="577"/>
      <c r="C143" s="551"/>
      <c r="D143" s="595"/>
      <c r="E143" s="575"/>
      <c r="F143" s="595"/>
      <c r="G143" s="575"/>
      <c r="H143" s="551"/>
      <c r="I143" s="582"/>
      <c r="J143" s="577" t="s">
        <v>892</v>
      </c>
      <c r="K143" s="577"/>
      <c r="L143" s="577" t="s">
        <v>893</v>
      </c>
      <c r="M143" s="551"/>
      <c r="N143" s="561"/>
    </row>
    <row r="144" spans="1:14" ht="13.5" thickBot="1">
      <c r="A144" s="551"/>
      <c r="B144" s="577" t="s">
        <v>894</v>
      </c>
      <c r="C144" s="551"/>
      <c r="D144" s="593"/>
      <c r="E144" s="551"/>
      <c r="F144" s="593"/>
      <c r="G144" s="575"/>
      <c r="H144" s="551" t="s">
        <v>895</v>
      </c>
      <c r="I144" s="582" t="b">
        <v>0</v>
      </c>
      <c r="J144" s="583"/>
      <c r="K144" s="582" t="b">
        <v>0</v>
      </c>
      <c r="L144" s="583"/>
      <c r="M144" s="558" t="s">
        <v>895</v>
      </c>
      <c r="N144" s="561"/>
    </row>
    <row r="145" spans="1:14" ht="13.5" thickBot="1">
      <c r="A145" s="551"/>
      <c r="B145" s="551"/>
      <c r="C145" s="551"/>
      <c r="D145" s="561"/>
      <c r="E145" s="551"/>
      <c r="F145" s="561"/>
      <c r="G145" s="551"/>
      <c r="H145" s="551"/>
      <c r="I145" s="551"/>
      <c r="J145" s="551"/>
      <c r="K145" s="551"/>
      <c r="L145" s="551"/>
      <c r="M145" s="551"/>
      <c r="N145" s="561"/>
    </row>
    <row r="146" spans="1:14" ht="13.5" thickBot="1">
      <c r="A146" s="551"/>
      <c r="B146" s="558" t="s">
        <v>897</v>
      </c>
      <c r="C146" s="558"/>
      <c r="D146" s="593"/>
      <c r="E146" s="551"/>
      <c r="F146" s="593"/>
      <c r="G146" s="551"/>
      <c r="H146" s="551" t="s">
        <v>919</v>
      </c>
      <c r="I146" s="551"/>
      <c r="J146" s="551"/>
      <c r="K146" s="551"/>
      <c r="L146" s="551"/>
      <c r="M146" s="551"/>
      <c r="N146" s="561"/>
    </row>
    <row r="147" spans="1:14" ht="13.5" thickBot="1">
      <c r="A147" s="551"/>
      <c r="B147" s="558" t="s">
        <v>899</v>
      </c>
      <c r="C147" s="558"/>
      <c r="D147" s="593"/>
      <c r="E147" s="551"/>
      <c r="F147" s="593"/>
      <c r="G147" s="551"/>
      <c r="H147" s="551" t="s">
        <v>919</v>
      </c>
      <c r="I147" s="551"/>
      <c r="J147" s="551"/>
      <c r="K147" s="551"/>
      <c r="L147" s="551"/>
      <c r="M147" s="551"/>
      <c r="N147" s="561"/>
    </row>
    <row r="148" spans="1:14" ht="13.5" thickBot="1">
      <c r="A148" s="551"/>
      <c r="B148" s="558" t="s">
        <v>900</v>
      </c>
      <c r="C148" s="558"/>
      <c r="D148" s="593"/>
      <c r="E148" s="551"/>
      <c r="F148" s="593"/>
      <c r="G148" s="551"/>
      <c r="H148" s="551" t="s">
        <v>919</v>
      </c>
      <c r="I148" s="551"/>
      <c r="J148" s="551"/>
      <c r="K148" s="551"/>
      <c r="L148" s="551"/>
      <c r="M148" s="551"/>
      <c r="N148" s="561"/>
    </row>
    <row r="149" spans="1:14" ht="13.5" thickBot="1">
      <c r="A149" s="551"/>
      <c r="B149" s="558" t="s">
        <v>901</v>
      </c>
      <c r="C149" s="558"/>
      <c r="D149" s="593"/>
      <c r="E149" s="551"/>
      <c r="F149" s="593"/>
      <c r="G149" s="551"/>
      <c r="H149" s="551" t="s">
        <v>919</v>
      </c>
      <c r="I149" s="551"/>
      <c r="J149" s="551"/>
      <c r="K149" s="551"/>
      <c r="L149" s="551"/>
      <c r="M149" s="551"/>
      <c r="N149" s="561"/>
    </row>
    <row r="150" spans="1:14" ht="6.75" customHeight="1" thickBot="1">
      <c r="A150" s="551"/>
      <c r="B150" s="558"/>
      <c r="C150" s="558"/>
      <c r="D150" s="561"/>
      <c r="E150" s="551"/>
      <c r="F150" s="561"/>
      <c r="G150" s="551"/>
      <c r="H150" s="551"/>
      <c r="I150" s="551"/>
      <c r="J150" s="551"/>
      <c r="K150" s="551"/>
      <c r="L150" s="551"/>
      <c r="M150" s="551"/>
      <c r="N150" s="561"/>
    </row>
    <row r="151" spans="1:14" ht="13.5" thickBot="1">
      <c r="A151" s="551"/>
      <c r="B151" s="558" t="s">
        <v>902</v>
      </c>
      <c r="C151" s="558"/>
      <c r="D151" s="593"/>
      <c r="E151" s="551"/>
      <c r="F151" s="593"/>
      <c r="G151" s="551"/>
      <c r="H151" s="551" t="s">
        <v>920</v>
      </c>
      <c r="I151" s="551"/>
      <c r="J151" s="551"/>
      <c r="K151" s="551"/>
      <c r="L151" s="551"/>
      <c r="M151" s="551"/>
      <c r="N151" s="561"/>
    </row>
    <row r="152" spans="1:14" ht="13.5" thickBot="1">
      <c r="A152" s="551"/>
      <c r="B152" s="558" t="s">
        <v>904</v>
      </c>
      <c r="C152" s="558"/>
      <c r="D152" s="593"/>
      <c r="E152" s="551"/>
      <c r="F152" s="593"/>
      <c r="G152" s="551"/>
      <c r="H152" s="551" t="s">
        <v>920</v>
      </c>
      <c r="I152" s="551"/>
      <c r="J152" s="551"/>
      <c r="K152" s="551"/>
      <c r="L152" s="551"/>
      <c r="M152" s="551"/>
      <c r="N152" s="561"/>
    </row>
    <row r="153" spans="1:14" ht="13.5" thickBot="1">
      <c r="A153" s="551"/>
      <c r="B153" s="558" t="s">
        <v>905</v>
      </c>
      <c r="C153" s="558"/>
      <c r="D153" s="593"/>
      <c r="E153" s="551"/>
      <c r="F153" s="593"/>
      <c r="G153" s="551"/>
      <c r="H153" s="551" t="s">
        <v>920</v>
      </c>
      <c r="I153" s="551"/>
      <c r="J153" s="551"/>
      <c r="K153" s="551"/>
      <c r="L153" s="551"/>
      <c r="M153" s="551"/>
      <c r="N153" s="561"/>
    </row>
    <row r="154" spans="1:14" ht="13.5" thickBot="1">
      <c r="A154" s="551"/>
      <c r="B154" s="558" t="s">
        <v>906</v>
      </c>
      <c r="C154" s="558"/>
      <c r="D154" s="593"/>
      <c r="E154" s="551"/>
      <c r="F154" s="593"/>
      <c r="G154" s="551"/>
      <c r="H154" s="551" t="s">
        <v>920</v>
      </c>
      <c r="I154" s="551"/>
      <c r="J154" s="551"/>
      <c r="K154" s="551"/>
      <c r="L154" s="551"/>
      <c r="M154" s="551"/>
      <c r="N154" s="561"/>
    </row>
    <row r="155" spans="1:14" ht="13.5" thickBot="1">
      <c r="A155" s="551"/>
      <c r="B155" s="551"/>
      <c r="C155" s="551"/>
      <c r="D155" s="561"/>
      <c r="E155" s="551"/>
      <c r="F155" s="561"/>
      <c r="G155" s="551"/>
      <c r="H155" s="551"/>
      <c r="I155" s="551"/>
      <c r="J155" s="551"/>
      <c r="K155" s="551"/>
      <c r="L155" s="551"/>
      <c r="M155" s="551"/>
      <c r="N155" s="561"/>
    </row>
    <row r="156" spans="1:14" ht="13.5" thickBot="1">
      <c r="A156" s="551"/>
      <c r="B156" s="577" t="s">
        <v>908</v>
      </c>
      <c r="C156" s="551"/>
      <c r="D156" s="593"/>
      <c r="E156" s="551"/>
      <c r="F156" s="593"/>
      <c r="G156" s="551"/>
      <c r="H156" s="551" t="s">
        <v>920</v>
      </c>
      <c r="I156" s="551"/>
      <c r="J156" s="551"/>
      <c r="K156" s="551"/>
      <c r="L156" s="551"/>
      <c r="M156" s="551"/>
      <c r="N156" s="561"/>
    </row>
    <row r="157" spans="1:14" ht="7.5" customHeight="1" thickBot="1">
      <c r="A157" s="551"/>
      <c r="B157" s="577"/>
      <c r="C157" s="551"/>
      <c r="D157" s="561"/>
      <c r="E157" s="551"/>
      <c r="F157" s="561"/>
      <c r="G157" s="551"/>
      <c r="H157" s="551"/>
      <c r="I157" s="551"/>
      <c r="J157" s="551"/>
      <c r="K157" s="551"/>
      <c r="L157" s="551"/>
      <c r="M157" s="551"/>
      <c r="N157" s="561"/>
    </row>
    <row r="158" spans="1:14" ht="13.5" thickBot="1">
      <c r="A158" s="551"/>
      <c r="B158" s="577" t="s">
        <v>909</v>
      </c>
      <c r="C158" s="551"/>
      <c r="D158" s="593"/>
      <c r="E158" s="551"/>
      <c r="F158" s="593"/>
      <c r="G158" s="551"/>
      <c r="H158" s="551" t="s">
        <v>910</v>
      </c>
      <c r="I158" s="551"/>
      <c r="J158" s="551"/>
      <c r="K158" s="551"/>
      <c r="L158" s="551"/>
      <c r="M158" s="551"/>
      <c r="N158" s="561"/>
    </row>
    <row r="159" spans="1:14" ht="13.5" thickBot="1">
      <c r="A159" s="562"/>
      <c r="B159" s="563"/>
      <c r="C159" s="564"/>
      <c r="D159" s="565"/>
      <c r="E159" s="566"/>
      <c r="F159" s="565"/>
      <c r="G159" s="562"/>
      <c r="H159" s="562"/>
      <c r="I159" s="562"/>
      <c r="J159" s="562"/>
      <c r="K159" s="562"/>
      <c r="L159" s="562"/>
      <c r="M159" s="562"/>
      <c r="N159" s="567"/>
    </row>
    <row r="160" spans="1:14" ht="30" customHeight="1" thickTop="1">
      <c r="A160" s="548" t="s">
        <v>921</v>
      </c>
      <c r="B160" s="568"/>
      <c r="C160" s="568"/>
      <c r="D160" s="569"/>
      <c r="E160" s="570"/>
      <c r="F160" s="569"/>
      <c r="G160" s="570"/>
      <c r="H160" s="568"/>
      <c r="I160" s="568"/>
      <c r="J160" s="568"/>
      <c r="K160" s="568"/>
      <c r="L160" s="568"/>
      <c r="M160" s="568"/>
      <c r="N160" s="571"/>
    </row>
    <row r="161" spans="1:14" ht="16.5" thickBot="1">
      <c r="A161" s="573"/>
      <c r="B161" s="551"/>
      <c r="C161" s="551"/>
      <c r="D161" s="574"/>
      <c r="E161" s="575"/>
      <c r="F161" s="574"/>
      <c r="G161" s="575"/>
      <c r="H161" s="551"/>
      <c r="I161" s="551"/>
      <c r="J161" s="551"/>
      <c r="K161" s="551"/>
      <c r="L161" s="551"/>
      <c r="M161" s="551"/>
      <c r="N161" s="576"/>
    </row>
    <row r="162" spans="1:14" ht="13.5" thickBot="1">
      <c r="A162" s="551"/>
      <c r="B162" s="577" t="s">
        <v>918</v>
      </c>
      <c r="C162" s="551"/>
      <c r="D162" s="593"/>
      <c r="E162" s="575"/>
      <c r="F162" s="593"/>
      <c r="G162" s="575"/>
      <c r="H162" s="551"/>
      <c r="I162" s="551"/>
      <c r="J162" s="551"/>
      <c r="K162" s="551"/>
      <c r="L162" s="551"/>
      <c r="M162" s="551"/>
      <c r="N162" s="561"/>
    </row>
    <row r="163" spans="1:14" ht="7.5" customHeight="1" thickBot="1">
      <c r="A163" s="551"/>
      <c r="B163" s="551"/>
      <c r="C163" s="551"/>
      <c r="D163" s="574"/>
      <c r="E163" s="575"/>
      <c r="F163" s="574"/>
      <c r="G163" s="575"/>
      <c r="H163" s="551"/>
      <c r="I163" s="551"/>
      <c r="J163" s="551"/>
      <c r="K163" s="551"/>
      <c r="L163" s="551"/>
      <c r="M163" s="551"/>
      <c r="N163" s="561"/>
    </row>
    <row r="164" spans="1:14" ht="13.5" thickBot="1">
      <c r="A164" s="551"/>
      <c r="B164" s="577" t="s">
        <v>249</v>
      </c>
      <c r="C164" s="551"/>
      <c r="D164" s="594"/>
      <c r="E164" s="575"/>
      <c r="F164" s="594"/>
      <c r="G164" s="575"/>
      <c r="H164" s="551"/>
      <c r="I164" s="551"/>
      <c r="J164" s="551"/>
      <c r="K164" s="551"/>
      <c r="L164" s="551"/>
      <c r="M164" s="551"/>
      <c r="N164" s="561"/>
    </row>
    <row r="165" spans="1:14" ht="13.5" thickBot="1">
      <c r="A165" s="551"/>
      <c r="B165" s="577"/>
      <c r="C165" s="551"/>
      <c r="D165" s="595"/>
      <c r="E165" s="575"/>
      <c r="F165" s="595"/>
      <c r="G165" s="575"/>
      <c r="H165" s="551"/>
      <c r="I165" s="582"/>
      <c r="J165" s="577" t="s">
        <v>892</v>
      </c>
      <c r="K165" s="577"/>
      <c r="L165" s="577" t="s">
        <v>893</v>
      </c>
      <c r="M165" s="551"/>
      <c r="N165" s="561"/>
    </row>
    <row r="166" spans="1:14" ht="13.5" thickBot="1">
      <c r="A166" s="551"/>
      <c r="B166" s="577" t="s">
        <v>894</v>
      </c>
      <c r="C166" s="551"/>
      <c r="D166" s="593"/>
      <c r="E166" s="551"/>
      <c r="F166" s="593"/>
      <c r="G166" s="575"/>
      <c r="H166" s="551" t="s">
        <v>895</v>
      </c>
      <c r="I166" s="582" t="b">
        <v>0</v>
      </c>
      <c r="J166" s="583"/>
      <c r="K166" s="582" t="b">
        <v>0</v>
      </c>
      <c r="L166" s="583"/>
      <c r="M166" s="558" t="s">
        <v>895</v>
      </c>
      <c r="N166" s="561"/>
    </row>
    <row r="167" spans="1:14" ht="13.5" thickBot="1">
      <c r="A167" s="551"/>
      <c r="B167" s="551"/>
      <c r="C167" s="551"/>
      <c r="D167" s="561"/>
      <c r="E167" s="551"/>
      <c r="F167" s="561"/>
      <c r="G167" s="551"/>
      <c r="H167" s="551"/>
      <c r="I167" s="551"/>
      <c r="J167" s="551"/>
      <c r="K167" s="551"/>
      <c r="L167" s="551"/>
      <c r="M167" s="551"/>
      <c r="N167" s="561"/>
    </row>
    <row r="168" spans="1:14" ht="13.5" thickBot="1">
      <c r="A168" s="551"/>
      <c r="B168" s="558" t="s">
        <v>897</v>
      </c>
      <c r="C168" s="558"/>
      <c r="D168" s="593"/>
      <c r="E168" s="551"/>
      <c r="F168" s="593"/>
      <c r="G168" s="551"/>
      <c r="H168" s="551" t="s">
        <v>922</v>
      </c>
      <c r="I168" s="551"/>
      <c r="J168" s="551"/>
      <c r="K168" s="551"/>
      <c r="L168" s="551"/>
      <c r="M168" s="551"/>
      <c r="N168" s="561"/>
    </row>
    <row r="169" spans="1:14" ht="13.5" thickBot="1">
      <c r="A169" s="551"/>
      <c r="B169" s="558" t="s">
        <v>899</v>
      </c>
      <c r="C169" s="558"/>
      <c r="D169" s="593"/>
      <c r="E169" s="551"/>
      <c r="F169" s="593"/>
      <c r="G169" s="551"/>
      <c r="H169" s="551" t="s">
        <v>922</v>
      </c>
      <c r="I169" s="551"/>
      <c r="J169" s="551"/>
      <c r="K169" s="551"/>
      <c r="L169" s="551"/>
      <c r="M169" s="551"/>
      <c r="N169" s="561"/>
    </row>
    <row r="170" spans="1:14" ht="13.5" thickBot="1">
      <c r="A170" s="551"/>
      <c r="B170" s="558" t="s">
        <v>900</v>
      </c>
      <c r="C170" s="558"/>
      <c r="D170" s="593"/>
      <c r="E170" s="551"/>
      <c r="F170" s="593"/>
      <c r="G170" s="551"/>
      <c r="H170" s="551" t="s">
        <v>922</v>
      </c>
      <c r="I170" s="551"/>
      <c r="J170" s="551"/>
      <c r="K170" s="551"/>
      <c r="L170" s="551"/>
      <c r="M170" s="551"/>
      <c r="N170" s="561"/>
    </row>
    <row r="171" spans="1:14" ht="13.5" thickBot="1">
      <c r="A171" s="551"/>
      <c r="B171" s="558" t="s">
        <v>901</v>
      </c>
      <c r="C171" s="558"/>
      <c r="D171" s="593"/>
      <c r="E171" s="551"/>
      <c r="F171" s="593"/>
      <c r="G171" s="551"/>
      <c r="H171" s="551" t="s">
        <v>922</v>
      </c>
      <c r="I171" s="551"/>
      <c r="J171" s="551"/>
      <c r="K171" s="551"/>
      <c r="L171" s="551"/>
      <c r="M171" s="551"/>
      <c r="N171" s="561"/>
    </row>
    <row r="172" spans="1:14" ht="7.5" customHeight="1" thickBot="1">
      <c r="A172" s="551"/>
      <c r="B172" s="558"/>
      <c r="C172" s="558"/>
      <c r="D172" s="561"/>
      <c r="E172" s="551"/>
      <c r="F172" s="561"/>
      <c r="G172" s="551"/>
      <c r="H172" s="551"/>
      <c r="I172" s="551"/>
      <c r="J172" s="551"/>
      <c r="K172" s="551"/>
      <c r="L172" s="551"/>
      <c r="M172" s="551"/>
      <c r="N172" s="561"/>
    </row>
    <row r="173" spans="1:14" ht="13.5" thickBot="1">
      <c r="A173" s="551"/>
      <c r="B173" s="558" t="s">
        <v>902</v>
      </c>
      <c r="C173" s="558"/>
      <c r="D173" s="593"/>
      <c r="E173" s="551"/>
      <c r="F173" s="593"/>
      <c r="G173" s="551"/>
      <c r="H173" s="551" t="s">
        <v>923</v>
      </c>
      <c r="I173" s="551"/>
      <c r="J173" s="551"/>
      <c r="K173" s="551"/>
      <c r="L173" s="551"/>
      <c r="M173" s="551"/>
      <c r="N173" s="561"/>
    </row>
    <row r="174" spans="1:14" ht="13.5" thickBot="1">
      <c r="A174" s="551"/>
      <c r="B174" s="558" t="s">
        <v>904</v>
      </c>
      <c r="C174" s="558"/>
      <c r="D174" s="593"/>
      <c r="E174" s="551"/>
      <c r="F174" s="593"/>
      <c r="G174" s="551"/>
      <c r="H174" s="551" t="s">
        <v>923</v>
      </c>
      <c r="I174" s="551"/>
      <c r="J174" s="551"/>
      <c r="K174" s="551"/>
      <c r="L174" s="551"/>
      <c r="M174" s="551"/>
      <c r="N174" s="561"/>
    </row>
    <row r="175" spans="1:14" ht="13.5" thickBot="1">
      <c r="A175" s="551"/>
      <c r="B175" s="558" t="s">
        <v>905</v>
      </c>
      <c r="C175" s="558"/>
      <c r="D175" s="593"/>
      <c r="E175" s="551"/>
      <c r="F175" s="593"/>
      <c r="G175" s="551"/>
      <c r="H175" s="551" t="s">
        <v>923</v>
      </c>
      <c r="I175" s="551"/>
      <c r="J175" s="551"/>
      <c r="K175" s="551"/>
      <c r="L175" s="551"/>
      <c r="M175" s="551"/>
      <c r="N175" s="561"/>
    </row>
    <row r="176" spans="1:14" ht="13.5" thickBot="1">
      <c r="A176" s="551"/>
      <c r="B176" s="558" t="s">
        <v>906</v>
      </c>
      <c r="C176" s="558"/>
      <c r="D176" s="593"/>
      <c r="E176" s="551"/>
      <c r="F176" s="593"/>
      <c r="G176" s="551"/>
      <c r="H176" s="551" t="s">
        <v>923</v>
      </c>
      <c r="I176" s="551"/>
      <c r="J176" s="551"/>
      <c r="K176" s="551"/>
      <c r="L176" s="551"/>
      <c r="M176" s="551"/>
      <c r="N176" s="561"/>
    </row>
    <row r="177" spans="1:14" ht="13.5" thickBot="1">
      <c r="A177" s="551"/>
      <c r="B177" s="551"/>
      <c r="C177" s="551"/>
      <c r="D177" s="561"/>
      <c r="E177" s="551"/>
      <c r="F177" s="561"/>
      <c r="G177" s="551"/>
      <c r="H177" s="551"/>
      <c r="I177" s="551"/>
      <c r="J177" s="551"/>
      <c r="K177" s="551"/>
      <c r="L177" s="551"/>
      <c r="M177" s="551"/>
      <c r="N177" s="561"/>
    </row>
    <row r="178" spans="1:14" ht="13.5" thickBot="1">
      <c r="A178" s="551"/>
      <c r="B178" s="577" t="s">
        <v>908</v>
      </c>
      <c r="C178" s="551"/>
      <c r="D178" s="593"/>
      <c r="E178" s="551"/>
      <c r="F178" s="593"/>
      <c r="G178" s="551"/>
      <c r="H178" s="551" t="s">
        <v>923</v>
      </c>
      <c r="I178" s="551"/>
      <c r="J178" s="551"/>
      <c r="K178" s="551"/>
      <c r="L178" s="551"/>
      <c r="M178" s="551"/>
      <c r="N178" s="561"/>
    </row>
    <row r="179" spans="1:14" ht="7.5" customHeight="1" thickBot="1">
      <c r="A179" s="551"/>
      <c r="B179" s="577"/>
      <c r="C179" s="551"/>
      <c r="D179" s="561"/>
      <c r="E179" s="551"/>
      <c r="F179" s="561"/>
      <c r="G179" s="551"/>
      <c r="H179" s="551"/>
      <c r="I179" s="551"/>
      <c r="J179" s="551"/>
      <c r="K179" s="551"/>
      <c r="L179" s="551"/>
      <c r="M179" s="551"/>
      <c r="N179" s="561"/>
    </row>
    <row r="180" spans="1:14" ht="13.5" thickBot="1">
      <c r="A180" s="551"/>
      <c r="B180" s="577" t="s">
        <v>909</v>
      </c>
      <c r="C180" s="551"/>
      <c r="D180" s="593"/>
      <c r="E180" s="551"/>
      <c r="F180" s="593"/>
      <c r="G180" s="551"/>
      <c r="H180" s="551" t="s">
        <v>910</v>
      </c>
      <c r="I180" s="551"/>
      <c r="J180" s="551"/>
      <c r="K180" s="551"/>
      <c r="L180" s="551"/>
      <c r="M180" s="551"/>
      <c r="N180" s="561"/>
    </row>
    <row r="181" spans="1:14" ht="13.5" thickBot="1">
      <c r="A181" s="562"/>
      <c r="B181" s="563"/>
      <c r="C181" s="564"/>
      <c r="D181" s="565"/>
      <c r="E181" s="566"/>
      <c r="F181" s="565"/>
      <c r="G181" s="562"/>
      <c r="H181" s="562"/>
      <c r="I181" s="562"/>
      <c r="J181" s="562"/>
      <c r="K181" s="562"/>
      <c r="L181" s="562"/>
      <c r="M181" s="562"/>
      <c r="N181" s="567"/>
    </row>
    <row r="182" spans="1:14" ht="30" customHeight="1" thickTop="1">
      <c r="A182" s="548" t="s">
        <v>924</v>
      </c>
      <c r="B182" s="568"/>
      <c r="C182" s="568"/>
      <c r="D182" s="569"/>
      <c r="E182" s="570"/>
      <c r="F182" s="569"/>
      <c r="G182" s="570"/>
      <c r="H182" s="568"/>
      <c r="I182" s="568"/>
      <c r="J182" s="568"/>
      <c r="K182" s="568"/>
      <c r="L182" s="568"/>
      <c r="M182" s="568"/>
      <c r="N182" s="571"/>
    </row>
    <row r="183" spans="1:14" ht="16.5" thickBot="1">
      <c r="A183" s="573"/>
      <c r="B183" s="551"/>
      <c r="C183" s="551"/>
      <c r="D183" s="574"/>
      <c r="E183" s="575"/>
      <c r="F183" s="574"/>
      <c r="G183" s="575"/>
      <c r="H183" s="551"/>
      <c r="I183" s="551"/>
      <c r="J183" s="551"/>
      <c r="K183" s="551"/>
      <c r="L183" s="551"/>
      <c r="M183" s="551"/>
      <c r="N183" s="576"/>
    </row>
    <row r="184" spans="1:14" ht="13.5" thickBot="1">
      <c r="A184" s="551"/>
      <c r="B184" s="577" t="s">
        <v>918</v>
      </c>
      <c r="C184" s="551"/>
      <c r="D184" s="593"/>
      <c r="E184" s="575"/>
      <c r="F184" s="593"/>
      <c r="G184" s="575"/>
      <c r="H184" s="551"/>
      <c r="I184" s="551"/>
      <c r="J184" s="551"/>
      <c r="K184" s="551"/>
      <c r="L184" s="551"/>
      <c r="M184" s="551"/>
      <c r="N184" s="561"/>
    </row>
    <row r="185" spans="1:14" ht="7.5" customHeight="1" thickBot="1">
      <c r="A185" s="551"/>
      <c r="B185" s="551"/>
      <c r="C185" s="551"/>
      <c r="D185" s="574"/>
      <c r="E185" s="575"/>
      <c r="F185" s="574"/>
      <c r="G185" s="575"/>
      <c r="H185" s="551"/>
      <c r="I185" s="551"/>
      <c r="J185" s="551"/>
      <c r="K185" s="551"/>
      <c r="L185" s="551"/>
      <c r="M185" s="551"/>
      <c r="N185" s="561"/>
    </row>
    <row r="186" spans="1:14" ht="13.5" thickBot="1">
      <c r="A186" s="551"/>
      <c r="B186" s="577" t="s">
        <v>249</v>
      </c>
      <c r="C186" s="551"/>
      <c r="D186" s="594"/>
      <c r="E186" s="575"/>
      <c r="F186" s="594"/>
      <c r="G186" s="575"/>
      <c r="H186" s="551"/>
      <c r="I186" s="551"/>
      <c r="J186" s="551"/>
      <c r="K186" s="551"/>
      <c r="L186" s="551"/>
      <c r="M186" s="551"/>
      <c r="N186" s="561"/>
    </row>
    <row r="187" spans="1:14" ht="7.5" customHeight="1">
      <c r="A187" s="551"/>
      <c r="B187" s="551"/>
      <c r="C187" s="551"/>
      <c r="D187" s="561"/>
      <c r="E187" s="551"/>
      <c r="F187" s="561"/>
      <c r="G187" s="551"/>
      <c r="H187" s="551"/>
      <c r="I187" s="551"/>
      <c r="J187" s="551"/>
      <c r="K187" s="551"/>
      <c r="L187" s="551"/>
      <c r="M187" s="551"/>
      <c r="N187" s="561"/>
    </row>
    <row r="188" spans="1:14" ht="15.75">
      <c r="A188" s="573"/>
      <c r="B188" s="577" t="s">
        <v>916</v>
      </c>
      <c r="C188" s="551"/>
      <c r="D188" s="595"/>
      <c r="E188" s="575"/>
      <c r="F188" s="595"/>
      <c r="G188" s="575"/>
      <c r="H188" s="551"/>
      <c r="I188" s="551"/>
      <c r="J188" s="551"/>
      <c r="K188" s="551"/>
      <c r="L188" s="551"/>
      <c r="M188" s="551"/>
      <c r="N188" s="561"/>
    </row>
    <row r="189" spans="1:14" ht="16.5" thickBot="1">
      <c r="A189" s="573"/>
      <c r="B189" s="577"/>
      <c r="C189" s="551"/>
      <c r="D189" s="561"/>
      <c r="E189" s="575"/>
      <c r="F189" s="561">
        <v>1</v>
      </c>
      <c r="G189" s="575"/>
      <c r="H189" s="551"/>
      <c r="I189" s="582"/>
      <c r="J189" s="577" t="s">
        <v>892</v>
      </c>
      <c r="K189" s="577"/>
      <c r="L189" s="577" t="s">
        <v>893</v>
      </c>
      <c r="M189" s="551"/>
      <c r="N189" s="561"/>
    </row>
    <row r="190" spans="1:14" ht="16.5" thickBot="1">
      <c r="A190" s="573"/>
      <c r="B190" s="577" t="s">
        <v>894</v>
      </c>
      <c r="C190" s="551"/>
      <c r="D190" s="593"/>
      <c r="E190" s="551"/>
      <c r="F190" s="593"/>
      <c r="G190" s="575"/>
      <c r="H190" s="551" t="s">
        <v>895</v>
      </c>
      <c r="I190" s="582" t="b">
        <v>0</v>
      </c>
      <c r="J190" s="583"/>
      <c r="K190" s="582" t="b">
        <v>0</v>
      </c>
      <c r="L190" s="583"/>
      <c r="M190" s="558" t="s">
        <v>895</v>
      </c>
      <c r="N190" s="561"/>
    </row>
    <row r="191" spans="1:14" ht="16.5" thickBot="1">
      <c r="A191" s="573"/>
      <c r="B191" s="577"/>
      <c r="C191" s="551"/>
      <c r="D191" s="561"/>
      <c r="E191" s="575"/>
      <c r="F191" s="561"/>
      <c r="G191" s="575"/>
      <c r="H191" s="551"/>
      <c r="I191" s="551"/>
      <c r="J191" s="551"/>
      <c r="K191" s="551"/>
      <c r="L191" s="551"/>
      <c r="M191" s="551"/>
      <c r="N191" s="561"/>
    </row>
    <row r="192" spans="1:14" ht="13.5" thickBot="1">
      <c r="A192" s="551"/>
      <c r="B192" s="558" t="s">
        <v>897</v>
      </c>
      <c r="C192" s="558"/>
      <c r="D192" s="593"/>
      <c r="E192" s="551"/>
      <c r="F192" s="593"/>
      <c r="G192" s="551"/>
      <c r="H192" s="551" t="str">
        <f>INDEX(B294:B295,Tariffs!$F$189)</f>
        <v>Cubic Feet</v>
      </c>
      <c r="I192" s="551"/>
      <c r="J192" s="551"/>
      <c r="K192" s="551"/>
      <c r="L192" s="551"/>
      <c r="M192" s="551"/>
      <c r="N192" s="561"/>
    </row>
    <row r="193" spans="1:14" ht="13.5" thickBot="1">
      <c r="A193" s="551"/>
      <c r="B193" s="558" t="s">
        <v>899</v>
      </c>
      <c r="C193" s="558"/>
      <c r="D193" s="593"/>
      <c r="E193" s="551"/>
      <c r="F193" s="593"/>
      <c r="G193" s="551"/>
      <c r="H193" s="551" t="str">
        <f>H192</f>
        <v>Cubic Feet</v>
      </c>
      <c r="I193" s="551"/>
      <c r="J193" s="551"/>
      <c r="K193" s="551"/>
      <c r="L193" s="551"/>
      <c r="M193" s="551"/>
      <c r="N193" s="561"/>
    </row>
    <row r="194" spans="1:14" ht="13.5" thickBot="1">
      <c r="A194" s="551"/>
      <c r="B194" s="558" t="s">
        <v>900</v>
      </c>
      <c r="C194" s="558"/>
      <c r="D194" s="593"/>
      <c r="E194" s="551"/>
      <c r="F194" s="593"/>
      <c r="G194" s="551"/>
      <c r="H194" s="551" t="str">
        <f>H193</f>
        <v>Cubic Feet</v>
      </c>
      <c r="I194" s="551"/>
      <c r="J194" s="551"/>
      <c r="K194" s="551"/>
      <c r="L194" s="551"/>
      <c r="M194" s="551"/>
      <c r="N194" s="561"/>
    </row>
    <row r="195" spans="1:14" ht="13.5" thickBot="1">
      <c r="A195" s="551"/>
      <c r="B195" s="558" t="s">
        <v>901</v>
      </c>
      <c r="C195" s="558"/>
      <c r="D195" s="593"/>
      <c r="E195" s="551"/>
      <c r="F195" s="593"/>
      <c r="G195" s="551"/>
      <c r="H195" s="551" t="str">
        <f>H194</f>
        <v>Cubic Feet</v>
      </c>
      <c r="I195" s="551"/>
      <c r="J195" s="551"/>
      <c r="K195" s="551"/>
      <c r="L195" s="551"/>
      <c r="M195" s="551"/>
      <c r="N195" s="561"/>
    </row>
    <row r="196" spans="1:14" ht="7.5" customHeight="1" thickBot="1">
      <c r="A196" s="551"/>
      <c r="B196" s="558"/>
      <c r="C196" s="558"/>
      <c r="D196" s="561"/>
      <c r="E196" s="551"/>
      <c r="F196" s="561"/>
      <c r="G196" s="551"/>
      <c r="H196" s="551"/>
      <c r="I196" s="551"/>
      <c r="J196" s="551"/>
      <c r="K196" s="551"/>
      <c r="L196" s="551"/>
      <c r="M196" s="551"/>
      <c r="N196" s="561"/>
    </row>
    <row r="197" spans="1:14" ht="13.5" thickBot="1">
      <c r="A197" s="551"/>
      <c r="B197" s="558" t="s">
        <v>902</v>
      </c>
      <c r="C197" s="558"/>
      <c r="D197" s="593"/>
      <c r="E197" s="551"/>
      <c r="F197" s="593"/>
      <c r="G197" s="551"/>
      <c r="H197" s="551" t="str">
        <f>"$/"&amp;INDEX(B294:B295,Tariffs!$F$189)</f>
        <v>$/Cubic Feet</v>
      </c>
      <c r="I197" s="551"/>
      <c r="J197" s="551"/>
      <c r="K197" s="551"/>
      <c r="L197" s="551"/>
      <c r="M197" s="551"/>
      <c r="N197" s="561"/>
    </row>
    <row r="198" spans="1:14" ht="13.5" thickBot="1">
      <c r="A198" s="551"/>
      <c r="B198" s="558" t="s">
        <v>904</v>
      </c>
      <c r="C198" s="558"/>
      <c r="D198" s="593"/>
      <c r="E198" s="551"/>
      <c r="F198" s="596"/>
      <c r="G198" s="551"/>
      <c r="H198" s="551" t="str">
        <f>H197</f>
        <v>$/Cubic Feet</v>
      </c>
      <c r="I198" s="551"/>
      <c r="J198" s="551"/>
      <c r="K198" s="551"/>
      <c r="L198" s="551"/>
      <c r="M198" s="551"/>
      <c r="N198" s="561"/>
    </row>
    <row r="199" spans="1:14" ht="13.5" thickBot="1">
      <c r="A199" s="551"/>
      <c r="B199" s="558" t="s">
        <v>905</v>
      </c>
      <c r="C199" s="558"/>
      <c r="D199" s="593"/>
      <c r="E199" s="551"/>
      <c r="F199" s="593"/>
      <c r="G199" s="551"/>
      <c r="H199" s="551" t="str">
        <f>H198</f>
        <v>$/Cubic Feet</v>
      </c>
      <c r="I199" s="551"/>
      <c r="J199" s="551"/>
      <c r="K199" s="551"/>
      <c r="L199" s="551"/>
      <c r="M199" s="551"/>
      <c r="N199" s="561"/>
    </row>
    <row r="200" spans="1:14" ht="13.5" thickBot="1">
      <c r="A200" s="551"/>
      <c r="B200" s="558" t="s">
        <v>906</v>
      </c>
      <c r="C200" s="558"/>
      <c r="D200" s="593"/>
      <c r="E200" s="551"/>
      <c r="F200" s="593"/>
      <c r="G200" s="551"/>
      <c r="H200" s="551" t="str">
        <f>H199</f>
        <v>$/Cubic Feet</v>
      </c>
      <c r="I200" s="551"/>
      <c r="J200" s="551"/>
      <c r="K200" s="551"/>
      <c r="L200" s="551"/>
      <c r="M200" s="551"/>
      <c r="N200" s="561"/>
    </row>
    <row r="201" spans="1:14" ht="13.5" thickBot="1">
      <c r="A201" s="551"/>
      <c r="B201" s="551"/>
      <c r="C201" s="551"/>
      <c r="D201" s="561"/>
      <c r="E201" s="551"/>
      <c r="F201" s="561"/>
      <c r="G201" s="551"/>
      <c r="H201" s="551"/>
      <c r="I201" s="551"/>
      <c r="J201" s="551"/>
      <c r="K201" s="551"/>
      <c r="L201" s="551"/>
      <c r="M201" s="551"/>
      <c r="N201" s="561"/>
    </row>
    <row r="202" spans="1:14" ht="13.5" thickBot="1">
      <c r="A202" s="551"/>
      <c r="B202" s="577" t="s">
        <v>908</v>
      </c>
      <c r="C202" s="551"/>
      <c r="D202" s="593"/>
      <c r="E202" s="551"/>
      <c r="F202" s="593"/>
      <c r="G202" s="551"/>
      <c r="H202" s="551" t="str">
        <f>H200</f>
        <v>$/Cubic Feet</v>
      </c>
      <c r="I202" s="551"/>
      <c r="J202" s="551"/>
      <c r="K202" s="551"/>
      <c r="L202" s="551"/>
      <c r="M202" s="551"/>
      <c r="N202" s="561"/>
    </row>
    <row r="203" spans="1:14" ht="7.5" customHeight="1" thickBot="1">
      <c r="A203" s="551"/>
      <c r="B203" s="577"/>
      <c r="C203" s="551"/>
      <c r="D203" s="561"/>
      <c r="E203" s="551"/>
      <c r="F203" s="561"/>
      <c r="G203" s="551"/>
      <c r="H203" s="551"/>
      <c r="I203" s="551"/>
      <c r="J203" s="551"/>
      <c r="K203" s="551"/>
      <c r="L203" s="551"/>
      <c r="M203" s="551"/>
      <c r="N203" s="561"/>
    </row>
    <row r="204" spans="1:14" ht="13.5" thickBot="1">
      <c r="A204" s="551"/>
      <c r="B204" s="577" t="s">
        <v>909</v>
      </c>
      <c r="C204" s="551"/>
      <c r="D204" s="593"/>
      <c r="E204" s="551"/>
      <c r="F204" s="593"/>
      <c r="G204" s="551"/>
      <c r="H204" s="551" t="s">
        <v>910</v>
      </c>
      <c r="I204" s="551"/>
      <c r="J204" s="551"/>
      <c r="K204" s="551"/>
      <c r="L204" s="551"/>
      <c r="M204" s="551"/>
      <c r="N204" s="561"/>
    </row>
    <row r="205" spans="1:14" ht="13.5" thickBot="1">
      <c r="A205" s="562"/>
      <c r="B205" s="563"/>
      <c r="C205" s="564"/>
      <c r="D205" s="565"/>
      <c r="E205" s="566"/>
      <c r="F205" s="565"/>
      <c r="G205" s="562"/>
      <c r="H205" s="562"/>
      <c r="I205" s="562"/>
      <c r="J205" s="562"/>
      <c r="K205" s="562"/>
      <c r="L205" s="562"/>
      <c r="M205" s="562"/>
      <c r="N205" s="567"/>
    </row>
    <row r="206" spans="1:14" ht="30" customHeight="1" thickTop="1">
      <c r="A206" s="548" t="s">
        <v>925</v>
      </c>
      <c r="B206" s="568"/>
      <c r="C206" s="568"/>
      <c r="D206" s="569"/>
      <c r="E206" s="570"/>
      <c r="F206" s="569"/>
      <c r="G206" s="570"/>
      <c r="H206" s="568"/>
      <c r="I206" s="568"/>
      <c r="J206" s="568"/>
      <c r="K206" s="568"/>
      <c r="L206" s="568"/>
      <c r="M206" s="568"/>
      <c r="N206" s="571"/>
    </row>
    <row r="207" spans="1:14" ht="15.75">
      <c r="A207" s="573"/>
      <c r="B207" s="551"/>
      <c r="C207" s="551"/>
      <c r="D207" s="574"/>
      <c r="E207" s="575"/>
      <c r="F207" s="574"/>
      <c r="G207" s="575"/>
      <c r="H207" s="551"/>
      <c r="I207" s="551"/>
      <c r="J207" s="551"/>
      <c r="K207" s="551"/>
      <c r="L207" s="551"/>
      <c r="M207" s="551"/>
      <c r="N207" s="576"/>
    </row>
    <row r="208" spans="1:14" ht="15.75">
      <c r="A208" s="573"/>
      <c r="B208" s="577" t="s">
        <v>926</v>
      </c>
      <c r="C208" s="551"/>
      <c r="D208" s="561"/>
      <c r="E208" s="551"/>
      <c r="F208" s="574" t="b">
        <v>0</v>
      </c>
      <c r="G208" s="575"/>
      <c r="H208" s="551"/>
      <c r="I208" s="551"/>
      <c r="J208" s="551"/>
      <c r="K208" s="551"/>
      <c r="L208" s="551"/>
      <c r="M208" s="551"/>
      <c r="N208" s="576"/>
    </row>
    <row r="209" spans="1:14" ht="16.5" thickBot="1">
      <c r="A209" s="573"/>
      <c r="B209" s="551"/>
      <c r="C209" s="551"/>
      <c r="D209" s="561"/>
      <c r="E209" s="551"/>
      <c r="F209" s="574"/>
      <c r="G209" s="575"/>
      <c r="H209" s="551"/>
      <c r="I209" s="551"/>
      <c r="J209" s="551"/>
      <c r="K209" s="551"/>
      <c r="L209" s="551"/>
      <c r="M209" s="551"/>
      <c r="N209" s="576"/>
    </row>
    <row r="210" spans="1:14" ht="13.5" thickBot="1">
      <c r="A210" s="551"/>
      <c r="B210" s="577" t="s">
        <v>927</v>
      </c>
      <c r="C210" s="551"/>
      <c r="D210" s="593"/>
      <c r="E210" s="575"/>
      <c r="F210" s="593"/>
      <c r="G210" s="575"/>
      <c r="H210" s="551"/>
      <c r="I210" s="551"/>
      <c r="J210" s="551"/>
      <c r="K210" s="551"/>
      <c r="L210" s="551"/>
      <c r="M210" s="551"/>
      <c r="N210" s="561"/>
    </row>
    <row r="211" spans="1:14" ht="7.5" customHeight="1" thickBot="1">
      <c r="A211" s="551"/>
      <c r="B211" s="551"/>
      <c r="C211" s="551"/>
      <c r="D211" s="574"/>
      <c r="E211" s="575"/>
      <c r="F211" s="574"/>
      <c r="G211" s="575"/>
      <c r="H211" s="551"/>
      <c r="I211" s="551"/>
      <c r="J211" s="551"/>
      <c r="K211" s="551"/>
      <c r="L211" s="551"/>
      <c r="M211" s="551"/>
      <c r="N211" s="561"/>
    </row>
    <row r="212" spans="1:14" ht="13.5" thickBot="1">
      <c r="A212" s="551"/>
      <c r="B212" s="577" t="s">
        <v>249</v>
      </c>
      <c r="C212" s="551"/>
      <c r="D212" s="597"/>
      <c r="E212" s="598"/>
      <c r="F212" s="597"/>
      <c r="G212" s="575"/>
      <c r="H212" s="551"/>
      <c r="I212" s="551"/>
      <c r="J212" s="551"/>
      <c r="K212" s="551"/>
      <c r="L212" s="551"/>
      <c r="M212" s="551"/>
      <c r="N212" s="561"/>
    </row>
    <row r="213" spans="1:14" ht="7.5" customHeight="1">
      <c r="A213" s="551"/>
      <c r="B213" s="551"/>
      <c r="C213" s="551"/>
      <c r="D213" s="561"/>
      <c r="E213" s="551"/>
      <c r="F213" s="561"/>
      <c r="G213" s="551"/>
      <c r="H213" s="551"/>
      <c r="I213" s="551"/>
      <c r="J213" s="551"/>
      <c r="K213" s="551"/>
      <c r="L213" s="551"/>
      <c r="M213" s="551"/>
      <c r="N213" s="561"/>
    </row>
    <row r="214" spans="1:14" ht="15.75">
      <c r="A214" s="573"/>
      <c r="B214" s="577" t="s">
        <v>916</v>
      </c>
      <c r="C214" s="551"/>
      <c r="D214" s="595"/>
      <c r="E214" s="575"/>
      <c r="F214" s="595"/>
      <c r="G214" s="575"/>
      <c r="H214" s="551"/>
      <c r="I214" s="551"/>
      <c r="J214" s="551"/>
      <c r="K214" s="551"/>
      <c r="L214" s="551"/>
      <c r="M214" s="551"/>
      <c r="N214" s="561"/>
    </row>
    <row r="215" spans="1:14" ht="16.5" thickBot="1">
      <c r="A215" s="573"/>
      <c r="B215" s="577"/>
      <c r="C215" s="551"/>
      <c r="D215" s="561"/>
      <c r="E215" s="575"/>
      <c r="F215" s="561">
        <v>1</v>
      </c>
      <c r="G215" s="575"/>
      <c r="H215" s="551"/>
      <c r="I215" s="582"/>
      <c r="J215" s="577" t="s">
        <v>892</v>
      </c>
      <c r="K215" s="577"/>
      <c r="L215" s="577" t="s">
        <v>893</v>
      </c>
      <c r="M215" s="551"/>
      <c r="N215" s="561"/>
    </row>
    <row r="216" spans="1:14" ht="16.5" thickBot="1">
      <c r="A216" s="573"/>
      <c r="B216" s="577" t="s">
        <v>894</v>
      </c>
      <c r="C216" s="551"/>
      <c r="D216" s="593"/>
      <c r="E216" s="551"/>
      <c r="F216" s="593"/>
      <c r="G216" s="575"/>
      <c r="H216" s="551" t="s">
        <v>895</v>
      </c>
      <c r="I216" s="582" t="b">
        <v>0</v>
      </c>
      <c r="J216" s="583"/>
      <c r="K216" s="582" t="b">
        <v>0</v>
      </c>
      <c r="L216" s="583"/>
      <c r="M216" s="558" t="s">
        <v>895</v>
      </c>
      <c r="N216" s="561"/>
    </row>
    <row r="217" spans="1:14" ht="16.5" thickBot="1">
      <c r="A217" s="573"/>
      <c r="B217" s="577"/>
      <c r="C217" s="551"/>
      <c r="D217" s="561"/>
      <c r="E217" s="575"/>
      <c r="F217" s="561"/>
      <c r="G217" s="575"/>
      <c r="H217" s="551"/>
      <c r="I217" s="551"/>
      <c r="J217" s="551"/>
      <c r="K217" s="551"/>
      <c r="L217" s="551"/>
      <c r="M217" s="551"/>
      <c r="N217" s="561"/>
    </row>
    <row r="218" spans="1:14" ht="13.5" thickBot="1">
      <c r="A218" s="551"/>
      <c r="B218" s="558" t="s">
        <v>897</v>
      </c>
      <c r="C218" s="558"/>
      <c r="D218" s="593"/>
      <c r="E218" s="551"/>
      <c r="F218" s="593"/>
      <c r="G218" s="551"/>
      <c r="H218" s="551" t="str">
        <f>INDEX(B294:B295,Tariffs!$F$215)</f>
        <v>Cubic Feet</v>
      </c>
      <c r="I218" s="551"/>
      <c r="J218" s="551"/>
      <c r="K218" s="551"/>
      <c r="L218" s="551"/>
      <c r="M218" s="551"/>
      <c r="N218" s="561"/>
    </row>
    <row r="219" spans="1:14" ht="13.5" thickBot="1">
      <c r="A219" s="551"/>
      <c r="B219" s="558" t="s">
        <v>899</v>
      </c>
      <c r="C219" s="558"/>
      <c r="D219" s="593"/>
      <c r="E219" s="551"/>
      <c r="F219" s="593"/>
      <c r="G219" s="551"/>
      <c r="H219" s="551" t="str">
        <f>H218</f>
        <v>Cubic Feet</v>
      </c>
      <c r="I219" s="551"/>
      <c r="J219" s="551"/>
      <c r="K219" s="551"/>
      <c r="L219" s="551"/>
      <c r="M219" s="551"/>
      <c r="N219" s="561"/>
    </row>
    <row r="220" spans="1:14" ht="13.5" thickBot="1">
      <c r="A220" s="551"/>
      <c r="B220" s="558" t="s">
        <v>900</v>
      </c>
      <c r="C220" s="558"/>
      <c r="D220" s="593"/>
      <c r="E220" s="551"/>
      <c r="F220" s="593"/>
      <c r="G220" s="551"/>
      <c r="H220" s="551" t="str">
        <f>H218</f>
        <v>Cubic Feet</v>
      </c>
      <c r="I220" s="551"/>
      <c r="J220" s="551"/>
      <c r="K220" s="551"/>
      <c r="L220" s="551"/>
      <c r="M220" s="551"/>
      <c r="N220" s="561"/>
    </row>
    <row r="221" spans="1:14" ht="13.5" thickBot="1">
      <c r="A221" s="551"/>
      <c r="B221" s="558" t="s">
        <v>901</v>
      </c>
      <c r="C221" s="558"/>
      <c r="D221" s="593"/>
      <c r="E221" s="551"/>
      <c r="F221" s="593"/>
      <c r="G221" s="551"/>
      <c r="H221" s="551" t="str">
        <f>H218</f>
        <v>Cubic Feet</v>
      </c>
      <c r="I221" s="551"/>
      <c r="J221" s="551"/>
      <c r="K221" s="551"/>
      <c r="L221" s="551"/>
      <c r="M221" s="551"/>
      <c r="N221" s="561"/>
    </row>
    <row r="222" spans="1:14" ht="7.5" customHeight="1" thickBot="1">
      <c r="A222" s="551"/>
      <c r="B222" s="558"/>
      <c r="C222" s="558"/>
      <c r="D222" s="561"/>
      <c r="E222" s="551"/>
      <c r="F222" s="561"/>
      <c r="G222" s="551"/>
      <c r="H222" s="551"/>
      <c r="I222" s="551"/>
      <c r="J222" s="551"/>
      <c r="K222" s="551"/>
      <c r="L222" s="551"/>
      <c r="M222" s="551"/>
      <c r="N222" s="561"/>
    </row>
    <row r="223" spans="1:14" ht="13.5" thickBot="1">
      <c r="A223" s="551"/>
      <c r="B223" s="558" t="s">
        <v>902</v>
      </c>
      <c r="C223" s="558"/>
      <c r="D223" s="593"/>
      <c r="E223" s="551"/>
      <c r="F223" s="593"/>
      <c r="G223" s="551"/>
      <c r="H223" s="551" t="str">
        <f>"$/"&amp;INDEX(B294:B295,Tariffs!$F$215)</f>
        <v>$/Cubic Feet</v>
      </c>
      <c r="I223" s="551"/>
      <c r="J223" s="551"/>
      <c r="K223" s="551"/>
      <c r="L223" s="551"/>
      <c r="M223" s="551"/>
      <c r="N223" s="561"/>
    </row>
    <row r="224" spans="1:14" ht="13.5" thickBot="1">
      <c r="A224" s="551"/>
      <c r="B224" s="558" t="s">
        <v>904</v>
      </c>
      <c r="C224" s="558"/>
      <c r="D224" s="593"/>
      <c r="E224" s="551"/>
      <c r="F224" s="593"/>
      <c r="G224" s="551"/>
      <c r="H224" s="551" t="str">
        <f>H223</f>
        <v>$/Cubic Feet</v>
      </c>
      <c r="I224" s="551"/>
      <c r="J224" s="551"/>
      <c r="K224" s="551"/>
      <c r="L224" s="551"/>
      <c r="M224" s="551"/>
      <c r="N224" s="561"/>
    </row>
    <row r="225" spans="1:14" ht="13.5" thickBot="1">
      <c r="A225" s="551"/>
      <c r="B225" s="558" t="s">
        <v>905</v>
      </c>
      <c r="C225" s="558"/>
      <c r="D225" s="593"/>
      <c r="E225" s="551"/>
      <c r="F225" s="593"/>
      <c r="G225" s="551"/>
      <c r="H225" s="551" t="str">
        <f>H223</f>
        <v>$/Cubic Feet</v>
      </c>
      <c r="I225" s="551"/>
      <c r="J225" s="551"/>
      <c r="K225" s="551"/>
      <c r="L225" s="551"/>
      <c r="M225" s="551"/>
      <c r="N225" s="561"/>
    </row>
    <row r="226" spans="1:14" ht="13.5" thickBot="1">
      <c r="A226" s="551"/>
      <c r="B226" s="558" t="s">
        <v>906</v>
      </c>
      <c r="C226" s="558"/>
      <c r="D226" s="593"/>
      <c r="E226" s="551"/>
      <c r="F226" s="593"/>
      <c r="G226" s="551"/>
      <c r="H226" s="551" t="str">
        <f>H223</f>
        <v>$/Cubic Feet</v>
      </c>
      <c r="I226" s="551"/>
      <c r="J226" s="551"/>
      <c r="K226" s="551"/>
      <c r="L226" s="551"/>
      <c r="M226" s="551"/>
      <c r="N226" s="561"/>
    </row>
    <row r="227" spans="1:14" ht="7.5" customHeight="1" thickBot="1">
      <c r="A227" s="551"/>
      <c r="B227" s="551"/>
      <c r="C227" s="551"/>
      <c r="D227" s="561"/>
      <c r="E227" s="551"/>
      <c r="F227" s="561"/>
      <c r="G227" s="551"/>
      <c r="H227" s="551"/>
      <c r="I227" s="551"/>
      <c r="J227" s="551"/>
      <c r="K227" s="551"/>
      <c r="L227" s="551"/>
      <c r="M227" s="551"/>
      <c r="N227" s="561"/>
    </row>
    <row r="228" spans="1:14" ht="13.5" thickBot="1">
      <c r="A228" s="551"/>
      <c r="B228" s="577" t="s">
        <v>908</v>
      </c>
      <c r="C228" s="551"/>
      <c r="D228" s="593"/>
      <c r="E228" s="551"/>
      <c r="F228" s="593"/>
      <c r="G228" s="551"/>
      <c r="H228" s="551" t="str">
        <f>H223</f>
        <v>$/Cubic Feet</v>
      </c>
      <c r="I228" s="551"/>
      <c r="J228" s="551"/>
      <c r="K228" s="551"/>
      <c r="L228" s="551"/>
      <c r="M228" s="551"/>
      <c r="N228" s="561"/>
    </row>
    <row r="229" spans="1:14" ht="7.5" customHeight="1" thickBot="1">
      <c r="A229" s="551"/>
      <c r="B229" s="577"/>
      <c r="C229" s="551"/>
      <c r="D229" s="561"/>
      <c r="E229" s="551"/>
      <c r="F229" s="561"/>
      <c r="G229" s="551"/>
      <c r="H229" s="551"/>
      <c r="I229" s="551"/>
      <c r="J229" s="551"/>
      <c r="K229" s="551"/>
      <c r="L229" s="551"/>
      <c r="M229" s="551"/>
      <c r="N229" s="561"/>
    </row>
    <row r="230" spans="1:14" ht="13.5" thickBot="1">
      <c r="A230" s="551"/>
      <c r="B230" s="577" t="s">
        <v>909</v>
      </c>
      <c r="C230" s="551"/>
      <c r="D230" s="593"/>
      <c r="E230" s="551"/>
      <c r="F230" s="593"/>
      <c r="G230" s="551"/>
      <c r="H230" s="551" t="s">
        <v>910</v>
      </c>
      <c r="I230" s="551"/>
      <c r="J230" s="551"/>
      <c r="K230" s="551"/>
      <c r="L230" s="551"/>
      <c r="M230" s="551"/>
      <c r="N230" s="561"/>
    </row>
    <row r="231" spans="1:14" ht="13.5" thickBot="1">
      <c r="A231" s="562"/>
      <c r="B231" s="563"/>
      <c r="C231" s="564"/>
      <c r="D231" s="565"/>
      <c r="E231" s="566"/>
      <c r="F231" s="565"/>
      <c r="G231" s="562"/>
      <c r="H231" s="562"/>
      <c r="I231" s="562"/>
      <c r="J231" s="562"/>
      <c r="K231" s="562"/>
      <c r="L231" s="562"/>
      <c r="M231" s="562"/>
      <c r="N231" s="567"/>
    </row>
    <row r="232" spans="1:14" ht="30" customHeight="1" thickTop="1">
      <c r="A232" s="548" t="s">
        <v>928</v>
      </c>
      <c r="B232" s="550"/>
      <c r="C232" s="550"/>
      <c r="D232" s="599"/>
      <c r="E232" s="550"/>
      <c r="F232" s="599"/>
      <c r="G232" s="550"/>
      <c r="H232" s="550"/>
      <c r="I232" s="550"/>
      <c r="J232" s="550"/>
      <c r="K232" s="550"/>
      <c r="L232" s="550"/>
      <c r="M232" s="550"/>
      <c r="N232" s="599"/>
    </row>
    <row r="233" spans="1:14" ht="13.5" thickBot="1">
      <c r="A233" s="551"/>
      <c r="B233" s="551"/>
      <c r="C233" s="551"/>
      <c r="D233" s="561"/>
      <c r="E233" s="551"/>
      <c r="F233" s="561"/>
      <c r="G233" s="551"/>
      <c r="H233" s="551"/>
      <c r="I233" s="551"/>
      <c r="J233" s="551"/>
      <c r="K233" s="551"/>
      <c r="L233" s="551"/>
      <c r="M233" s="551"/>
      <c r="N233" s="561"/>
    </row>
    <row r="234" spans="1:14" ht="13.5" thickBot="1">
      <c r="A234" s="551"/>
      <c r="B234" s="577" t="s">
        <v>929</v>
      </c>
      <c r="C234" s="551"/>
      <c r="D234" s="593"/>
      <c r="E234" s="551"/>
      <c r="F234" s="593"/>
      <c r="G234" s="551"/>
      <c r="H234" s="551"/>
      <c r="I234" s="551"/>
      <c r="J234" s="551"/>
      <c r="K234" s="551"/>
      <c r="L234" s="551"/>
      <c r="M234" s="551"/>
      <c r="N234" s="561"/>
    </row>
    <row r="235" spans="1:14" ht="13.5" thickBot="1">
      <c r="A235" s="551"/>
      <c r="B235" s="577" t="s">
        <v>930</v>
      </c>
      <c r="C235" s="551"/>
      <c r="D235" s="593"/>
      <c r="E235" s="551"/>
      <c r="F235" s="593"/>
      <c r="G235" s="551"/>
      <c r="H235" s="551"/>
      <c r="I235" s="551"/>
      <c r="J235" s="551"/>
      <c r="K235" s="551"/>
      <c r="L235" s="551"/>
      <c r="M235" s="551"/>
      <c r="N235" s="561"/>
    </row>
    <row r="236" spans="1:14" ht="13.5" thickBot="1">
      <c r="A236" s="551"/>
      <c r="B236" s="577" t="s">
        <v>931</v>
      </c>
      <c r="C236" s="551"/>
      <c r="D236" s="593"/>
      <c r="E236" s="551"/>
      <c r="F236" s="593"/>
      <c r="G236" s="551"/>
      <c r="H236" s="551"/>
      <c r="I236" s="551"/>
      <c r="J236" s="551"/>
      <c r="K236" s="551"/>
      <c r="L236" s="551"/>
      <c r="M236" s="551"/>
      <c r="N236" s="561"/>
    </row>
    <row r="237" spans="1:14" ht="13.5" thickBot="1">
      <c r="A237" s="551"/>
      <c r="B237" s="577" t="s">
        <v>932</v>
      </c>
      <c r="C237" s="551"/>
      <c r="D237" s="593"/>
      <c r="E237" s="551"/>
      <c r="F237" s="593"/>
      <c r="G237" s="551"/>
      <c r="H237" s="551"/>
      <c r="I237" s="551"/>
      <c r="J237" s="551"/>
      <c r="K237" s="551"/>
      <c r="L237" s="551"/>
      <c r="M237" s="551"/>
      <c r="N237" s="561"/>
    </row>
    <row r="238" spans="1:14" ht="13.5" thickBot="1">
      <c r="A238" s="551"/>
      <c r="B238" s="577" t="s">
        <v>933</v>
      </c>
      <c r="C238" s="551"/>
      <c r="D238" s="593"/>
      <c r="E238" s="551"/>
      <c r="F238" s="593"/>
      <c r="G238" s="551"/>
      <c r="H238" s="551"/>
      <c r="I238" s="551"/>
      <c r="J238" s="551"/>
      <c r="K238" s="551"/>
      <c r="L238" s="551"/>
      <c r="M238" s="551"/>
      <c r="N238" s="561"/>
    </row>
    <row r="239" spans="1:14" ht="13.5" thickBot="1">
      <c r="A239" s="551"/>
      <c r="B239" s="577" t="s">
        <v>934</v>
      </c>
      <c r="C239" s="551"/>
      <c r="D239" s="593"/>
      <c r="E239" s="551"/>
      <c r="F239" s="593"/>
      <c r="G239" s="551"/>
      <c r="H239" s="551"/>
      <c r="I239" s="551"/>
      <c r="J239" s="551"/>
      <c r="K239" s="551"/>
      <c r="L239" s="551"/>
      <c r="M239" s="551"/>
      <c r="N239" s="561"/>
    </row>
    <row r="240" spans="1:14" ht="13.5" thickBot="1">
      <c r="A240" s="562"/>
      <c r="B240" s="563"/>
      <c r="C240" s="564"/>
      <c r="D240" s="565"/>
      <c r="E240" s="566"/>
      <c r="F240" s="565"/>
      <c r="G240" s="562"/>
      <c r="H240" s="562"/>
      <c r="I240" s="562"/>
      <c r="J240" s="562"/>
      <c r="K240" s="562"/>
      <c r="L240" s="562"/>
      <c r="M240" s="562"/>
      <c r="N240" s="567"/>
    </row>
    <row r="241" spans="1:14" ht="30" customHeight="1" thickTop="1">
      <c r="A241" s="548" t="s">
        <v>935</v>
      </c>
      <c r="B241" s="550"/>
      <c r="C241" s="550"/>
      <c r="D241" s="599"/>
      <c r="E241" s="550"/>
      <c r="F241" s="599"/>
      <c r="G241" s="550"/>
      <c r="H241" s="550"/>
      <c r="I241" s="550"/>
      <c r="J241" s="550"/>
      <c r="K241" s="550"/>
      <c r="L241" s="550"/>
      <c r="M241" s="550"/>
      <c r="N241" s="599"/>
    </row>
    <row r="242" spans="1:14" ht="13.5" thickBot="1">
      <c r="A242" s="551"/>
      <c r="B242" s="551"/>
      <c r="C242" s="551"/>
      <c r="D242" s="561"/>
      <c r="E242" s="551"/>
      <c r="F242" s="561"/>
      <c r="G242" s="551"/>
      <c r="H242" s="551"/>
      <c r="I242" s="551"/>
      <c r="J242" s="551"/>
      <c r="K242" s="551"/>
      <c r="L242" s="551"/>
      <c r="M242" s="551"/>
      <c r="N242" s="561"/>
    </row>
    <row r="243" spans="1:14" ht="13.5" thickBot="1">
      <c r="A243" s="551"/>
      <c r="B243" s="577" t="s">
        <v>929</v>
      </c>
      <c r="C243" s="551"/>
      <c r="D243" s="593"/>
      <c r="E243" s="551"/>
      <c r="F243" s="593"/>
      <c r="G243" s="551"/>
      <c r="H243" s="551"/>
      <c r="I243" s="551"/>
      <c r="J243" s="551"/>
      <c r="K243" s="551"/>
      <c r="L243" s="551"/>
      <c r="M243" s="551"/>
      <c r="N243" s="561"/>
    </row>
    <row r="244" spans="1:14" ht="13.5" thickBot="1">
      <c r="A244" s="551"/>
      <c r="B244" s="577" t="s">
        <v>930</v>
      </c>
      <c r="C244" s="551"/>
      <c r="D244" s="593"/>
      <c r="E244" s="551"/>
      <c r="F244" s="593"/>
      <c r="G244" s="551"/>
      <c r="H244" s="551"/>
      <c r="I244" s="551"/>
      <c r="J244" s="551"/>
      <c r="K244" s="551"/>
      <c r="L244" s="551"/>
      <c r="M244" s="551"/>
      <c r="N244" s="561"/>
    </row>
    <row r="245" spans="1:14" ht="13.5" thickBot="1">
      <c r="A245" s="551"/>
      <c r="B245" s="577" t="s">
        <v>931</v>
      </c>
      <c r="C245" s="551"/>
      <c r="D245" s="593"/>
      <c r="E245" s="551"/>
      <c r="F245" s="593"/>
      <c r="G245" s="551"/>
      <c r="H245" s="551"/>
      <c r="I245" s="551"/>
      <c r="J245" s="551"/>
      <c r="K245" s="551"/>
      <c r="L245" s="551"/>
      <c r="M245" s="551"/>
      <c r="N245" s="561"/>
    </row>
    <row r="246" spans="1:14" ht="13.5" thickBot="1">
      <c r="A246" s="551"/>
      <c r="B246" s="577" t="s">
        <v>932</v>
      </c>
      <c r="C246" s="551"/>
      <c r="D246" s="593"/>
      <c r="E246" s="551"/>
      <c r="F246" s="593"/>
      <c r="G246" s="551"/>
      <c r="H246" s="551"/>
      <c r="I246" s="551"/>
      <c r="J246" s="551"/>
      <c r="K246" s="551"/>
      <c r="L246" s="551"/>
      <c r="M246" s="551"/>
      <c r="N246" s="561"/>
    </row>
    <row r="247" spans="1:14" ht="13.5" thickBot="1">
      <c r="A247" s="551"/>
      <c r="B247" s="577" t="s">
        <v>933</v>
      </c>
      <c r="C247" s="551"/>
      <c r="D247" s="593"/>
      <c r="E247" s="551"/>
      <c r="F247" s="593"/>
      <c r="G247" s="551"/>
      <c r="H247" s="551"/>
      <c r="I247" s="551"/>
      <c r="J247" s="551"/>
      <c r="K247" s="551"/>
      <c r="L247" s="551"/>
      <c r="M247" s="551"/>
      <c r="N247" s="561"/>
    </row>
    <row r="248" spans="1:14" ht="13.5" thickBot="1">
      <c r="A248" s="551"/>
      <c r="B248" s="577" t="s">
        <v>934</v>
      </c>
      <c r="C248" s="551"/>
      <c r="D248" s="593"/>
      <c r="E248" s="551"/>
      <c r="F248" s="593"/>
      <c r="G248" s="551"/>
      <c r="H248" s="551"/>
      <c r="I248" s="551"/>
      <c r="J248" s="551"/>
      <c r="K248" s="551"/>
      <c r="L248" s="551"/>
      <c r="M248" s="551"/>
      <c r="N248" s="561"/>
    </row>
    <row r="249" spans="1:14" ht="13.5" thickBot="1">
      <c r="A249" s="562"/>
      <c r="B249" s="563"/>
      <c r="C249" s="564"/>
      <c r="D249" s="565"/>
      <c r="E249" s="566"/>
      <c r="F249" s="565"/>
      <c r="G249" s="562"/>
      <c r="H249" s="562"/>
      <c r="I249" s="562"/>
      <c r="J249" s="562"/>
      <c r="K249" s="562"/>
      <c r="L249" s="562"/>
      <c r="M249" s="562"/>
      <c r="N249" s="567"/>
    </row>
    <row r="250" spans="1:14" ht="30" customHeight="1" thickTop="1">
      <c r="A250" s="548" t="s">
        <v>936</v>
      </c>
      <c r="B250" s="550"/>
      <c r="C250" s="550"/>
      <c r="D250" s="599"/>
      <c r="E250" s="550"/>
      <c r="F250" s="599"/>
      <c r="G250" s="550"/>
      <c r="H250" s="550"/>
      <c r="I250" s="550"/>
      <c r="J250" s="550"/>
      <c r="K250" s="550"/>
      <c r="L250" s="550"/>
      <c r="M250" s="550"/>
      <c r="N250" s="599"/>
    </row>
    <row r="251" spans="1:14" ht="13.5" thickBot="1">
      <c r="A251" s="551"/>
      <c r="B251" s="551"/>
      <c r="C251" s="551"/>
      <c r="D251" s="561"/>
      <c r="E251" s="551"/>
      <c r="F251" s="561"/>
      <c r="G251" s="551"/>
      <c r="H251" s="551"/>
      <c r="I251" s="551"/>
      <c r="J251" s="551"/>
      <c r="K251" s="551"/>
      <c r="L251" s="551"/>
      <c r="M251" s="551"/>
      <c r="N251" s="561"/>
    </row>
    <row r="252" spans="1:14" ht="13.5" thickBot="1">
      <c r="A252" s="551"/>
      <c r="B252" s="577" t="s">
        <v>929</v>
      </c>
      <c r="C252" s="551"/>
      <c r="D252" s="578"/>
      <c r="E252" s="551"/>
      <c r="F252" s="578"/>
      <c r="G252" s="551"/>
      <c r="H252" s="551"/>
      <c r="I252" s="551"/>
      <c r="J252" s="551"/>
      <c r="K252" s="551"/>
      <c r="L252" s="551"/>
      <c r="M252" s="551"/>
      <c r="N252" s="561"/>
    </row>
    <row r="253" spans="1:14" ht="13.5" thickBot="1">
      <c r="A253" s="551"/>
      <c r="B253" s="577" t="s">
        <v>930</v>
      </c>
      <c r="C253" s="551"/>
      <c r="D253" s="578"/>
      <c r="E253" s="551"/>
      <c r="F253" s="578"/>
      <c r="G253" s="551"/>
      <c r="H253" s="551"/>
      <c r="I253" s="551"/>
      <c r="J253" s="551"/>
      <c r="K253" s="551"/>
      <c r="L253" s="551"/>
      <c r="M253" s="551"/>
      <c r="N253" s="561"/>
    </row>
    <row r="254" spans="1:14" ht="13.5" thickBot="1">
      <c r="A254" s="551"/>
      <c r="B254" s="577" t="s">
        <v>931</v>
      </c>
      <c r="C254" s="551"/>
      <c r="D254" s="578"/>
      <c r="E254" s="551"/>
      <c r="F254" s="578"/>
      <c r="G254" s="551"/>
      <c r="H254" s="551"/>
      <c r="I254" s="551"/>
      <c r="J254" s="551"/>
      <c r="K254" s="551"/>
      <c r="L254" s="551"/>
      <c r="M254" s="551"/>
      <c r="N254" s="561"/>
    </row>
    <row r="255" spans="1:14" ht="13.5" thickBot="1">
      <c r="A255" s="551"/>
      <c r="B255" s="577" t="s">
        <v>932</v>
      </c>
      <c r="C255" s="551"/>
      <c r="D255" s="578"/>
      <c r="E255" s="551"/>
      <c r="F255" s="578"/>
      <c r="G255" s="551"/>
      <c r="H255" s="551"/>
      <c r="I255" s="551"/>
      <c r="J255" s="551"/>
      <c r="K255" s="551"/>
      <c r="L255" s="551"/>
      <c r="M255" s="551"/>
      <c r="N255" s="561"/>
    </row>
    <row r="256" spans="1:14" ht="13.5" thickBot="1">
      <c r="A256" s="551"/>
      <c r="B256" s="577" t="s">
        <v>933</v>
      </c>
      <c r="C256" s="551"/>
      <c r="D256" s="578"/>
      <c r="E256" s="551"/>
      <c r="F256" s="578"/>
      <c r="G256" s="551"/>
      <c r="H256" s="551"/>
      <c r="I256" s="551"/>
      <c r="J256" s="551"/>
      <c r="K256" s="551"/>
      <c r="L256" s="551"/>
      <c r="M256" s="551"/>
      <c r="N256" s="561"/>
    </row>
    <row r="257" spans="1:16" ht="13.5" thickBot="1">
      <c r="A257" s="551"/>
      <c r="B257" s="577" t="s">
        <v>934</v>
      </c>
      <c r="C257" s="551"/>
      <c r="D257" s="578"/>
      <c r="E257" s="551"/>
      <c r="F257" s="578"/>
      <c r="G257" s="551"/>
      <c r="H257" s="551"/>
      <c r="I257" s="551"/>
      <c r="J257" s="551"/>
      <c r="K257" s="551"/>
      <c r="L257" s="551"/>
      <c r="M257" s="551"/>
      <c r="N257" s="561"/>
    </row>
    <row r="258" spans="1:16" ht="13.5" thickBot="1">
      <c r="A258" s="562"/>
      <c r="B258" s="563"/>
      <c r="C258" s="564"/>
      <c r="D258" s="565"/>
      <c r="E258" s="566"/>
      <c r="F258" s="565"/>
      <c r="G258" s="562"/>
      <c r="H258" s="562"/>
      <c r="I258" s="562"/>
      <c r="J258" s="562"/>
      <c r="K258" s="562"/>
      <c r="L258" s="562"/>
      <c r="M258" s="562"/>
      <c r="N258" s="567"/>
    </row>
    <row r="259" spans="1:16" ht="30" customHeight="1" thickTop="1">
      <c r="A259" s="548" t="s">
        <v>937</v>
      </c>
      <c r="B259" s="550"/>
      <c r="C259" s="550"/>
      <c r="D259" s="599"/>
      <c r="E259" s="550"/>
      <c r="F259" s="599"/>
      <c r="G259" s="550"/>
      <c r="H259" s="550"/>
      <c r="I259" s="550"/>
      <c r="J259" s="550"/>
      <c r="K259" s="550"/>
      <c r="L259" s="550"/>
      <c r="M259" s="550"/>
      <c r="N259" s="599"/>
    </row>
    <row r="260" spans="1:16" ht="13.5" thickBot="1">
      <c r="A260" s="551"/>
      <c r="B260" s="551"/>
      <c r="C260" s="551"/>
      <c r="D260" s="561"/>
      <c r="E260" s="551"/>
      <c r="F260" s="561"/>
      <c r="G260" s="551"/>
      <c r="H260" s="551"/>
      <c r="I260" s="551"/>
      <c r="J260" s="551"/>
      <c r="K260" s="551"/>
      <c r="L260" s="551"/>
      <c r="M260" s="551"/>
      <c r="N260" s="561"/>
    </row>
    <row r="261" spans="1:16" ht="13.5" thickBot="1">
      <c r="A261" s="551"/>
      <c r="B261" s="577" t="s">
        <v>929</v>
      </c>
      <c r="C261" s="551"/>
      <c r="D261" s="578"/>
      <c r="E261" s="551"/>
      <c r="F261" s="578"/>
      <c r="G261" s="551"/>
      <c r="H261" s="551"/>
      <c r="I261" s="551"/>
      <c r="J261" s="551"/>
      <c r="K261" s="551"/>
      <c r="L261" s="551"/>
      <c r="M261" s="551"/>
      <c r="N261" s="561"/>
    </row>
    <row r="262" spans="1:16" ht="13.5" thickBot="1">
      <c r="A262" s="551"/>
      <c r="B262" s="577" t="s">
        <v>930</v>
      </c>
      <c r="C262" s="551"/>
      <c r="D262" s="578"/>
      <c r="E262" s="551"/>
      <c r="F262" s="578"/>
      <c r="G262" s="551"/>
      <c r="H262" s="551"/>
      <c r="I262" s="551"/>
      <c r="J262" s="551"/>
      <c r="K262" s="551"/>
      <c r="L262" s="551"/>
      <c r="M262" s="551"/>
      <c r="N262" s="561"/>
    </row>
    <row r="263" spans="1:16" ht="13.5" thickBot="1">
      <c r="A263" s="551"/>
      <c r="B263" s="577" t="s">
        <v>931</v>
      </c>
      <c r="C263" s="551"/>
      <c r="D263" s="578"/>
      <c r="E263" s="551"/>
      <c r="F263" s="578"/>
      <c r="G263" s="551"/>
      <c r="H263" s="551"/>
      <c r="I263" s="551"/>
      <c r="J263" s="551"/>
      <c r="K263" s="551"/>
      <c r="L263" s="551"/>
      <c r="M263" s="551"/>
      <c r="N263" s="561"/>
    </row>
    <row r="264" spans="1:16" ht="13.5" thickBot="1">
      <c r="A264" s="551"/>
      <c r="B264" s="577" t="s">
        <v>932</v>
      </c>
      <c r="C264" s="551"/>
      <c r="D264" s="578"/>
      <c r="E264" s="551"/>
      <c r="F264" s="578"/>
      <c r="G264" s="551"/>
      <c r="H264" s="551"/>
      <c r="I264" s="551"/>
      <c r="J264" s="551"/>
      <c r="K264" s="551"/>
      <c r="L264" s="551"/>
      <c r="M264" s="551"/>
      <c r="N264" s="561"/>
    </row>
    <row r="265" spans="1:16" ht="13.5" thickBot="1">
      <c r="A265" s="551"/>
      <c r="B265" s="577" t="s">
        <v>933</v>
      </c>
      <c r="C265" s="551"/>
      <c r="D265" s="578"/>
      <c r="E265" s="551"/>
      <c r="F265" s="578"/>
      <c r="G265" s="551"/>
      <c r="H265" s="551"/>
      <c r="I265" s="551"/>
      <c r="J265" s="551"/>
      <c r="K265" s="551"/>
      <c r="L265" s="551"/>
      <c r="M265" s="551"/>
      <c r="N265" s="561"/>
    </row>
    <row r="266" spans="1:16" ht="13.5" thickBot="1">
      <c r="A266" s="551"/>
      <c r="B266" s="577" t="s">
        <v>934</v>
      </c>
      <c r="C266" s="551"/>
      <c r="D266" s="578"/>
      <c r="E266" s="551"/>
      <c r="F266" s="578"/>
      <c r="G266" s="551"/>
      <c r="H266" s="551"/>
      <c r="I266" s="551"/>
      <c r="J266" s="551"/>
      <c r="K266" s="551"/>
      <c r="L266" s="551"/>
      <c r="M266" s="551"/>
      <c r="N266" s="561"/>
    </row>
    <row r="267" spans="1:16">
      <c r="A267" s="551"/>
      <c r="B267" s="551"/>
      <c r="C267" s="551"/>
      <c r="D267" s="561"/>
      <c r="E267" s="551"/>
      <c r="F267" s="561"/>
      <c r="G267" s="551"/>
      <c r="H267" s="551"/>
      <c r="I267" s="551"/>
      <c r="J267" s="551"/>
      <c r="K267" s="551"/>
      <c r="L267" s="551"/>
      <c r="M267" s="551"/>
      <c r="N267" s="561"/>
    </row>
    <row r="268" spans="1:16" hidden="1">
      <c r="I268" s="600"/>
      <c r="P268" s="556" t="s">
        <v>938</v>
      </c>
    </row>
    <row r="269" spans="1:16" ht="15.75" hidden="1">
      <c r="A269" s="601" t="s">
        <v>939</v>
      </c>
      <c r="I269" s="600"/>
      <c r="P269" s="602" t="s">
        <v>940</v>
      </c>
    </row>
    <row r="270" spans="1:16" ht="13.5" hidden="1" thickBot="1">
      <c r="A270" s="603"/>
      <c r="B270" s="604"/>
      <c r="C270" s="605"/>
      <c r="D270" s="606"/>
      <c r="E270" s="607"/>
      <c r="F270" s="606"/>
      <c r="G270" s="603"/>
      <c r="H270" s="603"/>
      <c r="I270" s="608"/>
      <c r="K270" s="603"/>
      <c r="L270" s="603"/>
      <c r="M270" s="603"/>
      <c r="N270" s="608"/>
      <c r="P270" s="602" t="s">
        <v>940</v>
      </c>
    </row>
    <row r="271" spans="1:16" ht="30" hidden="1" customHeight="1" thickTop="1">
      <c r="A271" s="548" t="s">
        <v>941</v>
      </c>
      <c r="B271" s="550"/>
      <c r="C271" s="550"/>
      <c r="D271" s="599"/>
      <c r="E271" s="550"/>
      <c r="F271" s="599"/>
      <c r="G271" s="550"/>
      <c r="H271" s="550"/>
      <c r="I271" s="599"/>
      <c r="K271" s="550"/>
      <c r="L271" s="550"/>
      <c r="M271" s="550"/>
      <c r="N271" s="599"/>
      <c r="P271" s="602" t="s">
        <v>940</v>
      </c>
    </row>
    <row r="272" spans="1:16" hidden="1">
      <c r="I272" s="600"/>
      <c r="P272" s="602" t="s">
        <v>940</v>
      </c>
    </row>
    <row r="273" spans="1:16" hidden="1">
      <c r="A273" s="609" t="s">
        <v>942</v>
      </c>
      <c r="I273" s="600"/>
      <c r="P273" s="602" t="s">
        <v>940</v>
      </c>
    </row>
    <row r="274" spans="1:16" hidden="1">
      <c r="B274" s="610" t="s">
        <v>943</v>
      </c>
      <c r="I274" s="600"/>
      <c r="P274" s="602" t="s">
        <v>940</v>
      </c>
    </row>
    <row r="275" spans="1:16" hidden="1">
      <c r="B275" s="610" t="s">
        <v>944</v>
      </c>
      <c r="I275" s="600"/>
      <c r="P275" s="602" t="s">
        <v>940</v>
      </c>
    </row>
    <row r="276" spans="1:16" hidden="1">
      <c r="B276" s="610" t="s">
        <v>945</v>
      </c>
      <c r="I276" s="600"/>
      <c r="P276" s="602" t="s">
        <v>940</v>
      </c>
    </row>
    <row r="277" spans="1:16" hidden="1">
      <c r="B277" s="610" t="s">
        <v>946</v>
      </c>
      <c r="I277" s="600"/>
      <c r="P277" s="602" t="s">
        <v>940</v>
      </c>
    </row>
    <row r="278" spans="1:16" hidden="1">
      <c r="B278" s="610" t="s">
        <v>947</v>
      </c>
      <c r="I278" s="600"/>
      <c r="P278" s="602" t="s">
        <v>940</v>
      </c>
    </row>
    <row r="279" spans="1:16" hidden="1">
      <c r="B279" s="610" t="s">
        <v>948</v>
      </c>
      <c r="I279" s="600"/>
      <c r="P279" s="602" t="s">
        <v>940</v>
      </c>
    </row>
    <row r="280" spans="1:16" hidden="1">
      <c r="B280" s="610" t="s">
        <v>949</v>
      </c>
      <c r="I280" s="600"/>
      <c r="P280" s="602" t="s">
        <v>940</v>
      </c>
    </row>
    <row r="281" spans="1:16" hidden="1">
      <c r="B281" s="610" t="s">
        <v>950</v>
      </c>
      <c r="I281" s="600"/>
      <c r="P281" s="602" t="s">
        <v>940</v>
      </c>
    </row>
    <row r="282" spans="1:16" hidden="1">
      <c r="B282" s="610" t="s">
        <v>951</v>
      </c>
      <c r="I282" s="600"/>
      <c r="P282" s="602" t="s">
        <v>940</v>
      </c>
    </row>
    <row r="283" spans="1:16" hidden="1">
      <c r="B283" s="610" t="s">
        <v>952</v>
      </c>
      <c r="I283" s="600"/>
      <c r="P283" s="602" t="s">
        <v>940</v>
      </c>
    </row>
    <row r="284" spans="1:16" hidden="1">
      <c r="B284" s="610" t="s">
        <v>953</v>
      </c>
      <c r="I284" s="600"/>
      <c r="P284" s="602" t="s">
        <v>940</v>
      </c>
    </row>
    <row r="285" spans="1:16" hidden="1">
      <c r="B285" s="610" t="s">
        <v>954</v>
      </c>
      <c r="I285" s="600"/>
      <c r="P285" s="602" t="s">
        <v>940</v>
      </c>
    </row>
    <row r="286" spans="1:16" hidden="1">
      <c r="I286" s="600"/>
      <c r="P286" s="602" t="s">
        <v>940</v>
      </c>
    </row>
    <row r="287" spans="1:16" hidden="1">
      <c r="A287" s="609" t="s">
        <v>955</v>
      </c>
      <c r="I287" s="600"/>
      <c r="P287" s="602" t="s">
        <v>940</v>
      </c>
    </row>
    <row r="288" spans="1:16" hidden="1">
      <c r="B288" s="610" t="s">
        <v>956</v>
      </c>
      <c r="I288" s="600"/>
      <c r="P288" s="602" t="s">
        <v>940</v>
      </c>
    </row>
    <row r="289" spans="1:16" hidden="1">
      <c r="B289" s="610" t="s">
        <v>957</v>
      </c>
      <c r="I289" s="600"/>
      <c r="P289" s="602" t="s">
        <v>940</v>
      </c>
    </row>
    <row r="290" spans="1:16" hidden="1">
      <c r="B290" s="610" t="s">
        <v>958</v>
      </c>
      <c r="I290" s="600"/>
      <c r="P290" s="602" t="s">
        <v>940</v>
      </c>
    </row>
    <row r="291" spans="1:16" hidden="1">
      <c r="B291" s="610" t="s">
        <v>959</v>
      </c>
      <c r="I291" s="600"/>
      <c r="P291" s="602" t="s">
        <v>940</v>
      </c>
    </row>
    <row r="292" spans="1:16" hidden="1">
      <c r="I292" s="600"/>
      <c r="P292" s="602" t="s">
        <v>940</v>
      </c>
    </row>
    <row r="293" spans="1:16" hidden="1">
      <c r="A293" s="609" t="s">
        <v>960</v>
      </c>
      <c r="I293" s="600"/>
      <c r="P293" s="602" t="s">
        <v>940</v>
      </c>
    </row>
    <row r="294" spans="1:16" hidden="1">
      <c r="B294" s="610" t="s">
        <v>961</v>
      </c>
      <c r="I294" s="600"/>
      <c r="P294" s="602" t="s">
        <v>940</v>
      </c>
    </row>
    <row r="295" spans="1:16" hidden="1">
      <c r="B295" s="610" t="s">
        <v>919</v>
      </c>
      <c r="I295" s="600"/>
      <c r="P295" s="602" t="s">
        <v>940</v>
      </c>
    </row>
    <row r="296" spans="1:16" hidden="1">
      <c r="B296" s="610"/>
      <c r="I296" s="600"/>
      <c r="P296" s="602" t="s">
        <v>940</v>
      </c>
    </row>
    <row r="297" spans="1:16" hidden="1">
      <c r="B297" s="610"/>
      <c r="I297" s="600"/>
      <c r="P297" s="602" t="s">
        <v>940</v>
      </c>
    </row>
    <row r="298" spans="1:16" ht="13.5" hidden="1" thickBot="1">
      <c r="A298" s="603"/>
      <c r="B298" s="604"/>
      <c r="C298" s="605"/>
      <c r="D298" s="606"/>
      <c r="E298" s="607"/>
      <c r="F298" s="606"/>
      <c r="G298" s="603"/>
      <c r="H298" s="603"/>
      <c r="I298" s="608"/>
      <c r="K298" s="603"/>
      <c r="L298" s="603"/>
      <c r="M298" s="603"/>
      <c r="N298" s="608"/>
      <c r="P298" s="602" t="s">
        <v>940</v>
      </c>
    </row>
    <row r="299" spans="1:16" ht="30" hidden="1" customHeight="1" thickTop="1">
      <c r="A299" s="548" t="s">
        <v>962</v>
      </c>
      <c r="B299" s="550"/>
      <c r="C299" s="550"/>
      <c r="D299" s="599"/>
      <c r="E299" s="550"/>
      <c r="F299" s="599"/>
      <c r="G299" s="550"/>
      <c r="H299" s="550"/>
      <c r="I299" s="599"/>
      <c r="K299" s="550"/>
      <c r="L299" s="550"/>
      <c r="M299" s="550"/>
      <c r="N299" s="599"/>
      <c r="P299" s="602" t="s">
        <v>940</v>
      </c>
    </row>
    <row r="300" spans="1:16" hidden="1">
      <c r="A300" s="611"/>
      <c r="B300" s="611"/>
      <c r="C300" s="611"/>
      <c r="D300" s="612"/>
      <c r="E300" s="611"/>
      <c r="F300" s="612"/>
      <c r="G300" s="611"/>
      <c r="H300" s="611"/>
      <c r="I300" s="612"/>
      <c r="M300" s="611"/>
      <c r="N300" s="612"/>
      <c r="P300" s="602" t="s">
        <v>940</v>
      </c>
    </row>
    <row r="301" spans="1:16" hidden="1">
      <c r="A301" s="609" t="s">
        <v>963</v>
      </c>
      <c r="I301" s="600"/>
      <c r="K301" s="613"/>
      <c r="L301" s="613"/>
      <c r="P301" s="602" t="s">
        <v>940</v>
      </c>
    </row>
    <row r="302" spans="1:16" hidden="1">
      <c r="I302" s="600"/>
      <c r="P302" s="602" t="s">
        <v>940</v>
      </c>
    </row>
    <row r="303" spans="1:16" hidden="1">
      <c r="B303" s="556" t="s">
        <v>964</v>
      </c>
      <c r="D303" s="614">
        <f>IF(AND(ISNUMBER(D21),D21&lt;&gt;0),D21,9999999)</f>
        <v>9999999</v>
      </c>
      <c r="F303" s="614">
        <f>IF(AND(ISNUMBER(F21),F21&lt;&gt;0),F21,9999999)</f>
        <v>9999999</v>
      </c>
      <c r="H303" s="556" t="s">
        <v>898</v>
      </c>
      <c r="I303" s="600"/>
      <c r="N303" s="556"/>
      <c r="P303" s="602" t="s">
        <v>940</v>
      </c>
    </row>
    <row r="304" spans="1:16" hidden="1">
      <c r="B304" s="556" t="s">
        <v>965</v>
      </c>
      <c r="D304" s="614">
        <f t="shared" ref="D304:F306" si="0">IF(AND(ISNUMBER(D22),D22&lt;&gt;0),D22,9999999)</f>
        <v>9999999</v>
      </c>
      <c r="F304" s="614">
        <f t="shared" si="0"/>
        <v>9999999</v>
      </c>
      <c r="H304" s="556" t="s">
        <v>898</v>
      </c>
      <c r="I304" s="600"/>
      <c r="N304" s="556"/>
      <c r="P304" s="602" t="s">
        <v>940</v>
      </c>
    </row>
    <row r="305" spans="2:16" hidden="1">
      <c r="B305" s="556" t="s">
        <v>966</v>
      </c>
      <c r="D305" s="614">
        <f t="shared" si="0"/>
        <v>9999999</v>
      </c>
      <c r="F305" s="614">
        <f t="shared" si="0"/>
        <v>9999999</v>
      </c>
      <c r="H305" s="556" t="s">
        <v>898</v>
      </c>
      <c r="I305" s="600"/>
      <c r="N305" s="556"/>
      <c r="P305" s="602" t="s">
        <v>940</v>
      </c>
    </row>
    <row r="306" spans="2:16" hidden="1">
      <c r="B306" s="556" t="s">
        <v>967</v>
      </c>
      <c r="D306" s="614">
        <f t="shared" si="0"/>
        <v>9999999</v>
      </c>
      <c r="F306" s="614">
        <f t="shared" si="0"/>
        <v>9999999</v>
      </c>
      <c r="H306" s="556" t="s">
        <v>898</v>
      </c>
      <c r="I306" s="600"/>
      <c r="N306" s="556"/>
      <c r="P306" s="602" t="s">
        <v>940</v>
      </c>
    </row>
    <row r="307" spans="2:16" hidden="1">
      <c r="I307" s="600"/>
      <c r="N307" s="556"/>
      <c r="P307" s="602" t="s">
        <v>940</v>
      </c>
    </row>
    <row r="308" spans="2:16" hidden="1">
      <c r="B308" s="556" t="s">
        <v>968</v>
      </c>
      <c r="D308" s="556">
        <v>1500</v>
      </c>
      <c r="F308" s="556">
        <f>D308</f>
        <v>1500</v>
      </c>
      <c r="H308" s="556" t="s">
        <v>898</v>
      </c>
      <c r="I308" s="600"/>
      <c r="N308" s="556"/>
      <c r="P308" s="602" t="s">
        <v>940</v>
      </c>
    </row>
    <row r="309" spans="2:16" hidden="1">
      <c r="I309" s="600"/>
      <c r="N309" s="556"/>
      <c r="P309" s="602" t="s">
        <v>940</v>
      </c>
    </row>
    <row r="310" spans="2:16" hidden="1">
      <c r="B310" s="556" t="s">
        <v>969</v>
      </c>
      <c r="D310" s="615">
        <f>MIN(D308,D303)</f>
        <v>1500</v>
      </c>
      <c r="F310" s="615">
        <f>MIN(F308,F303)</f>
        <v>1500</v>
      </c>
      <c r="H310" s="556" t="s">
        <v>898</v>
      </c>
      <c r="I310" s="600"/>
      <c r="K310" s="615"/>
      <c r="L310" s="615"/>
      <c r="M310" s="615"/>
      <c r="N310" s="556"/>
      <c r="P310" s="602" t="s">
        <v>940</v>
      </c>
    </row>
    <row r="311" spans="2:16" hidden="1">
      <c r="B311" s="556" t="s">
        <v>970</v>
      </c>
      <c r="D311" s="615">
        <f>MIN(D308-D310,D304)</f>
        <v>0</v>
      </c>
      <c r="F311" s="615">
        <f>MIN(F308-F310,F304)</f>
        <v>0</v>
      </c>
      <c r="H311" s="556" t="s">
        <v>898</v>
      </c>
      <c r="I311" s="600"/>
      <c r="K311" s="615"/>
      <c r="L311" s="615"/>
      <c r="M311" s="615"/>
      <c r="N311" s="556"/>
      <c r="P311" s="602" t="s">
        <v>940</v>
      </c>
    </row>
    <row r="312" spans="2:16" hidden="1">
      <c r="B312" s="556" t="s">
        <v>971</v>
      </c>
      <c r="D312" s="615">
        <f>MIN(D308-(D310+D311),D305)</f>
        <v>0</v>
      </c>
      <c r="F312" s="615">
        <f>MIN(F308-(F310+F311),F305)</f>
        <v>0</v>
      </c>
      <c r="H312" s="556" t="s">
        <v>898</v>
      </c>
      <c r="I312" s="600"/>
      <c r="K312" s="615"/>
      <c r="L312" s="615"/>
      <c r="M312" s="615"/>
      <c r="N312" s="556"/>
      <c r="P312" s="602" t="s">
        <v>940</v>
      </c>
    </row>
    <row r="313" spans="2:16" hidden="1">
      <c r="B313" s="556" t="s">
        <v>972</v>
      </c>
      <c r="D313" s="615">
        <f>MIN(D308-(D310+D311+D312),D306)</f>
        <v>0</v>
      </c>
      <c r="F313" s="615">
        <f>MIN(F308-(F310+F311+F312),F306)</f>
        <v>0</v>
      </c>
      <c r="H313" s="556" t="s">
        <v>898</v>
      </c>
      <c r="I313" s="600"/>
      <c r="K313" s="615"/>
      <c r="L313" s="615"/>
      <c r="M313" s="615"/>
      <c r="N313" s="556"/>
      <c r="P313" s="602" t="s">
        <v>940</v>
      </c>
    </row>
    <row r="314" spans="2:16" hidden="1">
      <c r="I314" s="600"/>
      <c r="N314" s="556"/>
      <c r="P314" s="602" t="s">
        <v>940</v>
      </c>
    </row>
    <row r="315" spans="2:16" hidden="1">
      <c r="B315" s="556" t="s">
        <v>973</v>
      </c>
      <c r="D315" s="616">
        <f>D310*D26</f>
        <v>0</v>
      </c>
      <c r="E315" s="616"/>
      <c r="F315" s="616">
        <f>F310*F26</f>
        <v>0</v>
      </c>
      <c r="H315" s="556" t="s">
        <v>974</v>
      </c>
      <c r="I315" s="600"/>
      <c r="L315" s="616"/>
      <c r="M315" s="616"/>
      <c r="N315" s="556"/>
      <c r="P315" s="602" t="s">
        <v>940</v>
      </c>
    </row>
    <row r="316" spans="2:16" hidden="1">
      <c r="B316" s="556" t="s">
        <v>975</v>
      </c>
      <c r="D316" s="616">
        <f>D311*D27</f>
        <v>0</v>
      </c>
      <c r="E316" s="616"/>
      <c r="F316" s="616">
        <f>F311*F27</f>
        <v>0</v>
      </c>
      <c r="H316" s="556" t="s">
        <v>974</v>
      </c>
      <c r="I316" s="600"/>
      <c r="L316" s="616"/>
      <c r="M316" s="616"/>
      <c r="N316" s="556"/>
      <c r="P316" s="602" t="s">
        <v>940</v>
      </c>
    </row>
    <row r="317" spans="2:16" hidden="1">
      <c r="B317" s="556" t="s">
        <v>976</v>
      </c>
      <c r="D317" s="616">
        <f>D312*D28</f>
        <v>0</v>
      </c>
      <c r="E317" s="616"/>
      <c r="F317" s="616">
        <f>F312*F28</f>
        <v>0</v>
      </c>
      <c r="H317" s="556" t="s">
        <v>974</v>
      </c>
      <c r="I317" s="600"/>
      <c r="L317" s="616"/>
      <c r="M317" s="616"/>
      <c r="N317" s="556"/>
      <c r="P317" s="602" t="s">
        <v>940</v>
      </c>
    </row>
    <row r="318" spans="2:16" hidden="1">
      <c r="B318" s="556" t="s">
        <v>977</v>
      </c>
      <c r="D318" s="616">
        <f>D313*D29</f>
        <v>0</v>
      </c>
      <c r="E318" s="616"/>
      <c r="F318" s="616">
        <f>F313*F29</f>
        <v>0</v>
      </c>
      <c r="H318" s="556" t="s">
        <v>974</v>
      </c>
      <c r="I318" s="600"/>
      <c r="L318" s="616"/>
      <c r="M318" s="616"/>
      <c r="N318" s="556"/>
      <c r="P318" s="602" t="s">
        <v>940</v>
      </c>
    </row>
    <row r="319" spans="2:16" hidden="1">
      <c r="I319" s="600"/>
      <c r="N319" s="556"/>
      <c r="P319" s="602" t="s">
        <v>940</v>
      </c>
    </row>
    <row r="320" spans="2:16" hidden="1">
      <c r="B320" s="556" t="s">
        <v>978</v>
      </c>
      <c r="D320" s="616">
        <f>D18</f>
        <v>0</v>
      </c>
      <c r="E320" s="616"/>
      <c r="F320" s="616">
        <f>F18</f>
        <v>0</v>
      </c>
      <c r="H320" s="556" t="s">
        <v>974</v>
      </c>
      <c r="I320" s="600"/>
      <c r="L320" s="616"/>
      <c r="M320" s="616"/>
      <c r="N320" s="556"/>
      <c r="P320" s="602" t="s">
        <v>940</v>
      </c>
    </row>
    <row r="321" spans="2:16" hidden="1">
      <c r="B321" s="556" t="s">
        <v>979</v>
      </c>
      <c r="D321" s="616">
        <f>D42*D308</f>
        <v>0</v>
      </c>
      <c r="E321" s="616"/>
      <c r="F321" s="616">
        <f>F42*F308</f>
        <v>0</v>
      </c>
      <c r="H321" s="556" t="s">
        <v>974</v>
      </c>
      <c r="I321" s="600"/>
      <c r="L321" s="616"/>
      <c r="M321" s="616"/>
      <c r="N321" s="556"/>
      <c r="P321" s="602" t="s">
        <v>940</v>
      </c>
    </row>
    <row r="322" spans="2:16" hidden="1">
      <c r="B322" s="556" t="s">
        <v>980</v>
      </c>
      <c r="D322" s="616">
        <f>SUM(D315:D321)</f>
        <v>0</v>
      </c>
      <c r="E322" s="616"/>
      <c r="F322" s="616">
        <f>SUM(F315:F321)</f>
        <v>0</v>
      </c>
      <c r="H322" s="556" t="s">
        <v>974</v>
      </c>
      <c r="I322" s="600"/>
      <c r="L322" s="616"/>
      <c r="M322" s="616"/>
      <c r="N322" s="556"/>
      <c r="P322" s="602" t="s">
        <v>940</v>
      </c>
    </row>
    <row r="323" spans="2:16" hidden="1">
      <c r="B323" s="556" t="s">
        <v>981</v>
      </c>
      <c r="D323" s="616">
        <f>D322*D44/100</f>
        <v>0</v>
      </c>
      <c r="E323" s="616"/>
      <c r="F323" s="616">
        <f>F322*F44/100</f>
        <v>0</v>
      </c>
      <c r="H323" s="556" t="s">
        <v>974</v>
      </c>
      <c r="I323" s="600"/>
      <c r="L323" s="616"/>
      <c r="N323" s="556"/>
      <c r="P323" s="602" t="s">
        <v>940</v>
      </c>
    </row>
    <row r="324" spans="2:16" hidden="1">
      <c r="B324" s="556" t="s">
        <v>982</v>
      </c>
      <c r="D324" s="616">
        <f>SUM(D322:D323)</f>
        <v>0</v>
      </c>
      <c r="E324" s="616"/>
      <c r="F324" s="616">
        <f>SUM(F322:F323)</f>
        <v>0</v>
      </c>
      <c r="H324" s="556" t="s">
        <v>974</v>
      </c>
      <c r="I324" s="600"/>
      <c r="L324" s="616"/>
      <c r="M324" s="616"/>
      <c r="N324" s="556"/>
      <c r="P324" s="602" t="s">
        <v>940</v>
      </c>
    </row>
    <row r="325" spans="2:16" hidden="1">
      <c r="D325" s="616"/>
      <c r="F325" s="616"/>
      <c r="I325" s="600"/>
      <c r="N325" s="556"/>
      <c r="P325" s="602" t="s">
        <v>940</v>
      </c>
    </row>
    <row r="326" spans="2:16" hidden="1">
      <c r="B326" s="556" t="s">
        <v>983</v>
      </c>
      <c r="D326" s="615">
        <f>D16-D13+1</f>
        <v>12</v>
      </c>
      <c r="E326" s="615"/>
      <c r="F326" s="615">
        <f>F16-F13+1</f>
        <v>12</v>
      </c>
      <c r="I326" s="600"/>
      <c r="N326" s="556"/>
      <c r="P326" s="602" t="s">
        <v>940</v>
      </c>
    </row>
    <row r="327" spans="2:16" hidden="1">
      <c r="I327" s="600"/>
      <c r="N327" s="556"/>
      <c r="P327" s="602" t="s">
        <v>940</v>
      </c>
    </row>
    <row r="328" spans="2:16" hidden="1">
      <c r="I328" s="600"/>
      <c r="N328" s="556"/>
      <c r="P328" s="602" t="s">
        <v>940</v>
      </c>
    </row>
    <row r="329" spans="2:16" hidden="1">
      <c r="B329" s="556" t="s">
        <v>984</v>
      </c>
      <c r="D329" s="614">
        <f>IF(AND(ISNUMBER(D32),D32&lt;&gt;0),D32,9999999)</f>
        <v>9999999</v>
      </c>
      <c r="F329" s="614">
        <f>IF(AND(ISNUMBER(F32),F32&lt;&gt;0),F32,9999999)</f>
        <v>9999999</v>
      </c>
      <c r="H329" s="556" t="s">
        <v>898</v>
      </c>
      <c r="I329" s="600"/>
      <c r="N329" s="556"/>
      <c r="P329" s="602" t="s">
        <v>940</v>
      </c>
    </row>
    <row r="330" spans="2:16" hidden="1">
      <c r="B330" s="556" t="s">
        <v>985</v>
      </c>
      <c r="D330" s="614">
        <f t="shared" ref="D330:F332" si="1">IF(AND(ISNUMBER(D33),D33&lt;&gt;0),D33,9999999)</f>
        <v>9999999</v>
      </c>
      <c r="F330" s="614">
        <f t="shared" si="1"/>
        <v>9999999</v>
      </c>
      <c r="H330" s="556" t="s">
        <v>898</v>
      </c>
      <c r="I330" s="600"/>
      <c r="N330" s="556"/>
      <c r="P330" s="602" t="s">
        <v>940</v>
      </c>
    </row>
    <row r="331" spans="2:16" hidden="1">
      <c r="B331" s="556" t="s">
        <v>986</v>
      </c>
      <c r="D331" s="614">
        <f t="shared" si="1"/>
        <v>9999999</v>
      </c>
      <c r="F331" s="614">
        <f t="shared" si="1"/>
        <v>9999999</v>
      </c>
      <c r="H331" s="556" t="s">
        <v>898</v>
      </c>
      <c r="I331" s="600"/>
      <c r="N331" s="556"/>
      <c r="P331" s="602" t="s">
        <v>940</v>
      </c>
    </row>
    <row r="332" spans="2:16" hidden="1">
      <c r="B332" s="556" t="s">
        <v>987</v>
      </c>
      <c r="D332" s="614">
        <f t="shared" si="1"/>
        <v>9999999</v>
      </c>
      <c r="F332" s="614">
        <f t="shared" si="1"/>
        <v>9999999</v>
      </c>
      <c r="H332" s="556" t="s">
        <v>898</v>
      </c>
      <c r="I332" s="600"/>
      <c r="N332" s="556"/>
      <c r="P332" s="602" t="s">
        <v>940</v>
      </c>
    </row>
    <row r="333" spans="2:16" hidden="1">
      <c r="I333" s="600"/>
      <c r="N333" s="556"/>
      <c r="P333" s="602" t="s">
        <v>940</v>
      </c>
    </row>
    <row r="334" spans="2:16" hidden="1">
      <c r="B334" s="556" t="s">
        <v>988</v>
      </c>
      <c r="D334" s="615">
        <f>MIN(D308,D329)</f>
        <v>1500</v>
      </c>
      <c r="F334" s="615">
        <f>MIN(F308,F329)</f>
        <v>1500</v>
      </c>
      <c r="H334" s="556" t="s">
        <v>898</v>
      </c>
      <c r="I334" s="600"/>
      <c r="K334" s="615"/>
      <c r="L334" s="615"/>
      <c r="M334" s="615"/>
      <c r="N334" s="556"/>
      <c r="P334" s="602" t="s">
        <v>940</v>
      </c>
    </row>
    <row r="335" spans="2:16" hidden="1">
      <c r="B335" s="556" t="s">
        <v>989</v>
      </c>
      <c r="D335" s="615">
        <f>MIN(D308-D334,D330)</f>
        <v>0</v>
      </c>
      <c r="F335" s="615">
        <f>MIN(F308-F334,F330)</f>
        <v>0</v>
      </c>
      <c r="H335" s="556" t="s">
        <v>898</v>
      </c>
      <c r="I335" s="600"/>
      <c r="K335" s="615"/>
      <c r="L335" s="615"/>
      <c r="M335" s="615"/>
      <c r="N335" s="556"/>
      <c r="P335" s="602" t="s">
        <v>940</v>
      </c>
    </row>
    <row r="336" spans="2:16" hidden="1">
      <c r="B336" s="556" t="s">
        <v>990</v>
      </c>
      <c r="D336" s="615">
        <f>MIN(D308-(D334+D335),D331)</f>
        <v>0</v>
      </c>
      <c r="F336" s="615">
        <f>MIN(F308-(F334+F335),F331)</f>
        <v>0</v>
      </c>
      <c r="H336" s="556" t="s">
        <v>898</v>
      </c>
      <c r="I336" s="600"/>
      <c r="K336" s="615"/>
      <c r="L336" s="615"/>
      <c r="M336" s="615"/>
      <c r="N336" s="556"/>
      <c r="P336" s="602" t="s">
        <v>940</v>
      </c>
    </row>
    <row r="337" spans="2:16" hidden="1">
      <c r="B337" s="556" t="s">
        <v>991</v>
      </c>
      <c r="D337" s="615">
        <f>MIN(D308-(D334+D335+D336),D332)</f>
        <v>0</v>
      </c>
      <c r="F337" s="615">
        <f>MIN(F308-(F334+F335+F336),F332)</f>
        <v>0</v>
      </c>
      <c r="H337" s="556" t="s">
        <v>898</v>
      </c>
      <c r="I337" s="600"/>
      <c r="K337" s="615"/>
      <c r="L337" s="615"/>
      <c r="M337" s="615"/>
      <c r="N337" s="556"/>
      <c r="P337" s="602" t="s">
        <v>940</v>
      </c>
    </row>
    <row r="338" spans="2:16" hidden="1">
      <c r="D338" s="617"/>
      <c r="E338" s="616"/>
      <c r="F338" s="617"/>
      <c r="I338" s="600"/>
      <c r="N338" s="556"/>
      <c r="P338" s="602" t="s">
        <v>940</v>
      </c>
    </row>
    <row r="339" spans="2:16" hidden="1">
      <c r="B339" s="556" t="s">
        <v>992</v>
      </c>
      <c r="D339" s="616">
        <f>D334*D37</f>
        <v>0</v>
      </c>
      <c r="E339" s="616"/>
      <c r="F339" s="616">
        <f>F334*F37</f>
        <v>0</v>
      </c>
      <c r="H339" s="556" t="s">
        <v>974</v>
      </c>
      <c r="I339" s="600"/>
      <c r="L339" s="616"/>
      <c r="M339" s="616"/>
      <c r="N339" s="556"/>
      <c r="P339" s="602" t="s">
        <v>940</v>
      </c>
    </row>
    <row r="340" spans="2:16" hidden="1">
      <c r="B340" s="556" t="s">
        <v>993</v>
      </c>
      <c r="D340" s="616">
        <f>D335*D38</f>
        <v>0</v>
      </c>
      <c r="E340" s="616"/>
      <c r="F340" s="616">
        <f>F335*F38</f>
        <v>0</v>
      </c>
      <c r="H340" s="556" t="s">
        <v>974</v>
      </c>
      <c r="I340" s="600"/>
      <c r="L340" s="616"/>
      <c r="M340" s="616"/>
      <c r="N340" s="556"/>
      <c r="P340" s="602" t="s">
        <v>940</v>
      </c>
    </row>
    <row r="341" spans="2:16" hidden="1">
      <c r="B341" s="556" t="s">
        <v>994</v>
      </c>
      <c r="D341" s="616">
        <f>D336*D39</f>
        <v>0</v>
      </c>
      <c r="E341" s="616"/>
      <c r="F341" s="616">
        <f>F336*F39</f>
        <v>0</v>
      </c>
      <c r="H341" s="556" t="s">
        <v>974</v>
      </c>
      <c r="I341" s="600"/>
      <c r="L341" s="616"/>
      <c r="M341" s="616"/>
      <c r="N341" s="556"/>
      <c r="P341" s="602" t="s">
        <v>940</v>
      </c>
    </row>
    <row r="342" spans="2:16" hidden="1">
      <c r="B342" s="556" t="s">
        <v>995</v>
      </c>
      <c r="D342" s="616">
        <f>D337*D40</f>
        <v>0</v>
      </c>
      <c r="E342" s="616"/>
      <c r="F342" s="616">
        <f>F337*F40</f>
        <v>0</v>
      </c>
      <c r="H342" s="556" t="s">
        <v>974</v>
      </c>
      <c r="I342" s="600"/>
      <c r="L342" s="616"/>
      <c r="M342" s="616"/>
      <c r="N342" s="556"/>
      <c r="P342" s="602" t="s">
        <v>940</v>
      </c>
    </row>
    <row r="343" spans="2:16" hidden="1">
      <c r="I343" s="600"/>
      <c r="N343" s="556"/>
      <c r="P343" s="602" t="s">
        <v>940</v>
      </c>
    </row>
    <row r="344" spans="2:16" hidden="1">
      <c r="B344" s="556" t="s">
        <v>978</v>
      </c>
      <c r="D344" s="616">
        <f>D18</f>
        <v>0</v>
      </c>
      <c r="E344" s="616"/>
      <c r="F344" s="616">
        <f>F18</f>
        <v>0</v>
      </c>
      <c r="H344" s="556" t="s">
        <v>974</v>
      </c>
      <c r="I344" s="600"/>
      <c r="N344" s="556"/>
      <c r="P344" s="602" t="s">
        <v>940</v>
      </c>
    </row>
    <row r="345" spans="2:16" hidden="1">
      <c r="B345" s="556" t="s">
        <v>979</v>
      </c>
      <c r="D345" s="616">
        <f>D42*D308</f>
        <v>0</v>
      </c>
      <c r="E345" s="616"/>
      <c r="F345" s="616">
        <f>F42*F308</f>
        <v>0</v>
      </c>
      <c r="H345" s="556" t="s">
        <v>974</v>
      </c>
      <c r="I345" s="600"/>
      <c r="N345" s="556"/>
      <c r="P345" s="602" t="s">
        <v>940</v>
      </c>
    </row>
    <row r="346" spans="2:16" hidden="1">
      <c r="B346" s="556" t="s">
        <v>980</v>
      </c>
      <c r="D346" s="616">
        <f>SUM(D339:D345)</f>
        <v>0</v>
      </c>
      <c r="E346" s="616"/>
      <c r="F346" s="616">
        <f>SUM(F339:F345)</f>
        <v>0</v>
      </c>
      <c r="H346" s="556" t="s">
        <v>974</v>
      </c>
      <c r="I346" s="600"/>
      <c r="K346" s="616"/>
      <c r="L346" s="616"/>
      <c r="M346" s="616"/>
      <c r="N346" s="556"/>
      <c r="P346" s="602" t="s">
        <v>940</v>
      </c>
    </row>
    <row r="347" spans="2:16" hidden="1">
      <c r="B347" s="556" t="s">
        <v>981</v>
      </c>
      <c r="D347" s="616">
        <f>D346*D44/100</f>
        <v>0</v>
      </c>
      <c r="E347" s="616"/>
      <c r="F347" s="616">
        <f>F346*F44/100</f>
        <v>0</v>
      </c>
      <c r="H347" s="556" t="s">
        <v>974</v>
      </c>
      <c r="I347" s="600"/>
      <c r="N347" s="556"/>
      <c r="P347" s="602" t="s">
        <v>940</v>
      </c>
    </row>
    <row r="348" spans="2:16" hidden="1">
      <c r="B348" s="556" t="s">
        <v>982</v>
      </c>
      <c r="D348" s="616">
        <f>SUM(D346:D347)</f>
        <v>0</v>
      </c>
      <c r="E348" s="616"/>
      <c r="F348" s="616">
        <f>SUM(F346:F347)</f>
        <v>0</v>
      </c>
      <c r="H348" s="556" t="s">
        <v>974</v>
      </c>
      <c r="I348" s="600"/>
      <c r="K348" s="616"/>
      <c r="L348" s="616"/>
      <c r="M348" s="616"/>
      <c r="N348" s="556"/>
      <c r="P348" s="602" t="s">
        <v>940</v>
      </c>
    </row>
    <row r="349" spans="2:16" hidden="1">
      <c r="I349" s="600"/>
      <c r="N349" s="556"/>
      <c r="P349" s="602" t="s">
        <v>940</v>
      </c>
    </row>
    <row r="350" spans="2:16" hidden="1">
      <c r="B350" s="556" t="s">
        <v>996</v>
      </c>
      <c r="D350" s="615">
        <f>12-D326</f>
        <v>0</v>
      </c>
      <c r="E350" s="615"/>
      <c r="F350" s="615">
        <f>12-F326</f>
        <v>0</v>
      </c>
      <c r="I350" s="600"/>
      <c r="L350" s="615"/>
      <c r="M350" s="615"/>
      <c r="N350" s="556"/>
      <c r="P350" s="602" t="s">
        <v>940</v>
      </c>
    </row>
    <row r="351" spans="2:16" hidden="1">
      <c r="I351" s="600"/>
      <c r="N351" s="556"/>
      <c r="P351" s="602" t="s">
        <v>940</v>
      </c>
    </row>
    <row r="352" spans="2:16" hidden="1">
      <c r="B352" s="556" t="s">
        <v>997</v>
      </c>
      <c r="D352" s="616">
        <f>D324*D326+D348*D350</f>
        <v>0</v>
      </c>
      <c r="E352" s="616"/>
      <c r="F352" s="616">
        <f>F324*F326+F348*F350</f>
        <v>0</v>
      </c>
      <c r="H352" s="556" t="s">
        <v>974</v>
      </c>
      <c r="I352" s="600"/>
      <c r="L352" s="616"/>
      <c r="M352" s="616"/>
      <c r="N352" s="556"/>
      <c r="P352" s="602" t="s">
        <v>940</v>
      </c>
    </row>
    <row r="353" spans="1:16" hidden="1">
      <c r="I353" s="600"/>
      <c r="P353" s="602" t="s">
        <v>940</v>
      </c>
    </row>
    <row r="354" spans="1:16" hidden="1">
      <c r="B354" s="556" t="s">
        <v>998</v>
      </c>
      <c r="D354" s="618" t="s">
        <v>267</v>
      </c>
      <c r="F354" s="619" t="e">
        <f>(F352-D352)/D352</f>
        <v>#DIV/0!</v>
      </c>
      <c r="I354" s="600"/>
      <c r="L354" s="618"/>
      <c r="M354" s="619"/>
      <c r="P354" s="602" t="s">
        <v>940</v>
      </c>
    </row>
    <row r="355" spans="1:16" hidden="1">
      <c r="I355" s="600"/>
      <c r="P355" s="602" t="s">
        <v>940</v>
      </c>
    </row>
    <row r="356" spans="1:16" hidden="1">
      <c r="I356" s="600"/>
      <c r="P356" s="602" t="s">
        <v>940</v>
      </c>
    </row>
    <row r="357" spans="1:16" hidden="1">
      <c r="A357" s="611"/>
      <c r="B357" s="611"/>
      <c r="C357" s="611"/>
      <c r="D357" s="612"/>
      <c r="E357" s="611"/>
      <c r="F357" s="612"/>
      <c r="G357" s="611"/>
      <c r="H357" s="611"/>
      <c r="I357" s="612"/>
      <c r="K357" s="611"/>
      <c r="L357" s="611"/>
      <c r="M357" s="611"/>
      <c r="N357" s="612"/>
      <c r="P357" s="602" t="s">
        <v>940</v>
      </c>
    </row>
    <row r="358" spans="1:16" hidden="1">
      <c r="A358" s="609" t="s">
        <v>999</v>
      </c>
      <c r="I358" s="600"/>
      <c r="K358" s="613"/>
      <c r="L358" s="613"/>
      <c r="P358" s="602" t="s">
        <v>940</v>
      </c>
    </row>
    <row r="359" spans="1:16" hidden="1">
      <c r="I359" s="600"/>
      <c r="N359" s="610"/>
      <c r="P359" s="602" t="s">
        <v>940</v>
      </c>
    </row>
    <row r="360" spans="1:16" hidden="1">
      <c r="B360" s="556" t="s">
        <v>964</v>
      </c>
      <c r="D360" s="614">
        <f>IF(AND(ISNUMBER(D113),D113&lt;&gt;0),D113,9999999)</f>
        <v>9999999</v>
      </c>
      <c r="F360" s="614">
        <f>IF(AND(ISNUMBER(F113),F113&lt;&gt;0),F113,9999999)</f>
        <v>9999999</v>
      </c>
      <c r="H360" s="556" t="str">
        <f>H113</f>
        <v>Therms</v>
      </c>
      <c r="I360" s="600"/>
      <c r="N360" s="610"/>
      <c r="P360" s="602" t="s">
        <v>940</v>
      </c>
    </row>
    <row r="361" spans="1:16" hidden="1">
      <c r="B361" s="556" t="s">
        <v>965</v>
      </c>
      <c r="D361" s="614">
        <f>IF(AND(ISNUMBER(D114),D114&lt;&gt;0),D114,9999999)</f>
        <v>9999999</v>
      </c>
      <c r="F361" s="614">
        <f>IF(AND(ISNUMBER(F114),F114&lt;&gt;0),F114,9999999)</f>
        <v>9999999</v>
      </c>
      <c r="H361" s="556" t="str">
        <f>H360</f>
        <v>Therms</v>
      </c>
      <c r="I361" s="600"/>
      <c r="N361" s="610"/>
      <c r="P361" s="602" t="s">
        <v>940</v>
      </c>
    </row>
    <row r="362" spans="1:16" hidden="1">
      <c r="B362" s="556" t="s">
        <v>966</v>
      </c>
      <c r="D362" s="614">
        <f>IF(AND(ISNUMBER(D115),D115&lt;&gt;0),D115,9999999)</f>
        <v>9999999</v>
      </c>
      <c r="F362" s="614">
        <f>IF(AND(ISNUMBER(F115),F115&lt;&gt;0),F115,9999999)</f>
        <v>9999999</v>
      </c>
      <c r="H362" s="556" t="str">
        <f>H361</f>
        <v>Therms</v>
      </c>
      <c r="I362" s="600"/>
      <c r="N362" s="610"/>
      <c r="P362" s="602" t="s">
        <v>940</v>
      </c>
    </row>
    <row r="363" spans="1:16" hidden="1">
      <c r="B363" s="556" t="s">
        <v>967</v>
      </c>
      <c r="D363" s="614">
        <f>IF(AND(ISNUMBER(D116),D116&lt;&gt;0),D116,9999999)</f>
        <v>9999999</v>
      </c>
      <c r="F363" s="614">
        <f>IF(AND(ISNUMBER(F116),F116&lt;&gt;0),F116,9999999)</f>
        <v>9999999</v>
      </c>
      <c r="H363" s="556" t="str">
        <f>H362</f>
        <v>Therms</v>
      </c>
      <c r="I363" s="600"/>
      <c r="N363" s="610"/>
      <c r="P363" s="602" t="s">
        <v>940</v>
      </c>
    </row>
    <row r="364" spans="1:16" hidden="1">
      <c r="I364" s="600"/>
      <c r="N364" s="610"/>
      <c r="P364" s="602" t="s">
        <v>940</v>
      </c>
    </row>
    <row r="365" spans="1:16" hidden="1">
      <c r="B365" s="556" t="s">
        <v>968</v>
      </c>
      <c r="D365" s="556">
        <v>80</v>
      </c>
      <c r="F365" s="556">
        <f>D365</f>
        <v>80</v>
      </c>
      <c r="H365" s="556" t="s">
        <v>956</v>
      </c>
      <c r="I365" s="600"/>
      <c r="N365" s="610"/>
      <c r="P365" s="602" t="s">
        <v>940</v>
      </c>
    </row>
    <row r="366" spans="1:16" hidden="1">
      <c r="B366" s="556" t="s">
        <v>968</v>
      </c>
      <c r="D366" s="556">
        <f>CHOOSE(F102,1,0.9901,0.09901,0.1)*D365</f>
        <v>80</v>
      </c>
      <c r="F366" s="556">
        <f>D366</f>
        <v>80</v>
      </c>
      <c r="H366" s="556" t="str">
        <f>H360</f>
        <v>Therms</v>
      </c>
      <c r="I366" s="600"/>
      <c r="N366" s="610"/>
      <c r="P366" s="602" t="s">
        <v>940</v>
      </c>
    </row>
    <row r="367" spans="1:16" hidden="1">
      <c r="I367" s="600"/>
      <c r="N367" s="610"/>
      <c r="P367" s="602" t="s">
        <v>940</v>
      </c>
    </row>
    <row r="368" spans="1:16" hidden="1">
      <c r="B368" s="556" t="s">
        <v>969</v>
      </c>
      <c r="D368" s="615">
        <f>MIN(D366,D360)</f>
        <v>80</v>
      </c>
      <c r="F368" s="615">
        <f>MIN(F366,F360)</f>
        <v>80</v>
      </c>
      <c r="H368" s="556" t="str">
        <f>H360</f>
        <v>Therms</v>
      </c>
      <c r="I368" s="600"/>
      <c r="L368" s="615"/>
      <c r="M368" s="615"/>
      <c r="N368" s="610"/>
      <c r="P368" s="602" t="s">
        <v>940</v>
      </c>
    </row>
    <row r="369" spans="2:16" hidden="1">
      <c r="B369" s="556" t="s">
        <v>970</v>
      </c>
      <c r="D369" s="615">
        <f>MIN(D366-D368,D361)</f>
        <v>0</v>
      </c>
      <c r="F369" s="615">
        <f>MIN(F366-F368,F361)</f>
        <v>0</v>
      </c>
      <c r="H369" s="556" t="str">
        <f>H368</f>
        <v>Therms</v>
      </c>
      <c r="I369" s="600"/>
      <c r="L369" s="615"/>
      <c r="M369" s="615"/>
      <c r="N369" s="610"/>
      <c r="P369" s="602" t="s">
        <v>940</v>
      </c>
    </row>
    <row r="370" spans="2:16" hidden="1">
      <c r="B370" s="556" t="s">
        <v>971</v>
      </c>
      <c r="D370" s="615">
        <f>MIN(D366-(D368+D369),D362)</f>
        <v>0</v>
      </c>
      <c r="F370" s="615">
        <f>MIN(F366-(F368+F369),F362)</f>
        <v>0</v>
      </c>
      <c r="H370" s="556" t="str">
        <f>H369</f>
        <v>Therms</v>
      </c>
      <c r="I370" s="600"/>
      <c r="L370" s="615"/>
      <c r="M370" s="615"/>
      <c r="N370" s="610"/>
      <c r="P370" s="602" t="s">
        <v>940</v>
      </c>
    </row>
    <row r="371" spans="2:16" hidden="1">
      <c r="B371" s="556" t="s">
        <v>972</v>
      </c>
      <c r="D371" s="615">
        <f>MIN(D366-(D368+D369+D370),D363)</f>
        <v>0</v>
      </c>
      <c r="F371" s="615">
        <f>MIN(F366-(F368+F369+F370),F363)</f>
        <v>0</v>
      </c>
      <c r="H371" s="556" t="str">
        <f>H370</f>
        <v>Therms</v>
      </c>
      <c r="I371" s="600"/>
      <c r="L371" s="615"/>
      <c r="M371" s="615"/>
      <c r="N371" s="610"/>
      <c r="P371" s="602" t="s">
        <v>940</v>
      </c>
    </row>
    <row r="372" spans="2:16" hidden="1">
      <c r="I372" s="600"/>
      <c r="N372" s="610"/>
      <c r="P372" s="602" t="s">
        <v>940</v>
      </c>
    </row>
    <row r="373" spans="2:16" hidden="1">
      <c r="B373" s="556" t="s">
        <v>973</v>
      </c>
      <c r="D373" s="616">
        <f>D368*D118</f>
        <v>0</v>
      </c>
      <c r="E373" s="616"/>
      <c r="F373" s="616">
        <f>F368*F118</f>
        <v>0</v>
      </c>
      <c r="H373" s="556" t="s">
        <v>974</v>
      </c>
      <c r="I373" s="600"/>
      <c r="L373" s="616"/>
      <c r="M373" s="616"/>
      <c r="N373" s="610"/>
      <c r="P373" s="602" t="s">
        <v>940</v>
      </c>
    </row>
    <row r="374" spans="2:16" hidden="1">
      <c r="B374" s="556" t="s">
        <v>975</v>
      </c>
      <c r="D374" s="616">
        <f>D369*D119</f>
        <v>0</v>
      </c>
      <c r="E374" s="616"/>
      <c r="F374" s="616">
        <f>F369*F119</f>
        <v>0</v>
      </c>
      <c r="H374" s="556" t="s">
        <v>974</v>
      </c>
      <c r="I374" s="600"/>
      <c r="L374" s="616"/>
      <c r="M374" s="616"/>
      <c r="N374" s="610"/>
      <c r="P374" s="602" t="s">
        <v>940</v>
      </c>
    </row>
    <row r="375" spans="2:16" hidden="1">
      <c r="B375" s="556" t="s">
        <v>976</v>
      </c>
      <c r="D375" s="616">
        <f>D370*D120</f>
        <v>0</v>
      </c>
      <c r="E375" s="616"/>
      <c r="F375" s="616">
        <f>F370*F120</f>
        <v>0</v>
      </c>
      <c r="H375" s="556" t="s">
        <v>974</v>
      </c>
      <c r="I375" s="600"/>
      <c r="L375" s="616"/>
      <c r="M375" s="616"/>
      <c r="N375" s="610"/>
      <c r="P375" s="602" t="s">
        <v>940</v>
      </c>
    </row>
    <row r="376" spans="2:16" hidden="1">
      <c r="B376" s="556" t="s">
        <v>977</v>
      </c>
      <c r="D376" s="616">
        <f>D371*D121</f>
        <v>0</v>
      </c>
      <c r="E376" s="616"/>
      <c r="F376" s="616">
        <f>F371*F121</f>
        <v>0</v>
      </c>
      <c r="H376" s="556" t="s">
        <v>974</v>
      </c>
      <c r="I376" s="600"/>
      <c r="L376" s="616"/>
      <c r="M376" s="616"/>
      <c r="N376" s="610"/>
      <c r="P376" s="602" t="s">
        <v>940</v>
      </c>
    </row>
    <row r="377" spans="2:16" hidden="1">
      <c r="I377" s="600"/>
      <c r="N377" s="610"/>
      <c r="P377" s="602" t="s">
        <v>940</v>
      </c>
    </row>
    <row r="378" spans="2:16" hidden="1">
      <c r="B378" s="556" t="s">
        <v>978</v>
      </c>
      <c r="D378" s="616">
        <f>D110</f>
        <v>0</v>
      </c>
      <c r="E378" s="616"/>
      <c r="F378" s="616">
        <f>F110</f>
        <v>0</v>
      </c>
      <c r="H378" s="556" t="s">
        <v>974</v>
      </c>
      <c r="I378" s="600"/>
      <c r="L378" s="616"/>
      <c r="M378" s="616"/>
      <c r="N378" s="610"/>
      <c r="P378" s="602" t="s">
        <v>940</v>
      </c>
    </row>
    <row r="379" spans="2:16" hidden="1">
      <c r="B379" s="556" t="s">
        <v>979</v>
      </c>
      <c r="D379" s="616">
        <f>D134*D366</f>
        <v>0</v>
      </c>
      <c r="E379" s="616"/>
      <c r="F379" s="616">
        <f>F134*F366</f>
        <v>0</v>
      </c>
      <c r="H379" s="556" t="s">
        <v>974</v>
      </c>
      <c r="I379" s="600"/>
      <c r="L379" s="616"/>
      <c r="M379" s="616"/>
      <c r="N379" s="610"/>
      <c r="P379" s="602" t="s">
        <v>940</v>
      </c>
    </row>
    <row r="380" spans="2:16" hidden="1">
      <c r="B380" s="556" t="s">
        <v>980</v>
      </c>
      <c r="D380" s="616">
        <f>SUM(D373:D379)</f>
        <v>0</v>
      </c>
      <c r="E380" s="616"/>
      <c r="F380" s="616">
        <f>SUM(F373:F379)</f>
        <v>0</v>
      </c>
      <c r="H380" s="556" t="s">
        <v>974</v>
      </c>
      <c r="I380" s="600"/>
      <c r="L380" s="616"/>
      <c r="M380" s="616"/>
      <c r="N380" s="610"/>
      <c r="P380" s="602" t="s">
        <v>940</v>
      </c>
    </row>
    <row r="381" spans="2:16" hidden="1">
      <c r="B381" s="556" t="s">
        <v>981</v>
      </c>
      <c r="D381" s="616">
        <f>D380*D136/100</f>
        <v>0</v>
      </c>
      <c r="E381" s="616"/>
      <c r="F381" s="616">
        <f>F380*F136/100</f>
        <v>0</v>
      </c>
      <c r="H381" s="556" t="s">
        <v>974</v>
      </c>
      <c r="I381" s="600"/>
      <c r="L381" s="616"/>
      <c r="M381" s="616"/>
      <c r="N381" s="610"/>
      <c r="P381" s="602" t="s">
        <v>940</v>
      </c>
    </row>
    <row r="382" spans="2:16" hidden="1">
      <c r="B382" s="556" t="s">
        <v>982</v>
      </c>
      <c r="D382" s="616">
        <f>SUM(D380:D381)</f>
        <v>0</v>
      </c>
      <c r="E382" s="616"/>
      <c r="F382" s="616">
        <f>SUM(F380:F381)</f>
        <v>0</v>
      </c>
      <c r="H382" s="556" t="s">
        <v>974</v>
      </c>
      <c r="I382" s="600"/>
      <c r="L382" s="616"/>
      <c r="M382" s="616"/>
      <c r="N382" s="610"/>
      <c r="P382" s="602" t="s">
        <v>940</v>
      </c>
    </row>
    <row r="383" spans="2:16" hidden="1">
      <c r="D383" s="616"/>
      <c r="F383" s="616"/>
      <c r="I383" s="600"/>
      <c r="N383" s="610"/>
      <c r="P383" s="602" t="s">
        <v>940</v>
      </c>
    </row>
    <row r="384" spans="2:16" hidden="1">
      <c r="B384" s="556" t="s">
        <v>983</v>
      </c>
      <c r="D384" s="615">
        <f>D108-D105+1</f>
        <v>12</v>
      </c>
      <c r="E384" s="615"/>
      <c r="F384" s="615">
        <f>F108-F105+1</f>
        <v>12</v>
      </c>
      <c r="I384" s="600"/>
      <c r="N384" s="610"/>
      <c r="P384" s="602" t="s">
        <v>940</v>
      </c>
    </row>
    <row r="385" spans="2:16" hidden="1">
      <c r="I385" s="600"/>
      <c r="N385" s="610"/>
      <c r="P385" s="602" t="s">
        <v>940</v>
      </c>
    </row>
    <row r="386" spans="2:16" hidden="1">
      <c r="I386" s="600"/>
      <c r="N386" s="610"/>
      <c r="P386" s="602" t="s">
        <v>940</v>
      </c>
    </row>
    <row r="387" spans="2:16" hidden="1">
      <c r="B387" s="556" t="s">
        <v>984</v>
      </c>
      <c r="D387" s="614">
        <f>IF(AND(ISNUMBER(D124),D124&lt;&gt;0),D124,9999999)</f>
        <v>9999999</v>
      </c>
      <c r="F387" s="614">
        <f>IF(AND(ISNUMBER(F124),F124&lt;&gt;0),F124,9999999)</f>
        <v>9999999</v>
      </c>
      <c r="H387" s="556" t="str">
        <f>H360</f>
        <v>Therms</v>
      </c>
      <c r="I387" s="600"/>
      <c r="N387" s="610"/>
      <c r="P387" s="602" t="s">
        <v>940</v>
      </c>
    </row>
    <row r="388" spans="2:16" hidden="1">
      <c r="B388" s="556" t="s">
        <v>985</v>
      </c>
      <c r="D388" s="614">
        <f>IF(AND(ISNUMBER(D125),D125&lt;&gt;0),D125,9999999)</f>
        <v>9999999</v>
      </c>
      <c r="F388" s="614">
        <f>IF(AND(ISNUMBER(F125),F125&lt;&gt;0),F125,9999999)</f>
        <v>9999999</v>
      </c>
      <c r="H388" s="556" t="str">
        <f>H387</f>
        <v>Therms</v>
      </c>
      <c r="I388" s="600"/>
      <c r="N388" s="610"/>
      <c r="P388" s="602" t="s">
        <v>940</v>
      </c>
    </row>
    <row r="389" spans="2:16" hidden="1">
      <c r="B389" s="556" t="s">
        <v>986</v>
      </c>
      <c r="D389" s="614">
        <f>IF(AND(ISNUMBER(D126),D126&lt;&gt;0),D126,9999999)</f>
        <v>9999999</v>
      </c>
      <c r="F389" s="614">
        <f>IF(AND(ISNUMBER(F126),F126&lt;&gt;0),F126,9999999)</f>
        <v>9999999</v>
      </c>
      <c r="H389" s="556" t="str">
        <f>H388</f>
        <v>Therms</v>
      </c>
      <c r="I389" s="600"/>
      <c r="N389" s="610"/>
      <c r="P389" s="602" t="s">
        <v>940</v>
      </c>
    </row>
    <row r="390" spans="2:16" hidden="1">
      <c r="B390" s="556" t="s">
        <v>987</v>
      </c>
      <c r="D390" s="614">
        <f>IF(AND(ISNUMBER(D127),D127&lt;&gt;0),D127,9999999)</f>
        <v>9999999</v>
      </c>
      <c r="F390" s="614">
        <f>IF(AND(ISNUMBER(F127),F127&lt;&gt;0),F127,9999999)</f>
        <v>9999999</v>
      </c>
      <c r="H390" s="556" t="str">
        <f>H389</f>
        <v>Therms</v>
      </c>
      <c r="I390" s="600"/>
      <c r="N390" s="610"/>
      <c r="P390" s="602" t="s">
        <v>940</v>
      </c>
    </row>
    <row r="391" spans="2:16" hidden="1">
      <c r="I391" s="600"/>
      <c r="N391" s="610"/>
      <c r="P391" s="602" t="s">
        <v>940</v>
      </c>
    </row>
    <row r="392" spans="2:16" hidden="1">
      <c r="B392" s="556" t="s">
        <v>988</v>
      </c>
      <c r="D392" s="615">
        <f>MIN(D366,D387)</f>
        <v>80</v>
      </c>
      <c r="F392" s="615">
        <f>MIN(F366,F387)</f>
        <v>80</v>
      </c>
      <c r="H392" s="556" t="str">
        <f>H390</f>
        <v>Therms</v>
      </c>
      <c r="I392" s="600"/>
      <c r="L392" s="615"/>
      <c r="M392" s="615"/>
      <c r="N392" s="610"/>
      <c r="P392" s="602" t="s">
        <v>940</v>
      </c>
    </row>
    <row r="393" spans="2:16" hidden="1">
      <c r="B393" s="556" t="s">
        <v>989</v>
      </c>
      <c r="D393" s="615">
        <f>MIN(D366-D392,D388)</f>
        <v>0</v>
      </c>
      <c r="F393" s="615">
        <f>MIN(F366-F392,F388)</f>
        <v>0</v>
      </c>
      <c r="H393" s="556" t="str">
        <f>H392</f>
        <v>Therms</v>
      </c>
      <c r="I393" s="600"/>
      <c r="L393" s="615"/>
      <c r="M393" s="615"/>
      <c r="N393" s="610"/>
      <c r="P393" s="602" t="s">
        <v>940</v>
      </c>
    </row>
    <row r="394" spans="2:16" hidden="1">
      <c r="B394" s="556" t="s">
        <v>990</v>
      </c>
      <c r="D394" s="615">
        <f>MIN(D366-(D392+D393),D389)</f>
        <v>0</v>
      </c>
      <c r="F394" s="615">
        <f>MIN(F366-(F392+F393),F389)</f>
        <v>0</v>
      </c>
      <c r="H394" s="556" t="str">
        <f>H393</f>
        <v>Therms</v>
      </c>
      <c r="I394" s="600"/>
      <c r="L394" s="615"/>
      <c r="M394" s="615"/>
      <c r="N394" s="610"/>
      <c r="P394" s="602" t="s">
        <v>940</v>
      </c>
    </row>
    <row r="395" spans="2:16" hidden="1">
      <c r="B395" s="556" t="s">
        <v>991</v>
      </c>
      <c r="D395" s="615">
        <f>MIN(D366-(D392+D393+D394),D390)</f>
        <v>0</v>
      </c>
      <c r="F395" s="615">
        <f>MIN(F366-(F392+F393+F394),F390)</f>
        <v>0</v>
      </c>
      <c r="H395" s="556" t="str">
        <f>H394</f>
        <v>Therms</v>
      </c>
      <c r="I395" s="600"/>
      <c r="L395" s="615"/>
      <c r="M395" s="615"/>
      <c r="N395" s="610"/>
      <c r="P395" s="602" t="s">
        <v>940</v>
      </c>
    </row>
    <row r="396" spans="2:16" hidden="1">
      <c r="D396" s="617"/>
      <c r="E396" s="616"/>
      <c r="F396" s="617"/>
      <c r="I396" s="600"/>
      <c r="N396" s="610"/>
      <c r="P396" s="602" t="s">
        <v>940</v>
      </c>
    </row>
    <row r="397" spans="2:16" hidden="1">
      <c r="B397" s="556" t="s">
        <v>992</v>
      </c>
      <c r="D397" s="616">
        <f>D392*D129</f>
        <v>0</v>
      </c>
      <c r="E397" s="616"/>
      <c r="F397" s="616">
        <f>F392*F129</f>
        <v>0</v>
      </c>
      <c r="H397" s="556" t="s">
        <v>974</v>
      </c>
      <c r="I397" s="600"/>
      <c r="L397" s="616"/>
      <c r="M397" s="616"/>
      <c r="N397" s="610"/>
      <c r="P397" s="602" t="s">
        <v>940</v>
      </c>
    </row>
    <row r="398" spans="2:16" hidden="1">
      <c r="B398" s="556" t="s">
        <v>993</v>
      </c>
      <c r="D398" s="616">
        <f t="shared" ref="D398:F400" si="2">D393*D130</f>
        <v>0</v>
      </c>
      <c r="E398" s="616"/>
      <c r="F398" s="616">
        <f t="shared" si="2"/>
        <v>0</v>
      </c>
      <c r="H398" s="556" t="s">
        <v>974</v>
      </c>
      <c r="I398" s="600"/>
      <c r="L398" s="616"/>
      <c r="M398" s="616"/>
      <c r="N398" s="610"/>
      <c r="P398" s="602" t="s">
        <v>940</v>
      </c>
    </row>
    <row r="399" spans="2:16" hidden="1">
      <c r="B399" s="556" t="s">
        <v>994</v>
      </c>
      <c r="D399" s="616">
        <f t="shared" si="2"/>
        <v>0</v>
      </c>
      <c r="E399" s="616"/>
      <c r="F399" s="616">
        <f t="shared" si="2"/>
        <v>0</v>
      </c>
      <c r="H399" s="556" t="s">
        <v>974</v>
      </c>
      <c r="I399" s="600"/>
      <c r="L399" s="616"/>
      <c r="M399" s="616"/>
      <c r="N399" s="610"/>
      <c r="P399" s="602" t="s">
        <v>940</v>
      </c>
    </row>
    <row r="400" spans="2:16" hidden="1">
      <c r="B400" s="556" t="s">
        <v>995</v>
      </c>
      <c r="D400" s="616">
        <f t="shared" si="2"/>
        <v>0</v>
      </c>
      <c r="E400" s="616"/>
      <c r="F400" s="616">
        <f t="shared" si="2"/>
        <v>0</v>
      </c>
      <c r="H400" s="556" t="s">
        <v>974</v>
      </c>
      <c r="I400" s="600"/>
      <c r="L400" s="616"/>
      <c r="M400" s="616"/>
      <c r="N400" s="610"/>
      <c r="P400" s="602" t="s">
        <v>940</v>
      </c>
    </row>
    <row r="401" spans="1:16" hidden="1">
      <c r="I401" s="600"/>
      <c r="N401" s="610"/>
      <c r="P401" s="602" t="s">
        <v>940</v>
      </c>
    </row>
    <row r="402" spans="1:16" hidden="1">
      <c r="B402" s="556" t="s">
        <v>978</v>
      </c>
      <c r="D402" s="616">
        <f>D110</f>
        <v>0</v>
      </c>
      <c r="E402" s="616"/>
      <c r="F402" s="616">
        <f>F110</f>
        <v>0</v>
      </c>
      <c r="H402" s="556" t="s">
        <v>974</v>
      </c>
      <c r="I402" s="600"/>
      <c r="L402" s="616"/>
      <c r="M402" s="616"/>
      <c r="N402" s="610"/>
      <c r="P402" s="602" t="s">
        <v>940</v>
      </c>
    </row>
    <row r="403" spans="1:16" hidden="1">
      <c r="B403" s="556" t="s">
        <v>979</v>
      </c>
      <c r="D403" s="616">
        <f>D134*D366</f>
        <v>0</v>
      </c>
      <c r="E403" s="616"/>
      <c r="F403" s="616">
        <f>F134*F366</f>
        <v>0</v>
      </c>
      <c r="H403" s="556" t="s">
        <v>974</v>
      </c>
      <c r="I403" s="600"/>
      <c r="L403" s="616"/>
      <c r="M403" s="616"/>
      <c r="N403" s="610"/>
      <c r="P403" s="602" t="s">
        <v>940</v>
      </c>
    </row>
    <row r="404" spans="1:16" hidden="1">
      <c r="B404" s="556" t="s">
        <v>980</v>
      </c>
      <c r="D404" s="616">
        <f>SUM(D397:D403)</f>
        <v>0</v>
      </c>
      <c r="E404" s="616"/>
      <c r="F404" s="616">
        <f>SUM(F397:F403)</f>
        <v>0</v>
      </c>
      <c r="H404" s="556" t="s">
        <v>974</v>
      </c>
      <c r="I404" s="600"/>
      <c r="L404" s="616"/>
      <c r="M404" s="616"/>
      <c r="N404" s="610"/>
      <c r="P404" s="602" t="s">
        <v>940</v>
      </c>
    </row>
    <row r="405" spans="1:16" hidden="1">
      <c r="B405" s="556" t="s">
        <v>981</v>
      </c>
      <c r="D405" s="616">
        <f>D404*D136/100</f>
        <v>0</v>
      </c>
      <c r="E405" s="616"/>
      <c r="F405" s="616">
        <f>F404*F136/100</f>
        <v>0</v>
      </c>
      <c r="H405" s="556" t="s">
        <v>974</v>
      </c>
      <c r="I405" s="600"/>
      <c r="L405" s="616"/>
      <c r="M405" s="616"/>
      <c r="N405" s="610"/>
      <c r="P405" s="602" t="s">
        <v>940</v>
      </c>
    </row>
    <row r="406" spans="1:16" hidden="1">
      <c r="B406" s="556" t="s">
        <v>982</v>
      </c>
      <c r="D406" s="616">
        <f>SUM(D404:D405)</f>
        <v>0</v>
      </c>
      <c r="E406" s="616"/>
      <c r="F406" s="616">
        <f>SUM(F404:F405)</f>
        <v>0</v>
      </c>
      <c r="H406" s="556" t="s">
        <v>974</v>
      </c>
      <c r="I406" s="600"/>
      <c r="L406" s="616"/>
      <c r="M406" s="616"/>
      <c r="N406" s="610"/>
      <c r="P406" s="602" t="s">
        <v>940</v>
      </c>
    </row>
    <row r="407" spans="1:16" hidden="1">
      <c r="I407" s="600"/>
      <c r="N407" s="610"/>
      <c r="P407" s="602" t="s">
        <v>940</v>
      </c>
    </row>
    <row r="408" spans="1:16" hidden="1">
      <c r="B408" s="556" t="s">
        <v>996</v>
      </c>
      <c r="D408" s="615">
        <f>12-D384</f>
        <v>0</v>
      </c>
      <c r="E408" s="615"/>
      <c r="F408" s="615">
        <f>12-F384</f>
        <v>0</v>
      </c>
      <c r="I408" s="600"/>
      <c r="L408" s="615"/>
      <c r="M408" s="615"/>
      <c r="N408" s="610"/>
      <c r="P408" s="602" t="s">
        <v>940</v>
      </c>
    </row>
    <row r="409" spans="1:16" hidden="1">
      <c r="I409" s="600"/>
      <c r="N409" s="610"/>
      <c r="P409" s="602" t="s">
        <v>940</v>
      </c>
    </row>
    <row r="410" spans="1:16" hidden="1">
      <c r="B410" s="556" t="s">
        <v>997</v>
      </c>
      <c r="D410" s="616">
        <f>D382*D384+D406*D408</f>
        <v>0</v>
      </c>
      <c r="E410" s="616"/>
      <c r="F410" s="616">
        <f>F382*F384+F406*F408</f>
        <v>0</v>
      </c>
      <c r="H410" s="556" t="s">
        <v>974</v>
      </c>
      <c r="I410" s="600"/>
      <c r="L410" s="616"/>
      <c r="M410" s="616"/>
      <c r="N410" s="610"/>
      <c r="P410" s="602" t="s">
        <v>940</v>
      </c>
    </row>
    <row r="411" spans="1:16" hidden="1">
      <c r="I411" s="600"/>
      <c r="N411" s="556"/>
      <c r="P411" s="602" t="s">
        <v>940</v>
      </c>
    </row>
    <row r="412" spans="1:16" hidden="1">
      <c r="B412" s="556" t="s">
        <v>998</v>
      </c>
      <c r="D412" s="618" t="s">
        <v>267</v>
      </c>
      <c r="F412" s="619" t="e">
        <f>(F410-D410)/D410</f>
        <v>#DIV/0!</v>
      </c>
      <c r="I412" s="600"/>
      <c r="L412" s="618"/>
      <c r="M412" s="619"/>
      <c r="N412" s="556"/>
      <c r="P412" s="602" t="s">
        <v>940</v>
      </c>
    </row>
    <row r="413" spans="1:16" s="611" customFormat="1" hidden="1">
      <c r="A413" s="556"/>
      <c r="B413" s="556"/>
      <c r="C413" s="556"/>
      <c r="D413" s="600"/>
      <c r="E413" s="556"/>
      <c r="F413" s="600"/>
      <c r="G413" s="556"/>
      <c r="H413" s="556"/>
      <c r="I413" s="600"/>
      <c r="J413" s="556"/>
      <c r="N413" s="612"/>
      <c r="P413" s="620" t="s">
        <v>1000</v>
      </c>
    </row>
    <row r="414" spans="1:16" hidden="1">
      <c r="I414" s="600"/>
    </row>
    <row r="415" spans="1:16">
      <c r="I415" s="600"/>
    </row>
    <row r="416" spans="1:16">
      <c r="I416" s="600"/>
    </row>
    <row r="417" spans="9:9">
      <c r="I417" s="600"/>
    </row>
    <row r="418" spans="9:9">
      <c r="I418" s="600"/>
    </row>
    <row r="419" spans="9:9">
      <c r="I419" s="600"/>
    </row>
    <row r="420" spans="9:9">
      <c r="I420" s="600"/>
    </row>
  </sheetData>
  <autoFilter ref="P268:P413" xr:uid="{00000000-0009-0000-0000-000003000000}"/>
  <conditionalFormatting sqref="D210 F216 D230 F230 D218:D221 D216 D223:D226 F228 D228 F210 F218:F221 F223:F226 D212 F212">
    <cfRule type="expression" dxfId="2" priority="1" stopIfTrue="1">
      <formula>$F$208</formula>
    </cfRule>
  </conditionalFormatting>
  <conditionalFormatting sqref="D53 D55 D57 D65 D68:D71 D73:D76 D79:D82 D84:D87 D89 D91 F55 F89 F91 F57 F53 F65 F68:F71 F73:F76 F79:F82 F84:F87">
    <cfRule type="expression" dxfId="1" priority="2" stopIfTrue="1">
      <formula>NOT($F$51)</formula>
    </cfRule>
  </conditionalFormatting>
  <pageMargins left="0.75" right="0.75" top="1" bottom="1" header="0.5" footer="0.5"/>
  <pageSetup scale="51" fitToHeight="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Drop Down 5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Drop Down 6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Drop Down 7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Drop Down 8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Drop Down 11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Drop Down 14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485775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Drop Down 15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Drop Down 16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Drop Down 19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Drop Down 20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Drop Down 21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Drop Down 23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Drop Down 24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Drop Down 2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Drop Down 29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Drop Down 30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Drop Down 31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495300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Drop Down 32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Drop Down 33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152400</xdr:rowOff>
                  </from>
                  <to>
                    <xdr:col>8</xdr:col>
                    <xdr:colOff>295275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142875</xdr:rowOff>
                  </from>
                  <to>
                    <xdr:col>11</xdr:col>
                    <xdr:colOff>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108</xdr:row>
                    <xdr:rowOff>152400</xdr:rowOff>
                  </from>
                  <to>
                    <xdr:col>8</xdr:col>
                    <xdr:colOff>295275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108</xdr:row>
                    <xdr:rowOff>142875</xdr:rowOff>
                  </from>
                  <to>
                    <xdr:col>11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63</xdr:row>
                    <xdr:rowOff>152400</xdr:rowOff>
                  </from>
                  <to>
                    <xdr:col>8</xdr:col>
                    <xdr:colOff>295275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63</xdr:row>
                    <xdr:rowOff>142875</xdr:rowOff>
                  </from>
                  <to>
                    <xdr:col>11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152400</xdr:rowOff>
                  </from>
                  <to>
                    <xdr:col>8</xdr:col>
                    <xdr:colOff>295275</xdr:colOff>
                    <xdr:row>144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142</xdr:row>
                    <xdr:rowOff>142875</xdr:rowOff>
                  </from>
                  <to>
                    <xdr:col>11</xdr:col>
                    <xdr:colOff>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8</xdr:col>
                    <xdr:colOff>28575</xdr:colOff>
                    <xdr:row>164</xdr:row>
                    <xdr:rowOff>152400</xdr:rowOff>
                  </from>
                  <to>
                    <xdr:col>8</xdr:col>
                    <xdr:colOff>295275</xdr:colOff>
                    <xdr:row>166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10</xdr:col>
                    <xdr:colOff>47625</xdr:colOff>
                    <xdr:row>164</xdr:row>
                    <xdr:rowOff>142875</xdr:rowOff>
                  </from>
                  <to>
                    <xdr:col>11</xdr:col>
                    <xdr:colOff>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188</xdr:row>
                    <xdr:rowOff>152400</xdr:rowOff>
                  </from>
                  <to>
                    <xdr:col>8</xdr:col>
                    <xdr:colOff>295275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10</xdr:col>
                    <xdr:colOff>47625</xdr:colOff>
                    <xdr:row>188</xdr:row>
                    <xdr:rowOff>142875</xdr:rowOff>
                  </from>
                  <to>
                    <xdr:col>11</xdr:col>
                    <xdr:colOff>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214</xdr:row>
                    <xdr:rowOff>152400</xdr:rowOff>
                  </from>
                  <to>
                    <xdr:col>8</xdr:col>
                    <xdr:colOff>295275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10</xdr:col>
                    <xdr:colOff>47625</xdr:colOff>
                    <xdr:row>214</xdr:row>
                    <xdr:rowOff>142875</xdr:rowOff>
                  </from>
                  <to>
                    <xdr:col>11</xdr:col>
                    <xdr:colOff>0</xdr:colOff>
                    <xdr:row>216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456E-ED37-BB41-8821-E1935B093286}">
  <sheetPr codeName="Sheet12">
    <tabColor rgb="FF7030A0"/>
    <pageSetUpPr fitToPage="1"/>
  </sheetPr>
  <dimension ref="A1:CO1031"/>
  <sheetViews>
    <sheetView workbookViewId="0"/>
  </sheetViews>
  <sheetFormatPr defaultColWidth="7.5546875" defaultRowHeight="12.75"/>
  <cols>
    <col min="1" max="1" width="3.109375" style="556" customWidth="1"/>
    <col min="2" max="2" width="14" style="556" customWidth="1"/>
    <col min="3" max="3" width="16.109375" style="556" customWidth="1"/>
    <col min="4" max="4" width="14.88671875" style="556" customWidth="1"/>
    <col min="5" max="5" width="13" style="556" customWidth="1"/>
    <col min="6" max="7" width="10.109375" style="556" customWidth="1"/>
    <col min="8" max="8" width="11.6640625" style="556" bestFit="1" customWidth="1"/>
    <col min="9" max="9" width="10.109375" style="556" customWidth="1"/>
    <col min="10" max="10" width="5.5546875" style="556" customWidth="1"/>
    <col min="11" max="11" width="8.33203125" style="556" hidden="1" customWidth="1"/>
    <col min="12" max="12" width="52.44140625" style="556" hidden="1" customWidth="1"/>
    <col min="13" max="13" width="8.5546875" style="556" hidden="1" customWidth="1"/>
    <col min="14" max="14" width="12.109375" style="556" hidden="1" customWidth="1"/>
    <col min="15" max="15" width="12" style="556" hidden="1" customWidth="1"/>
    <col min="16" max="17" width="10" style="556" hidden="1" customWidth="1"/>
    <col min="18" max="18" width="10.88671875" style="556" hidden="1" customWidth="1"/>
    <col min="19" max="19" width="11" style="556" hidden="1" customWidth="1"/>
    <col min="20" max="20" width="10" style="556" hidden="1" customWidth="1"/>
    <col min="21" max="21" width="10.88671875" style="556" hidden="1" customWidth="1"/>
    <col min="22" max="22" width="12.5546875" style="556" hidden="1" customWidth="1"/>
    <col min="23" max="25" width="10.88671875" style="556" hidden="1" customWidth="1"/>
    <col min="26" max="26" width="7.88671875" style="556" hidden="1" customWidth="1"/>
    <col min="27" max="16384" width="7.5546875" style="556"/>
  </cols>
  <sheetData>
    <row r="1" spans="1:10" ht="6.75" customHeight="1" thickBot="1">
      <c r="A1" s="621"/>
      <c r="B1" s="621"/>
      <c r="C1" s="621"/>
      <c r="D1" s="621"/>
      <c r="E1" s="621"/>
      <c r="F1" s="621"/>
      <c r="G1" s="621"/>
      <c r="H1" s="621"/>
      <c r="I1" s="621"/>
      <c r="J1" s="621"/>
    </row>
    <row r="2" spans="1:10" ht="30" customHeight="1">
      <c r="A2" s="548" t="s">
        <v>1001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ht="15" customHeight="1">
      <c r="A3" s="622"/>
      <c r="B3" s="551"/>
      <c r="C3" s="551"/>
      <c r="D3" s="541"/>
      <c r="E3" s="541"/>
      <c r="F3" s="541"/>
      <c r="G3" s="541"/>
      <c r="H3" s="551"/>
      <c r="I3" s="551"/>
      <c r="J3" s="551"/>
    </row>
    <row r="4" spans="1:10" ht="15" customHeight="1">
      <c r="A4" s="622"/>
      <c r="B4" s="577" t="s">
        <v>262</v>
      </c>
      <c r="C4" s="551"/>
      <c r="D4" s="541"/>
      <c r="E4" s="541"/>
      <c r="F4" s="541"/>
      <c r="G4" s="541"/>
      <c r="H4" s="582">
        <v>1</v>
      </c>
      <c r="I4" s="551"/>
      <c r="J4" s="551"/>
    </row>
    <row r="5" spans="1:10" ht="15" customHeight="1">
      <c r="A5" s="622"/>
      <c r="B5" s="577"/>
      <c r="C5" s="551"/>
      <c r="D5" s="541"/>
      <c r="E5" s="541"/>
      <c r="F5" s="541"/>
      <c r="G5" s="541"/>
      <c r="H5" s="582"/>
      <c r="I5" s="551"/>
      <c r="J5" s="551"/>
    </row>
    <row r="6" spans="1:10" ht="15" customHeight="1">
      <c r="A6" s="622"/>
      <c r="B6" s="577" t="s">
        <v>1002</v>
      </c>
      <c r="C6" s="551"/>
      <c r="D6" s="541"/>
      <c r="E6" s="541"/>
      <c r="F6" s="541"/>
      <c r="G6" s="541"/>
      <c r="H6" s="582">
        <v>2</v>
      </c>
      <c r="I6" s="551"/>
      <c r="J6" s="551"/>
    </row>
    <row r="7" spans="1:10" ht="15" customHeight="1">
      <c r="A7" s="622"/>
      <c r="B7" s="551"/>
      <c r="C7" s="551"/>
      <c r="D7" s="541"/>
      <c r="E7" s="541"/>
      <c r="F7" s="541"/>
      <c r="G7" s="541"/>
      <c r="H7" s="582"/>
      <c r="I7" s="551"/>
      <c r="J7" s="551"/>
    </row>
    <row r="8" spans="1:10" ht="15" customHeight="1">
      <c r="A8" s="622"/>
      <c r="B8" s="577" t="s">
        <v>1003</v>
      </c>
      <c r="C8" s="551"/>
      <c r="D8" s="541"/>
      <c r="E8" s="541"/>
      <c r="F8" s="541"/>
      <c r="G8" s="541"/>
      <c r="H8" s="582">
        <v>1</v>
      </c>
      <c r="I8" s="551"/>
      <c r="J8" s="551"/>
    </row>
    <row r="9" spans="1:10" ht="15" customHeight="1">
      <c r="A9" s="622"/>
      <c r="B9" s="551"/>
      <c r="C9" s="551"/>
      <c r="D9" s="541"/>
      <c r="E9" s="541"/>
      <c r="F9" s="541"/>
      <c r="G9" s="541"/>
      <c r="H9" s="582"/>
      <c r="I9" s="551"/>
      <c r="J9" s="551"/>
    </row>
    <row r="10" spans="1:10" ht="15" customHeight="1">
      <c r="A10" s="622"/>
      <c r="B10" s="577" t="s">
        <v>1004</v>
      </c>
      <c r="C10" s="551"/>
      <c r="D10" s="541"/>
      <c r="E10" s="541"/>
      <c r="F10" s="541"/>
      <c r="G10" s="541"/>
      <c r="H10" s="582">
        <v>1</v>
      </c>
      <c r="I10" s="551"/>
      <c r="J10" s="551"/>
    </row>
    <row r="11" spans="1:10" ht="15" customHeight="1">
      <c r="A11" s="622"/>
      <c r="B11" s="551" t="s">
        <v>1005</v>
      </c>
      <c r="C11" s="551"/>
      <c r="D11" s="541"/>
      <c r="E11" s="541"/>
      <c r="F11" s="541"/>
      <c r="G11" s="541"/>
      <c r="H11" s="551"/>
      <c r="I11" s="551"/>
      <c r="J11" s="551"/>
    </row>
    <row r="12" spans="1:10" ht="15" customHeight="1">
      <c r="A12" s="622"/>
      <c r="B12" s="551" t="s">
        <v>1006</v>
      </c>
      <c r="C12" s="551"/>
      <c r="D12" s="541"/>
      <c r="E12" s="541"/>
      <c r="F12" s="541"/>
      <c r="G12" s="541"/>
      <c r="H12" s="551"/>
      <c r="I12" s="551"/>
      <c r="J12" s="551"/>
    </row>
    <row r="13" spans="1:10" ht="21" customHeight="1" thickBot="1">
      <c r="A13" s="623"/>
      <c r="B13" s="624" t="s">
        <v>1007</v>
      </c>
      <c r="C13" s="621"/>
      <c r="D13" s="625"/>
      <c r="E13" s="625"/>
      <c r="F13" s="625"/>
      <c r="G13" s="625"/>
      <c r="H13" s="621"/>
      <c r="I13" s="621"/>
      <c r="J13" s="621"/>
    </row>
    <row r="14" spans="1:10" ht="15" customHeight="1">
      <c r="A14" s="622"/>
      <c r="B14" s="577" t="s">
        <v>1008</v>
      </c>
      <c r="C14" s="551"/>
      <c r="D14" s="551"/>
      <c r="E14" s="551"/>
      <c r="F14" s="551"/>
      <c r="G14" s="551"/>
      <c r="H14" s="551"/>
      <c r="I14" s="551"/>
      <c r="J14" s="551"/>
    </row>
    <row r="15" spans="1:10" ht="15" hidden="1" customHeight="1">
      <c r="A15" s="622"/>
      <c r="B15" s="577" t="s">
        <v>1009</v>
      </c>
      <c r="C15" s="551"/>
      <c r="D15" s="551"/>
      <c r="E15" s="551"/>
      <c r="F15" s="551"/>
      <c r="G15" s="551"/>
      <c r="H15" s="551"/>
      <c r="I15" s="551"/>
      <c r="J15" s="551"/>
    </row>
    <row r="16" spans="1:10" ht="15" hidden="1" customHeight="1">
      <c r="A16" s="573"/>
      <c r="B16" s="577" t="s">
        <v>1010</v>
      </c>
      <c r="C16" s="551"/>
      <c r="D16" s="551"/>
      <c r="E16" s="551"/>
      <c r="F16" s="551"/>
      <c r="G16" s="551"/>
      <c r="H16" s="551"/>
      <c r="I16" s="551"/>
      <c r="J16" s="551"/>
    </row>
    <row r="17" spans="1:39" hidden="1">
      <c r="A17" s="551"/>
      <c r="B17" s="551"/>
      <c r="C17" s="551"/>
      <c r="D17" s="551"/>
      <c r="E17" s="551"/>
      <c r="F17" s="551"/>
      <c r="G17" s="551"/>
      <c r="H17" s="551"/>
      <c r="I17" s="551"/>
      <c r="J17" s="551"/>
    </row>
    <row r="18" spans="1:39" ht="15.75" hidden="1">
      <c r="A18" s="551"/>
      <c r="B18" s="626" t="s">
        <v>1011</v>
      </c>
      <c r="E18" s="627" t="s">
        <v>1012</v>
      </c>
      <c r="I18" s="628"/>
      <c r="J18" s="551"/>
    </row>
    <row r="19" spans="1:39" ht="15.75" hidden="1">
      <c r="A19" s="551"/>
      <c r="B19" s="626" t="s">
        <v>1013</v>
      </c>
      <c r="E19" s="627" t="s">
        <v>1014</v>
      </c>
      <c r="I19" s="628"/>
      <c r="J19" s="551"/>
    </row>
    <row r="20" spans="1:39" ht="15.75" hidden="1">
      <c r="A20" s="551"/>
      <c r="B20" s="626" t="s">
        <v>1015</v>
      </c>
      <c r="E20" s="629" t="s">
        <v>1016</v>
      </c>
      <c r="J20" s="551"/>
    </row>
    <row r="21" spans="1:39" hidden="1">
      <c r="A21" s="551"/>
      <c r="J21" s="551"/>
    </row>
    <row r="22" spans="1:39" s="631" customFormat="1" hidden="1">
      <c r="A22" s="630"/>
      <c r="J22" s="630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</row>
    <row r="23" spans="1:39" s="631" customFormat="1" hidden="1">
      <c r="A23" s="630"/>
      <c r="B23" s="632" t="s">
        <v>1017</v>
      </c>
      <c r="C23" s="632"/>
      <c r="D23" s="632" t="s">
        <v>1018</v>
      </c>
      <c r="E23" s="632"/>
      <c r="F23" s="633" t="s">
        <v>262</v>
      </c>
      <c r="G23" s="632"/>
      <c r="H23" s="632"/>
      <c r="I23" s="633" t="s">
        <v>1019</v>
      </c>
      <c r="J23" s="630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</row>
    <row r="24" spans="1:39" s="639" customFormat="1" hidden="1">
      <c r="A24" s="634"/>
      <c r="B24" s="635" t="e">
        <f>Location!D4</f>
        <v>#N/A</v>
      </c>
      <c r="C24" s="636"/>
      <c r="D24" s="635" t="str">
        <f>INDEX(U82:U86,H10)</f>
        <v>None</v>
      </c>
      <c r="E24" s="636"/>
      <c r="F24" s="637" t="str">
        <f>INDEX(L173:L177,H4) &amp;IF(H8=2,"-All Elec","")</f>
        <v>Single Family House</v>
      </c>
      <c r="G24" s="636"/>
      <c r="H24" s="636"/>
      <c r="I24" s="638" t="str">
        <f>FormDate</f>
        <v>July 31,2015</v>
      </c>
      <c r="J24" s="634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</row>
    <row r="25" spans="1:39" s="631" customFormat="1" hidden="1">
      <c r="A25" s="630"/>
      <c r="B25" s="631" t="s">
        <v>1020</v>
      </c>
      <c r="D25" s="640" t="s">
        <v>1021</v>
      </c>
      <c r="E25" s="641"/>
      <c r="F25" s="641"/>
      <c r="G25" s="641"/>
      <c r="H25" s="641"/>
      <c r="I25" s="641"/>
      <c r="J25" s="630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</row>
    <row r="26" spans="1:39" s="631" customFormat="1" hidden="1">
      <c r="A26" s="630"/>
      <c r="B26" s="642"/>
      <c r="C26" s="642"/>
      <c r="D26" s="643" t="s">
        <v>1022</v>
      </c>
      <c r="E26" s="643" t="s">
        <v>1023</v>
      </c>
      <c r="F26" s="643" t="s">
        <v>1024</v>
      </c>
      <c r="G26" s="643" t="s">
        <v>1025</v>
      </c>
      <c r="H26" s="643" t="s">
        <v>1026</v>
      </c>
      <c r="I26" s="643" t="s">
        <v>1027</v>
      </c>
      <c r="J26" s="630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</row>
    <row r="27" spans="1:39" s="645" customFormat="1" hidden="1">
      <c r="A27" s="644"/>
      <c r="B27" s="645" t="s">
        <v>253</v>
      </c>
      <c r="C27" s="646" t="s">
        <v>1028</v>
      </c>
      <c r="D27" s="647" t="e">
        <f>N938</f>
        <v>#N/A</v>
      </c>
      <c r="E27" s="647" t="e">
        <f t="shared" ref="E27:I27" si="0">O938</f>
        <v>#N/A</v>
      </c>
      <c r="F27" s="647" t="e">
        <f t="shared" si="0"/>
        <v>#N/A</v>
      </c>
      <c r="G27" s="647" t="e">
        <f t="shared" si="0"/>
        <v>#N/A</v>
      </c>
      <c r="H27" s="647" t="e">
        <f t="shared" si="0"/>
        <v>#N/A</v>
      </c>
      <c r="I27" s="647" t="e">
        <f t="shared" si="0"/>
        <v>#N/A</v>
      </c>
      <c r="J27" s="644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</row>
    <row r="28" spans="1:39" s="645" customFormat="1" hidden="1">
      <c r="A28" s="644"/>
      <c r="C28" s="648" t="s">
        <v>1029</v>
      </c>
      <c r="D28" s="649" t="e">
        <f t="shared" ref="D28:I28" si="1">N943</f>
        <v>#N/A</v>
      </c>
      <c r="E28" s="649" t="e">
        <f t="shared" si="1"/>
        <v>#N/A</v>
      </c>
      <c r="F28" s="649" t="e">
        <f t="shared" si="1"/>
        <v>#N/A</v>
      </c>
      <c r="G28" s="649" t="e">
        <f t="shared" si="1"/>
        <v>#N/A</v>
      </c>
      <c r="H28" s="649" t="e">
        <f t="shared" si="1"/>
        <v>#N/A</v>
      </c>
      <c r="I28" s="649" t="e">
        <f t="shared" si="1"/>
        <v>#N/A</v>
      </c>
      <c r="J28" s="644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</row>
    <row r="29" spans="1:39" s="645" customFormat="1" hidden="1">
      <c r="A29" s="644"/>
      <c r="C29" s="646" t="s">
        <v>1030</v>
      </c>
      <c r="D29" s="647" t="e">
        <f t="shared" ref="D29:I30" si="2">N931</f>
        <v>#N/A</v>
      </c>
      <c r="E29" s="647" t="e">
        <f t="shared" si="2"/>
        <v>#N/A</v>
      </c>
      <c r="F29" s="647" t="e">
        <f>P931</f>
        <v>#N/A</v>
      </c>
      <c r="G29" s="647" t="e">
        <f t="shared" si="2"/>
        <v>#N/A</v>
      </c>
      <c r="H29" s="647" t="e">
        <f t="shared" si="2"/>
        <v>#N/A</v>
      </c>
      <c r="I29" s="647" t="e">
        <f t="shared" si="2"/>
        <v>#N/A</v>
      </c>
      <c r="J29" s="644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</row>
    <row r="30" spans="1:39" s="645" customFormat="1" hidden="1">
      <c r="A30" s="644"/>
      <c r="C30" s="646" t="s">
        <v>1031</v>
      </c>
      <c r="D30" s="647" t="e">
        <f>N932</f>
        <v>#N/A</v>
      </c>
      <c r="E30" s="647" t="e">
        <f t="shared" si="2"/>
        <v>#N/A</v>
      </c>
      <c r="F30" s="647" t="e">
        <f t="shared" si="2"/>
        <v>#N/A</v>
      </c>
      <c r="G30" s="647" t="e">
        <f t="shared" si="2"/>
        <v>#N/A</v>
      </c>
      <c r="H30" s="647" t="e">
        <f t="shared" si="2"/>
        <v>#N/A</v>
      </c>
      <c r="I30" s="647" t="e">
        <f t="shared" si="2"/>
        <v>#N/A</v>
      </c>
      <c r="J30" s="644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</row>
    <row r="31" spans="1:39" s="645" customFormat="1" hidden="1">
      <c r="A31" s="644"/>
      <c r="B31" s="646"/>
      <c r="C31" s="646" t="s">
        <v>1032</v>
      </c>
      <c r="D31" s="647" t="e">
        <f t="shared" ref="D31:I31" si="3">N947</f>
        <v>#N/A</v>
      </c>
      <c r="E31" s="647" t="e">
        <f t="shared" si="3"/>
        <v>#N/A</v>
      </c>
      <c r="F31" s="647" t="e">
        <f t="shared" si="3"/>
        <v>#N/A</v>
      </c>
      <c r="G31" s="647" t="e">
        <f t="shared" si="3"/>
        <v>#N/A</v>
      </c>
      <c r="H31" s="647" t="e">
        <f t="shared" si="3"/>
        <v>#N/A</v>
      </c>
      <c r="I31" s="647" t="e">
        <f t="shared" si="3"/>
        <v>#N/A</v>
      </c>
      <c r="J31" s="644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</row>
    <row r="32" spans="1:39" s="645" customFormat="1" hidden="1">
      <c r="A32" s="644"/>
      <c r="B32" s="645" t="s">
        <v>254</v>
      </c>
      <c r="C32" s="631" t="s">
        <v>1028</v>
      </c>
      <c r="D32" s="647">
        <f t="shared" ref="D32:I32" si="4">N936</f>
        <v>0</v>
      </c>
      <c r="E32" s="647">
        <f t="shared" si="4"/>
        <v>0</v>
      </c>
      <c r="F32" s="647">
        <f t="shared" si="4"/>
        <v>0</v>
      </c>
      <c r="G32" s="647">
        <f t="shared" si="4"/>
        <v>0</v>
      </c>
      <c r="H32" s="647">
        <f t="shared" si="4"/>
        <v>0</v>
      </c>
      <c r="I32" s="647">
        <f t="shared" si="4"/>
        <v>0</v>
      </c>
      <c r="J32" s="644"/>
      <c r="P32" s="650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</row>
    <row r="33" spans="1:39" s="645" customFormat="1" hidden="1">
      <c r="A33" s="644"/>
      <c r="C33" s="646" t="s">
        <v>1029</v>
      </c>
      <c r="D33" s="647">
        <f t="shared" ref="D33:I33" si="5">N941</f>
        <v>0</v>
      </c>
      <c r="E33" s="647">
        <f t="shared" si="5"/>
        <v>0</v>
      </c>
      <c r="F33" s="647">
        <f t="shared" si="5"/>
        <v>0</v>
      </c>
      <c r="G33" s="647">
        <f t="shared" si="5"/>
        <v>0</v>
      </c>
      <c r="H33" s="647">
        <f t="shared" si="5"/>
        <v>0</v>
      </c>
      <c r="I33" s="647">
        <f t="shared" si="5"/>
        <v>0</v>
      </c>
      <c r="J33" s="644"/>
      <c r="L33" s="645" t="b">
        <f>IF(AND(SUM(N52:N62)=0,Q41&gt;0),Q41)</f>
        <v>0</v>
      </c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</row>
    <row r="34" spans="1:39" s="645" customFormat="1" hidden="1">
      <c r="A34" s="644"/>
      <c r="C34" s="646" t="s">
        <v>1033</v>
      </c>
      <c r="D34" s="647">
        <f t="shared" ref="D34:I34" si="6">N929</f>
        <v>0</v>
      </c>
      <c r="E34" s="647">
        <f t="shared" si="6"/>
        <v>0</v>
      </c>
      <c r="F34" s="647">
        <f t="shared" si="6"/>
        <v>0</v>
      </c>
      <c r="G34" s="647">
        <f t="shared" si="6"/>
        <v>0</v>
      </c>
      <c r="H34" s="647">
        <f t="shared" si="6"/>
        <v>0</v>
      </c>
      <c r="I34" s="647">
        <f t="shared" si="6"/>
        <v>0</v>
      </c>
      <c r="J34" s="644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</row>
    <row r="35" spans="1:39" s="645" customFormat="1" hidden="1">
      <c r="A35" s="644"/>
      <c r="B35" s="646"/>
      <c r="C35" s="646" t="s">
        <v>1034</v>
      </c>
      <c r="D35" s="647">
        <v>0</v>
      </c>
      <c r="E35" s="647">
        <v>0</v>
      </c>
      <c r="F35" s="647">
        <v>0</v>
      </c>
      <c r="G35" s="647">
        <v>0</v>
      </c>
      <c r="H35" s="647">
        <v>0</v>
      </c>
      <c r="I35" s="647">
        <v>0</v>
      </c>
      <c r="J35" s="644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</row>
    <row r="36" spans="1:39" s="645" customFormat="1" ht="20.25" hidden="1">
      <c r="A36" s="644"/>
      <c r="B36" s="648" t="s">
        <v>1035</v>
      </c>
      <c r="C36" s="648"/>
      <c r="D36" s="649">
        <f t="shared" ref="D36:I36" si="7">N928</f>
        <v>0</v>
      </c>
      <c r="E36" s="649">
        <f t="shared" si="7"/>
        <v>0</v>
      </c>
      <c r="F36" s="649">
        <f t="shared" si="7"/>
        <v>0</v>
      </c>
      <c r="G36" s="649">
        <f t="shared" si="7"/>
        <v>0</v>
      </c>
      <c r="H36" s="649">
        <f t="shared" si="7"/>
        <v>0</v>
      </c>
      <c r="I36" s="649">
        <f t="shared" si="7"/>
        <v>0</v>
      </c>
      <c r="J36" s="644"/>
      <c r="L36" s="651" t="s">
        <v>1036</v>
      </c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</row>
    <row r="37" spans="1:39" s="645" customFormat="1" hidden="1">
      <c r="A37" s="644"/>
      <c r="B37" s="648" t="s">
        <v>1037</v>
      </c>
      <c r="C37" s="648"/>
      <c r="D37" s="649" t="e">
        <f t="shared" ref="D37:I37" si="8">N933</f>
        <v>#N/A</v>
      </c>
      <c r="E37" s="649" t="e">
        <f t="shared" si="8"/>
        <v>#N/A</v>
      </c>
      <c r="F37" s="649" t="e">
        <f t="shared" si="8"/>
        <v>#N/A</v>
      </c>
      <c r="G37" s="649" t="e">
        <f t="shared" si="8"/>
        <v>#N/A</v>
      </c>
      <c r="H37" s="649" t="e">
        <f t="shared" si="8"/>
        <v>#N/A</v>
      </c>
      <c r="I37" s="649" t="e">
        <f t="shared" si="8"/>
        <v>#N/A</v>
      </c>
      <c r="J37" s="644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</row>
    <row r="38" spans="1:39" s="645" customFormat="1" ht="18" hidden="1">
      <c r="A38" s="644"/>
      <c r="B38" s="645" t="s">
        <v>1038</v>
      </c>
      <c r="C38" s="646" t="s">
        <v>1028</v>
      </c>
      <c r="D38" s="647" t="e">
        <f t="shared" ref="D38:I38" si="9">N937</f>
        <v>#N/A</v>
      </c>
      <c r="E38" s="647" t="e">
        <f t="shared" si="9"/>
        <v>#N/A</v>
      </c>
      <c r="F38" s="647" t="e">
        <f t="shared" si="9"/>
        <v>#N/A</v>
      </c>
      <c r="G38" s="647" t="e">
        <f t="shared" si="9"/>
        <v>#N/A</v>
      </c>
      <c r="H38" s="647" t="e">
        <f t="shared" si="9"/>
        <v>#N/A</v>
      </c>
      <c r="I38" s="647" t="e">
        <f t="shared" si="9"/>
        <v>#N/A</v>
      </c>
      <c r="J38" s="644"/>
      <c r="L38" s="652" t="s">
        <v>1039</v>
      </c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</row>
    <row r="39" spans="1:39" s="645" customFormat="1" hidden="1">
      <c r="A39" s="644"/>
      <c r="C39" s="648" t="s">
        <v>1029</v>
      </c>
      <c r="D39" s="649" t="e">
        <f t="shared" ref="D39:I39" si="10">N942</f>
        <v>#N/A</v>
      </c>
      <c r="E39" s="649" t="e">
        <f t="shared" si="10"/>
        <v>#N/A</v>
      </c>
      <c r="F39" s="649" t="e">
        <f t="shared" si="10"/>
        <v>#N/A</v>
      </c>
      <c r="G39" s="649" t="e">
        <f t="shared" si="10"/>
        <v>#N/A</v>
      </c>
      <c r="H39" s="649" t="e">
        <f t="shared" si="10"/>
        <v>#N/A</v>
      </c>
      <c r="I39" s="649" t="e">
        <f t="shared" si="10"/>
        <v>#N/A</v>
      </c>
      <c r="J39" s="644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</row>
    <row r="40" spans="1:39" s="645" customFormat="1" hidden="1">
      <c r="A40" s="644"/>
      <c r="C40" s="646" t="s">
        <v>1033</v>
      </c>
      <c r="D40" s="647" t="e">
        <f t="shared" ref="D40:I40" si="11">N930</f>
        <v>#N/A</v>
      </c>
      <c r="E40" s="647" t="e">
        <f t="shared" si="11"/>
        <v>#N/A</v>
      </c>
      <c r="F40" s="647" t="e">
        <f t="shared" si="11"/>
        <v>#N/A</v>
      </c>
      <c r="G40" s="647" t="e">
        <f t="shared" si="11"/>
        <v>#N/A</v>
      </c>
      <c r="H40" s="647" t="e">
        <f t="shared" si="11"/>
        <v>#N/A</v>
      </c>
      <c r="I40" s="647" t="e">
        <f t="shared" si="11"/>
        <v>#N/A</v>
      </c>
      <c r="J40" s="644"/>
      <c r="L40" s="556"/>
      <c r="M40" s="653" t="s">
        <v>1040</v>
      </c>
      <c r="N40" s="653" t="s">
        <v>1041</v>
      </c>
      <c r="O40" s="645" t="s">
        <v>1042</v>
      </c>
      <c r="P40" s="653" t="s">
        <v>1043</v>
      </c>
      <c r="Q40" s="653" t="s">
        <v>1044</v>
      </c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</row>
    <row r="41" spans="1:39" s="645" customFormat="1" hidden="1">
      <c r="A41" s="644"/>
      <c r="B41" s="646"/>
      <c r="C41" s="646" t="s">
        <v>1045</v>
      </c>
      <c r="D41" s="647" t="e">
        <f t="shared" ref="D41:I41" si="12">N946</f>
        <v>#N/A</v>
      </c>
      <c r="E41" s="647" t="e">
        <f t="shared" si="12"/>
        <v>#N/A</v>
      </c>
      <c r="F41" s="647" t="e">
        <f t="shared" si="12"/>
        <v>#N/A</v>
      </c>
      <c r="G41" s="647" t="e">
        <f t="shared" si="12"/>
        <v>#N/A</v>
      </c>
      <c r="H41" s="647" t="e">
        <f t="shared" si="12"/>
        <v>#N/A</v>
      </c>
      <c r="I41" s="647" t="e">
        <f t="shared" si="12"/>
        <v>#N/A</v>
      </c>
      <c r="J41" s="644"/>
      <c r="L41" s="618" t="s">
        <v>1046</v>
      </c>
      <c r="M41" s="654">
        <f>D54+SUMIF(C53,"Electric",D53)+SUMIF(C56,"Electric",D56)+SUMIF(C52, "Electric Resistance", D52)+SUMIF(C52, "Electric Heat Pump", D52)+SUMIF(C55,"Electric",D55)</f>
        <v>0</v>
      </c>
      <c r="N41" s="655">
        <v>0</v>
      </c>
      <c r="O41" s="656">
        <f>IF(N41=0,M41+$N$372,$M41)</f>
        <v>0</v>
      </c>
      <c r="P41" s="657">
        <f>IF(M368,IF(AND(ISNUMBER(Tariffs!J65),Tariffs!J65&lt;&gt;0,Tariffs!I65,OR(Tariffs!J65&gt;O41, NOT(ISNUMBER(Tariffs!J65)))),MAX(Tariffs!J65,O41),IF(AND(ISNUMBER(Tariffs!L65),Tariffs!L65&lt;&gt;0,Tariffs!K65,OR(Tariffs!L65&lt;O41,NOT(ISNUMBER(Tariffs!L65)))),MIN(Tariffs!L65,O41),IF(AND(ISNUMBER(O41),O41&lt;&gt;0),O41,0))), IF(AND(ISNUMBER(Tariffs!J18),Tariffs!J18&lt;&gt;0,Tariffs!I18,OR(Tariffs!J18&gt;O41, NOT(ISNUMBER(Tariffs!J18)))),MAX(Tariffs!J18,O41),IF(AND(ISNUMBER(Tariffs!L18),Tariffs!L18&lt;&gt;0,Tariffs!K18,OR(Tariffs!L18&lt;O41,NOT(ISNUMBER(Tariffs!L18)))),MIN(Tariffs!L18,O41),IF(AND(ISNUMBER(O41),O41&lt;&gt;0),O41,0))))</f>
        <v>0</v>
      </c>
      <c r="Q41" s="654">
        <f t="shared" ref="Q41:Q46" si="13">P41-M41</f>
        <v>0</v>
      </c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6"/>
    </row>
    <row r="42" spans="1:39" s="645" customFormat="1" hidden="1">
      <c r="A42" s="644"/>
      <c r="B42" s="648" t="s">
        <v>1047</v>
      </c>
      <c r="C42" s="648"/>
      <c r="D42" s="649" t="e">
        <f t="shared" ref="D42:I43" si="14">N949</f>
        <v>#N/A</v>
      </c>
      <c r="E42" s="649" t="e">
        <f t="shared" si="14"/>
        <v>#N/A</v>
      </c>
      <c r="F42" s="649" t="e">
        <f t="shared" si="14"/>
        <v>#N/A</v>
      </c>
      <c r="G42" s="649" t="e">
        <f t="shared" si="14"/>
        <v>#N/A</v>
      </c>
      <c r="H42" s="649" t="e">
        <f t="shared" si="14"/>
        <v>#N/A</v>
      </c>
      <c r="I42" s="649" t="e">
        <f t="shared" si="14"/>
        <v>#N/A</v>
      </c>
      <c r="J42" s="644"/>
      <c r="L42" s="618" t="s">
        <v>1048</v>
      </c>
      <c r="M42" s="654">
        <f>SUMIF(C53,"Natural Gas",D53)+SUMIF(C56,"Natural Gas",D56)+SUMIF(C52,"Natural Gas",D52)</f>
        <v>0</v>
      </c>
      <c r="N42" s="655">
        <v>0</v>
      </c>
      <c r="O42" s="656">
        <f>IF(N42=0,M42+$O$372,$M42)</f>
        <v>0</v>
      </c>
      <c r="P42" s="657">
        <f>IF(AND(ISNUMBER(Tariffs!J110),Tariffs!J110&lt;&gt;0,Tariffs!I110,OR(Tariffs!J110&gt;O42, NOT(ISNUMBER(Tariffs!J110)))),MAX(Tariffs!J110,O42),IF(AND(ISNUMBER(Tariffs!L110),Tariffs!L110&lt;&gt;0,Tariffs!K110,OR(Tariffs!L110&lt;O42,NOT(ISNUMBER(Tariffs!L110)))),MIN(Tariffs!L110,O42),IF(AND(ISNUMBER(O42),O42&lt;&gt;0),O42,0)))</f>
        <v>0</v>
      </c>
      <c r="Q42" s="654">
        <f t="shared" si="13"/>
        <v>0</v>
      </c>
    </row>
    <row r="43" spans="1:39" s="645" customFormat="1" hidden="1">
      <c r="A43" s="644"/>
      <c r="B43" s="648" t="s">
        <v>1049</v>
      </c>
      <c r="C43" s="648"/>
      <c r="D43" s="649" t="e">
        <f t="shared" si="14"/>
        <v>#N/A</v>
      </c>
      <c r="E43" s="649" t="e">
        <f t="shared" si="14"/>
        <v>#N/A</v>
      </c>
      <c r="F43" s="649" t="e">
        <f t="shared" si="14"/>
        <v>#N/A</v>
      </c>
      <c r="G43" s="649" t="e">
        <f t="shared" si="14"/>
        <v>#N/A</v>
      </c>
      <c r="H43" s="649" t="e">
        <f t="shared" si="14"/>
        <v>#N/A</v>
      </c>
      <c r="I43" s="649" t="e">
        <f t="shared" si="14"/>
        <v>#N/A</v>
      </c>
      <c r="J43" s="644"/>
      <c r="L43" s="618" t="s">
        <v>1050</v>
      </c>
      <c r="M43" s="654">
        <f>SUMIF(C56,"Fuel Oil",D56)+SUMIF(C52,"Fuel Oil",D52)</f>
        <v>0</v>
      </c>
      <c r="N43" s="655">
        <v>0</v>
      </c>
      <c r="O43" s="656">
        <f>IF(N43=0,M43+$P$372,$M43)</f>
        <v>0</v>
      </c>
      <c r="P43" s="657">
        <f>IF(AND(ISNUMBER(Tariffs!J144),Tariffs!J144&lt;&gt;0,Tariffs!I144,OR(Tariffs!J144&gt;O43, NOT(ISNUMBER(Tariffs!J144)))),MAX(Tariffs!J144,O43),IF(AND(ISNUMBER(Tariffs!L144),Tariffs!L144&lt;&gt;0,Tariffs!K144,OR(Tariffs!L144&lt;O43,NOT(ISNUMBER(Tariffs!L144)))),MIN(Tariffs!L144,O43),IF(AND(ISNUMBER(O43),O43&lt;&gt;0),O43,0)))</f>
        <v>0</v>
      </c>
      <c r="Q43" s="654">
        <f t="shared" si="13"/>
        <v>0</v>
      </c>
    </row>
    <row r="44" spans="1:39" s="645" customFormat="1" hidden="1">
      <c r="A44" s="644"/>
      <c r="B44" s="648" t="s">
        <v>1051</v>
      </c>
      <c r="C44" s="648"/>
      <c r="D44" s="649">
        <f t="shared" ref="D44:I47" si="15">N966</f>
        <v>0</v>
      </c>
      <c r="E44" s="649">
        <f t="shared" si="15"/>
        <v>0</v>
      </c>
      <c r="F44" s="649">
        <f t="shared" si="15"/>
        <v>0</v>
      </c>
      <c r="G44" s="649">
        <f t="shared" si="15"/>
        <v>0</v>
      </c>
      <c r="H44" s="649">
        <f t="shared" si="15"/>
        <v>0</v>
      </c>
      <c r="I44" s="649">
        <f t="shared" si="15"/>
        <v>0</v>
      </c>
      <c r="J44" s="644"/>
      <c r="L44" s="618" t="s">
        <v>1052</v>
      </c>
      <c r="M44" s="654">
        <f>SUMIF(C53,"Bottled Gas",D53)+SUMIF(C56,"Bottled Gas",D56)+SUMIF(C52,"Bottled Gas",D52)</f>
        <v>0</v>
      </c>
      <c r="N44" s="655">
        <v>0</v>
      </c>
      <c r="O44" s="656">
        <f>IF(N44=0,M44+$Q$372,$M44)</f>
        <v>0</v>
      </c>
      <c r="P44" s="657">
        <f>IF(AND(ISNUMBER(Tariffs!J166),Tariffs!J166&lt;&gt;0,Tariffs!I166,OR(Tariffs!J166&gt;O44, NOT(ISNUMBER(Tariffs!J166)))),MAX(Tariffs!J166,O44),IF(AND(ISNUMBER(Tariffs!L166),Tariffs!L166&lt;&gt;0,Tariffs!K166,OR(Tariffs!L166&lt;O44,NOT(ISNUMBER(Tariffs!L166)))),MIN(Tariffs!L166,O44),IF(AND(ISNUMBER(O44),O44&lt;&gt;0),O44,0)))</f>
        <v>0</v>
      </c>
      <c r="Q44" s="654">
        <f t="shared" si="13"/>
        <v>0</v>
      </c>
    </row>
    <row r="45" spans="1:39" s="645" customFormat="1" hidden="1">
      <c r="A45" s="644"/>
      <c r="B45" s="648" t="s">
        <v>1053</v>
      </c>
      <c r="C45" s="648"/>
      <c r="D45" s="649">
        <f t="shared" si="15"/>
        <v>0</v>
      </c>
      <c r="E45" s="649">
        <f t="shared" si="15"/>
        <v>0</v>
      </c>
      <c r="F45" s="649">
        <f t="shared" si="15"/>
        <v>0</v>
      </c>
      <c r="G45" s="649">
        <f t="shared" si="15"/>
        <v>0</v>
      </c>
      <c r="H45" s="649">
        <f t="shared" si="15"/>
        <v>0</v>
      </c>
      <c r="I45" s="649">
        <f t="shared" si="15"/>
        <v>0</v>
      </c>
      <c r="J45" s="644"/>
      <c r="L45" s="618" t="s">
        <v>1047</v>
      </c>
      <c r="M45" s="654">
        <f>D57</f>
        <v>0</v>
      </c>
      <c r="N45" s="645">
        <f>IF(C57="Tenant pays",1,0)</f>
        <v>0</v>
      </c>
      <c r="O45" s="656">
        <f>IF(N45=0,M45+$R$372,$M45)</f>
        <v>0</v>
      </c>
      <c r="P45" s="657">
        <f>IF(AND(ISNUMBER(Tariffs!J190),Tariffs!J190&lt;&gt;0,Tariffs!I190,OR(Tariffs!J190&gt;O45, NOT(ISNUMBER(Tariffs!J190)))),MAX(Tariffs!J190,O45),IF(AND(ISNUMBER(Tariffs!L190),Tariffs!L190&lt;&gt;0,Tariffs!K190,OR(Tariffs!L190&lt;O45,NOT(ISNUMBER(Tariffs!L190)))),MIN(Tariffs!L190,O45),IF(AND(ISNUMBER(O45),O45&lt;&gt;0),O45,0)))</f>
        <v>0</v>
      </c>
      <c r="Q45" s="654">
        <f t="shared" si="13"/>
        <v>0</v>
      </c>
    </row>
    <row r="46" spans="1:39" s="645" customFormat="1" hidden="1">
      <c r="A46" s="644"/>
      <c r="B46" s="648" t="s">
        <v>76</v>
      </c>
      <c r="C46" s="648"/>
      <c r="D46" s="649">
        <f t="shared" si="15"/>
        <v>0</v>
      </c>
      <c r="E46" s="649">
        <f t="shared" si="15"/>
        <v>0</v>
      </c>
      <c r="F46" s="649">
        <f t="shared" si="15"/>
        <v>0</v>
      </c>
      <c r="G46" s="649">
        <f t="shared" si="15"/>
        <v>0</v>
      </c>
      <c r="H46" s="649">
        <f t="shared" si="15"/>
        <v>0</v>
      </c>
      <c r="I46" s="649">
        <f t="shared" si="15"/>
        <v>0</v>
      </c>
      <c r="J46" s="644"/>
      <c r="L46" s="618" t="s">
        <v>1049</v>
      </c>
      <c r="M46" s="654">
        <f>D58</f>
        <v>0</v>
      </c>
      <c r="N46" s="645">
        <f>IF(C58="Tenant pays",1,0)</f>
        <v>0</v>
      </c>
      <c r="O46" s="656">
        <f>IF(N46=0,M46+$S$372,$M46)</f>
        <v>0</v>
      </c>
      <c r="P46" s="657">
        <f>IF(AND(ISNUMBER(Tariffs!J216),Tariffs!J216&lt;&gt;0,Tariffs!I216,OR(Tariffs!J216&gt;O46, NOT(ISNUMBER(Tariffs!J216)))),MAX(Tariffs!J216,O46),IF(AND(ISNUMBER(Tariffs!L216),Tariffs!L216&lt;&gt;0,Tariffs!K216,OR(Tariffs!L216&lt;O46,NOT(ISNUMBER(Tariffs!L216)))),MIN(Tariffs!L216,O46),IF(AND(ISNUMBER(O46),O46&lt;&gt;0),O46,0)))</f>
        <v>0</v>
      </c>
      <c r="Q46" s="654">
        <f t="shared" si="13"/>
        <v>0</v>
      </c>
    </row>
    <row r="47" spans="1:39" s="645" customFormat="1" hidden="1">
      <c r="A47" s="644"/>
      <c r="B47" s="648" t="s">
        <v>1054</v>
      </c>
      <c r="C47" s="648"/>
      <c r="D47" s="649">
        <f t="shared" si="15"/>
        <v>0</v>
      </c>
      <c r="E47" s="649">
        <f t="shared" si="15"/>
        <v>0</v>
      </c>
      <c r="F47" s="649">
        <f t="shared" si="15"/>
        <v>0</v>
      </c>
      <c r="G47" s="649">
        <f t="shared" si="15"/>
        <v>0</v>
      </c>
      <c r="H47" s="649">
        <f t="shared" si="15"/>
        <v>0</v>
      </c>
      <c r="I47" s="649">
        <f t="shared" si="15"/>
        <v>0</v>
      </c>
      <c r="J47" s="644"/>
    </row>
    <row r="48" spans="1:39">
      <c r="A48" s="551"/>
      <c r="B48" s="658" t="s">
        <v>1055</v>
      </c>
      <c r="J48" s="551"/>
      <c r="U48" s="645"/>
      <c r="V48" s="645"/>
      <c r="W48" s="645"/>
      <c r="X48" s="645"/>
      <c r="Y48" s="645"/>
    </row>
    <row r="49" spans="1:30">
      <c r="A49" s="551"/>
      <c r="B49" s="658" t="s">
        <v>1056</v>
      </c>
      <c r="C49" s="556" t="str">
        <f>INDEX(unit_sizes,$C$87)</f>
        <v>0 BR</v>
      </c>
      <c r="J49" s="551"/>
      <c r="U49" s="645"/>
      <c r="V49" s="645"/>
      <c r="W49" s="645"/>
      <c r="X49" s="645"/>
      <c r="Y49" s="645"/>
    </row>
    <row r="50" spans="1:30">
      <c r="A50" s="551"/>
      <c r="B50" s="658"/>
      <c r="J50" s="551"/>
      <c r="V50" s="645"/>
      <c r="W50" s="645"/>
      <c r="X50" s="645"/>
      <c r="Y50" s="645"/>
      <c r="Z50" s="645"/>
    </row>
    <row r="51" spans="1:30" ht="22.5">
      <c r="A51" s="551"/>
      <c r="B51" s="659" t="s">
        <v>1020</v>
      </c>
      <c r="C51" s="660" t="s">
        <v>1057</v>
      </c>
      <c r="D51" s="661" t="s">
        <v>1058</v>
      </c>
      <c r="J51" s="551"/>
      <c r="M51" s="618" t="s">
        <v>1059</v>
      </c>
      <c r="N51" s="618" t="s">
        <v>1046</v>
      </c>
      <c r="O51" s="618" t="s">
        <v>1048</v>
      </c>
      <c r="P51" s="618" t="s">
        <v>1050</v>
      </c>
      <c r="Q51" s="618" t="s">
        <v>1052</v>
      </c>
      <c r="R51" s="618" t="s">
        <v>1047</v>
      </c>
      <c r="S51" s="618" t="s">
        <v>1049</v>
      </c>
      <c r="V51" s="645"/>
      <c r="W51" s="645"/>
      <c r="X51" s="645"/>
      <c r="Y51" s="645"/>
      <c r="Z51" s="645"/>
    </row>
    <row r="52" spans="1:30">
      <c r="A52" s="551"/>
      <c r="B52" s="662" t="s">
        <v>253</v>
      </c>
      <c r="C52" s="663" t="str">
        <f>INDEX(source_heating,C90)</f>
        <v>Not Applicable</v>
      </c>
      <c r="D52" s="664">
        <f t="array" ref="D52">SUM(IF(($N$926:$S$926=$C$49)*($I$929:$I$951=$C$52)*($L$928:$L$950=$B$52),$N$928:$S$950))</f>
        <v>0</v>
      </c>
      <c r="G52" s="654"/>
      <c r="J52" s="551"/>
      <c r="L52" s="665" t="s">
        <v>253</v>
      </c>
      <c r="N52" s="556">
        <f>IF(OR(C52="Electric Resistance",C52="Electric Heat Pump"),1,0)</f>
        <v>0</v>
      </c>
      <c r="O52" s="556">
        <f>IF(C52="Natural Gas",1,0)</f>
        <v>0</v>
      </c>
      <c r="P52" s="556">
        <f>IF(C52="Fuel Oil",1,0)</f>
        <v>0</v>
      </c>
      <c r="Q52" s="556">
        <f>IF(C52="Bottled Gas",1,0)</f>
        <v>0</v>
      </c>
      <c r="R52" s="556">
        <v>0</v>
      </c>
      <c r="S52" s="556">
        <v>0</v>
      </c>
      <c r="V52" s="645"/>
      <c r="W52" s="645"/>
      <c r="X52" s="645"/>
      <c r="Y52" s="645"/>
      <c r="Z52" s="645"/>
      <c r="AD52" s="616"/>
    </row>
    <row r="53" spans="1:30" ht="15">
      <c r="A53" s="551"/>
      <c r="B53" s="662" t="s">
        <v>254</v>
      </c>
      <c r="C53" s="663" t="str">
        <f>INDEX(source_cooking,C91)</f>
        <v>Not Applicable</v>
      </c>
      <c r="D53" s="664">
        <f t="array" ref="D53">SUM(IF(($N$926:$S$926=$C$49)*($I$929:$I$951=$C53)*($L$928:$L$950=$B53),$N$928:$S$950))</f>
        <v>0</v>
      </c>
      <c r="G53" s="666"/>
      <c r="J53" s="551"/>
      <c r="L53" s="665" t="s">
        <v>254</v>
      </c>
      <c r="N53" s="556">
        <f>N52*2+IF(C53="Electric",1,0)</f>
        <v>0</v>
      </c>
      <c r="O53" s="556">
        <f>O52*2+IF(C53="Natural Gas",1,0)</f>
        <v>0</v>
      </c>
      <c r="P53" s="556">
        <f>P52*2+0</f>
        <v>0</v>
      </c>
      <c r="Q53" s="556">
        <f>Q52*2+IF(C53="Bottled Gas",1,0)</f>
        <v>0</v>
      </c>
      <c r="R53" s="556">
        <v>0</v>
      </c>
      <c r="S53" s="556">
        <v>0</v>
      </c>
      <c r="V53" s="645"/>
      <c r="W53" s="645"/>
      <c r="X53" s="645"/>
      <c r="Y53" s="645"/>
      <c r="Z53" s="645"/>
    </row>
    <row r="54" spans="1:30">
      <c r="A54" s="551"/>
      <c r="B54" s="662" t="s">
        <v>1035</v>
      </c>
      <c r="C54" s="663" t="str">
        <f>INDEX(source_ac,C92)</f>
        <v>Not Applicable</v>
      </c>
      <c r="D54" s="664">
        <f t="array" ref="D54">SUM(IF(($N$926:$S$926=$C$49)*($I$929:$I$951=$C54)*($L$928:$L$950=$B54),$N$928:$S$950))</f>
        <v>0</v>
      </c>
      <c r="J54" s="551"/>
      <c r="L54" s="665" t="s">
        <v>1035</v>
      </c>
      <c r="N54" s="556">
        <f>N53*2+IF(C54="Electric",1,0)</f>
        <v>0</v>
      </c>
      <c r="O54" s="556">
        <f>O53*2+0</f>
        <v>0</v>
      </c>
      <c r="P54" s="556">
        <f>P53*2+0</f>
        <v>0</v>
      </c>
      <c r="Q54" s="556">
        <f>Q53*2+0</f>
        <v>0</v>
      </c>
      <c r="R54" s="556">
        <v>0</v>
      </c>
      <c r="S54" s="556">
        <v>0</v>
      </c>
      <c r="V54" s="645"/>
      <c r="W54" s="645"/>
      <c r="X54" s="645"/>
      <c r="Y54" s="645"/>
      <c r="Z54" s="645"/>
    </row>
    <row r="55" spans="1:30">
      <c r="A55" s="551"/>
      <c r="B55" s="667" t="s">
        <v>1037</v>
      </c>
      <c r="C55" s="663" t="str">
        <f>INDEX(source_ac,C93)</f>
        <v>Not Applicable</v>
      </c>
      <c r="D55" s="664">
        <f t="array" ref="D55">SUM(IF(($N$926:$S$926=$C$49)*($I$929:$I$951=$C55)*($L$928:$L$950=$B55),$N$928:$S$950))</f>
        <v>0</v>
      </c>
      <c r="J55" s="551"/>
      <c r="L55" s="668" t="s">
        <v>1037</v>
      </c>
      <c r="N55" s="556">
        <f>N54*2+IF(C55="Electric",1,0)</f>
        <v>0</v>
      </c>
      <c r="O55" s="556">
        <f>O54*2+0</f>
        <v>0</v>
      </c>
      <c r="P55" s="556">
        <f>P54*2+0</f>
        <v>0</v>
      </c>
      <c r="Q55" s="556">
        <f>Q54*2+0</f>
        <v>0</v>
      </c>
      <c r="R55" s="556">
        <v>0</v>
      </c>
      <c r="S55" s="556">
        <v>0</v>
      </c>
      <c r="V55" s="645"/>
      <c r="W55" s="645"/>
      <c r="X55" s="645"/>
      <c r="Y55" s="645"/>
      <c r="Z55" s="645"/>
    </row>
    <row r="56" spans="1:30">
      <c r="A56" s="551"/>
      <c r="B56" s="662" t="s">
        <v>1038</v>
      </c>
      <c r="C56" s="663" t="str">
        <f>INDEX(source_water,C94)</f>
        <v>Not Applicable</v>
      </c>
      <c r="D56" s="664">
        <f t="array" ref="D56">SUM(IF(($N$926:$S$926=$C$49)*($I$929:$I$951=$C56)*($L$928:$L$950=$B56),$N$928:$S$950))</f>
        <v>0</v>
      </c>
      <c r="J56" s="551"/>
      <c r="L56" s="665" t="s">
        <v>1038</v>
      </c>
      <c r="N56" s="556">
        <f>N55*2+IF(OR(C56="Electric Resistance",C56="Electric Heat Pump"),1,0)</f>
        <v>0</v>
      </c>
      <c r="O56" s="556">
        <f>O55*2+IF(C56="Natural Gas",1,0)</f>
        <v>0</v>
      </c>
      <c r="P56" s="556">
        <f>P55*2+IF(C56="Fuel Oil",1,0)</f>
        <v>0</v>
      </c>
      <c r="Q56" s="556">
        <f>Q55*2+IF(C56="Bottled Gas",1,0)</f>
        <v>0</v>
      </c>
      <c r="R56" s="556">
        <v>0</v>
      </c>
      <c r="S56" s="556">
        <v>0</v>
      </c>
      <c r="V56" s="645"/>
      <c r="W56" s="645"/>
      <c r="X56" s="645"/>
      <c r="Y56" s="645"/>
      <c r="Z56" s="645"/>
    </row>
    <row r="57" spans="1:30">
      <c r="A57" s="551"/>
      <c r="B57" s="662" t="s">
        <v>1047</v>
      </c>
      <c r="C57" s="663" t="str">
        <f t="shared" ref="C57" si="16">INDEX(source_other,C95)</f>
        <v>Not Applicable</v>
      </c>
      <c r="D57" s="664">
        <f t="array" ref="D57">SUM(IF(($N$926:$S$926=$C$49)*($I$929:$I$951=$C57)*($L$928:$L$950=$B57),$N$928:$S$950))</f>
        <v>0</v>
      </c>
      <c r="J57" s="551"/>
      <c r="L57" s="665" t="s">
        <v>1047</v>
      </c>
      <c r="N57" s="556">
        <v>0</v>
      </c>
      <c r="O57" s="556">
        <v>0</v>
      </c>
      <c r="P57" s="556">
        <v>0</v>
      </c>
      <c r="Q57" s="556">
        <v>0</v>
      </c>
      <c r="R57" s="556">
        <f>IF(C57="Tenant pays",1,0)</f>
        <v>0</v>
      </c>
      <c r="S57" s="556">
        <v>0</v>
      </c>
      <c r="V57" s="645"/>
      <c r="W57" s="645"/>
      <c r="X57" s="645"/>
      <c r="Y57" s="645"/>
      <c r="Z57" s="645"/>
    </row>
    <row r="58" spans="1:30">
      <c r="A58" s="551"/>
      <c r="B58" s="662" t="s">
        <v>1049</v>
      </c>
      <c r="C58" s="663" t="str">
        <f t="shared" ref="C58" si="17">INDEX(source_other,C96)</f>
        <v>Not Applicable</v>
      </c>
      <c r="D58" s="664">
        <f t="array" ref="D58">SUM(IF(($N$926:$S$926=$C$49)*($I$929:$I$951=$C58)*($L$928:$L$950=$B58),$N$928:$S$950))</f>
        <v>0</v>
      </c>
      <c r="J58" s="551"/>
      <c r="L58" s="665" t="s">
        <v>1049</v>
      </c>
      <c r="N58" s="556">
        <v>0</v>
      </c>
      <c r="O58" s="556">
        <v>0</v>
      </c>
      <c r="P58" s="556">
        <v>0</v>
      </c>
      <c r="Q58" s="556">
        <v>0</v>
      </c>
      <c r="R58" s="556">
        <v>0</v>
      </c>
      <c r="S58" s="556">
        <f>IF(C58="Tenant pays",1,10)</f>
        <v>10</v>
      </c>
      <c r="V58" s="645"/>
      <c r="W58" s="645"/>
      <c r="X58" s="645"/>
      <c r="Y58" s="645"/>
      <c r="Z58" s="645"/>
    </row>
    <row r="59" spans="1:30">
      <c r="A59" s="551"/>
      <c r="B59" s="662" t="s">
        <v>1051</v>
      </c>
      <c r="C59" s="663" t="str">
        <f t="shared" ref="C59" si="18">INDEX(source_other,C97)</f>
        <v>Not Applicable</v>
      </c>
      <c r="D59" s="664">
        <f t="array" ref="D59">SUM(IF(($N$963:$S$963=$C$49)*($I$965:$I$970=$C59)*($L$964:$L$969=$B59),$N$964:$S$969))</f>
        <v>0</v>
      </c>
      <c r="J59" s="551"/>
      <c r="L59" s="665" t="s">
        <v>1051</v>
      </c>
      <c r="N59" s="556">
        <v>0</v>
      </c>
      <c r="O59" s="556">
        <v>0</v>
      </c>
      <c r="P59" s="556">
        <v>0</v>
      </c>
      <c r="Q59" s="556">
        <v>0</v>
      </c>
      <c r="R59" s="556">
        <v>0</v>
      </c>
      <c r="S59" s="556">
        <v>0</v>
      </c>
      <c r="V59" s="645"/>
      <c r="W59" s="645"/>
      <c r="X59" s="645"/>
      <c r="Y59" s="645"/>
      <c r="Z59" s="645"/>
    </row>
    <row r="60" spans="1:30">
      <c r="A60" s="551"/>
      <c r="B60" s="662" t="s">
        <v>1053</v>
      </c>
      <c r="C60" s="663" t="str">
        <f t="shared" ref="C60" si="19">INDEX(source_other,C98)</f>
        <v>Not Applicable</v>
      </c>
      <c r="D60" s="664">
        <f t="array" ref="D60">SUM(IF(($N$963:$S$963=$C$49)*($I$965:$I$970=$C60)*($L$964:$L$969=$B60),$N$964:$S$969))</f>
        <v>0</v>
      </c>
      <c r="J60" s="551"/>
      <c r="L60" s="665" t="s">
        <v>1053</v>
      </c>
      <c r="N60" s="556">
        <v>0</v>
      </c>
      <c r="O60" s="556">
        <v>0</v>
      </c>
      <c r="P60" s="556">
        <v>0</v>
      </c>
      <c r="Q60" s="556">
        <v>0</v>
      </c>
      <c r="R60" s="556">
        <v>0</v>
      </c>
      <c r="S60" s="556">
        <v>0</v>
      </c>
      <c r="V60" s="645"/>
      <c r="W60" s="645"/>
      <c r="X60" s="645"/>
      <c r="Y60" s="645"/>
      <c r="Z60" s="645"/>
      <c r="AD60" s="616"/>
    </row>
    <row r="61" spans="1:30">
      <c r="A61" s="551"/>
      <c r="B61" s="662" t="s">
        <v>76</v>
      </c>
      <c r="C61" s="663" t="str">
        <f t="shared" ref="C61" si="20">INDEX(source_other,C99)</f>
        <v>Not Applicable</v>
      </c>
      <c r="D61" s="664">
        <f t="array" ref="D61">SUM(IF(($N$963:$S$963=$C$49)*($I$965:$I$970=$C61)*($L$964:$L$969=$B61),$N$964:$S$969))</f>
        <v>0</v>
      </c>
      <c r="J61" s="551"/>
      <c r="L61" s="665" t="s">
        <v>76</v>
      </c>
      <c r="N61" s="556">
        <v>0</v>
      </c>
      <c r="O61" s="556">
        <v>0</v>
      </c>
      <c r="P61" s="556">
        <v>0</v>
      </c>
      <c r="Q61" s="556">
        <v>0</v>
      </c>
      <c r="R61" s="556">
        <v>0</v>
      </c>
      <c r="S61" s="556">
        <v>0</v>
      </c>
      <c r="V61" s="645"/>
      <c r="W61" s="645"/>
      <c r="X61" s="645"/>
      <c r="Y61" s="645"/>
      <c r="Z61" s="645"/>
    </row>
    <row r="62" spans="1:30">
      <c r="A62" s="551"/>
      <c r="B62" s="662" t="s">
        <v>348</v>
      </c>
      <c r="C62" s="663" t="str">
        <f t="shared" ref="C62" si="21">INDEX(source_other,C100)</f>
        <v>Not Applicable</v>
      </c>
      <c r="D62" s="664">
        <f t="array" ref="D62">SUM(IF(($N$963:$S$963=$C$49)*($I$965:$I$970=$C62)*($L$964:$L$969=$B62),$N$964:$S$969))</f>
        <v>0</v>
      </c>
      <c r="J62" s="551"/>
      <c r="L62" s="665" t="s">
        <v>348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V62" s="645"/>
      <c r="W62" s="645"/>
      <c r="X62" s="645"/>
      <c r="Y62" s="645"/>
      <c r="Z62" s="645"/>
    </row>
    <row r="63" spans="1:30" ht="20.100000000000001" customHeight="1">
      <c r="A63" s="551"/>
      <c r="B63" s="659"/>
      <c r="C63" s="669"/>
      <c r="D63" s="654"/>
      <c r="J63" s="551"/>
      <c r="V63" s="645"/>
      <c r="W63" s="645"/>
      <c r="X63" s="645"/>
      <c r="Y63" s="645"/>
      <c r="Z63" s="645"/>
    </row>
    <row r="64" spans="1:30" hidden="1">
      <c r="A64" s="551"/>
      <c r="B64" s="670" t="s">
        <v>344</v>
      </c>
      <c r="C64" s="671"/>
      <c r="D64" s="672">
        <f>SUM(D52:D62)</f>
        <v>0</v>
      </c>
      <c r="E64" s="673"/>
      <c r="F64" s="673"/>
      <c r="G64" s="673"/>
      <c r="H64" s="673"/>
      <c r="I64" s="673"/>
      <c r="J64" s="551"/>
      <c r="V64" s="645"/>
      <c r="W64" s="645"/>
      <c r="X64" s="645"/>
      <c r="Y64" s="645"/>
      <c r="Z64" s="645"/>
    </row>
    <row r="65" spans="1:30">
      <c r="A65" s="551"/>
      <c r="B65" s="674"/>
      <c r="C65" s="674"/>
      <c r="D65" s="602"/>
      <c r="E65" s="602"/>
      <c r="F65" s="602"/>
      <c r="G65" s="602"/>
      <c r="H65" s="602"/>
      <c r="I65" s="675" t="s">
        <v>1060</v>
      </c>
      <c r="J65" s="551"/>
      <c r="V65" s="645"/>
      <c r="W65" s="645"/>
      <c r="X65" s="645"/>
      <c r="Y65" s="645"/>
      <c r="Z65" s="645"/>
    </row>
    <row r="66" spans="1:30">
      <c r="A66" s="551"/>
      <c r="B66" s="676" t="s">
        <v>1061</v>
      </c>
      <c r="C66" s="602"/>
      <c r="D66" s="602"/>
      <c r="E66" s="602"/>
      <c r="F66" s="602"/>
      <c r="G66" s="602"/>
      <c r="H66" s="602"/>
      <c r="I66" s="675" t="s">
        <v>1062</v>
      </c>
      <c r="J66" s="551"/>
      <c r="V66" s="645"/>
      <c r="W66" s="645"/>
      <c r="X66" s="645"/>
      <c r="Y66" s="645"/>
      <c r="Z66" s="645"/>
      <c r="AD66" s="616"/>
    </row>
    <row r="67" spans="1:30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V67" s="645"/>
      <c r="W67" s="645"/>
      <c r="X67" s="645"/>
      <c r="Y67" s="645"/>
      <c r="Z67" s="645"/>
    </row>
    <row r="68" spans="1:30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V68" s="645"/>
      <c r="W68" s="645"/>
      <c r="X68" s="645"/>
      <c r="Y68" s="645"/>
      <c r="Z68" s="645"/>
    </row>
    <row r="69" spans="1:30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V69" s="645"/>
      <c r="W69" s="645"/>
      <c r="X69" s="645"/>
      <c r="Y69" s="645"/>
      <c r="Z69" s="645"/>
    </row>
    <row r="70" spans="1:30" hidden="1">
      <c r="V70" s="645"/>
      <c r="W70" s="645"/>
      <c r="X70" s="645"/>
      <c r="Y70" s="645"/>
      <c r="Z70" s="645"/>
    </row>
    <row r="71" spans="1:30" hidden="1">
      <c r="V71" s="645"/>
      <c r="W71" s="645"/>
      <c r="X71" s="645"/>
      <c r="Y71" s="645"/>
      <c r="Z71" s="645"/>
    </row>
    <row r="72" spans="1:30" hidden="1">
      <c r="H72" s="556" t="s">
        <v>938</v>
      </c>
      <c r="V72" s="645"/>
      <c r="W72" s="645"/>
      <c r="X72" s="645"/>
      <c r="Y72" s="645"/>
      <c r="Z72" s="645"/>
    </row>
    <row r="73" spans="1:30" hidden="1">
      <c r="A73" s="550"/>
      <c r="B73" s="550"/>
      <c r="C73" s="550"/>
      <c r="D73" s="550"/>
      <c r="E73" s="550"/>
      <c r="F73" s="550"/>
      <c r="G73" s="550"/>
      <c r="H73" s="677" t="s">
        <v>940</v>
      </c>
      <c r="I73" s="550"/>
      <c r="J73" s="550"/>
      <c r="V73" s="645"/>
      <c r="W73" s="645"/>
      <c r="X73" s="645"/>
      <c r="Y73" s="645"/>
      <c r="Z73" s="645"/>
    </row>
    <row r="74" spans="1:30" ht="20.25" hidden="1">
      <c r="A74" s="550"/>
      <c r="B74" s="678" t="s">
        <v>1063</v>
      </c>
      <c r="C74" s="550"/>
      <c r="D74" s="550"/>
      <c r="E74" s="550"/>
      <c r="F74" s="550"/>
      <c r="G74" s="550"/>
      <c r="H74" s="677" t="s">
        <v>940</v>
      </c>
      <c r="I74" s="550"/>
      <c r="J74" s="550"/>
      <c r="V74" s="645"/>
      <c r="W74" s="645"/>
      <c r="X74" s="645"/>
      <c r="Y74" s="645"/>
      <c r="Z74" s="645"/>
    </row>
    <row r="75" spans="1:30" hidden="1">
      <c r="A75" s="550"/>
      <c r="B75" s="550"/>
      <c r="C75" s="550"/>
      <c r="D75" s="550"/>
      <c r="E75" s="550"/>
      <c r="F75" s="550"/>
      <c r="G75" s="550"/>
      <c r="H75" s="677" t="s">
        <v>940</v>
      </c>
      <c r="I75" s="550"/>
      <c r="J75" s="550"/>
      <c r="V75" s="645"/>
      <c r="W75" s="645"/>
      <c r="X75" s="645"/>
      <c r="Y75" s="645"/>
      <c r="Z75" s="645"/>
    </row>
    <row r="76" spans="1:30" hidden="1">
      <c r="H76" s="602" t="s">
        <v>940</v>
      </c>
      <c r="W76" s="645"/>
      <c r="X76" s="645"/>
      <c r="Y76" s="645"/>
      <c r="Z76" s="645"/>
    </row>
    <row r="77" spans="1:30" hidden="1">
      <c r="H77" s="602" t="s">
        <v>940</v>
      </c>
      <c r="V77" s="645"/>
      <c r="W77" s="645"/>
      <c r="X77" s="645"/>
      <c r="Y77" s="645"/>
      <c r="Z77" s="645"/>
    </row>
    <row r="78" spans="1:30" s="679" customFormat="1" hidden="1">
      <c r="A78" s="556"/>
      <c r="B78" s="556"/>
      <c r="C78" s="556"/>
      <c r="D78" s="556"/>
      <c r="E78" s="556"/>
      <c r="F78" s="556"/>
      <c r="G78" s="556"/>
      <c r="H78" s="602"/>
      <c r="I78" s="556"/>
      <c r="J78" s="556"/>
      <c r="K78" s="556"/>
      <c r="V78" s="680"/>
      <c r="W78" s="680"/>
      <c r="X78" s="680"/>
      <c r="Y78" s="680"/>
      <c r="Z78" s="680"/>
    </row>
    <row r="79" spans="1:30" ht="25.5" hidden="1">
      <c r="B79" s="679" t="s">
        <v>1064</v>
      </c>
      <c r="C79" s="679" t="s">
        <v>1065</v>
      </c>
      <c r="D79" s="679" t="s">
        <v>1066</v>
      </c>
      <c r="E79" s="679" t="s">
        <v>348</v>
      </c>
      <c r="F79" s="679" t="s">
        <v>1067</v>
      </c>
      <c r="G79" s="679" t="s">
        <v>1068</v>
      </c>
      <c r="H79" s="602" t="s">
        <v>940</v>
      </c>
      <c r="I79" s="679"/>
      <c r="J79" s="679"/>
      <c r="K79" s="679"/>
      <c r="L79" s="652" t="s">
        <v>1069</v>
      </c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681"/>
      <c r="X79" s="645"/>
      <c r="Y79" s="645"/>
      <c r="Z79" s="645"/>
    </row>
    <row r="80" spans="1:30" hidden="1">
      <c r="B80" s="556" t="s">
        <v>1070</v>
      </c>
      <c r="C80" s="556" t="s">
        <v>1070</v>
      </c>
      <c r="D80" s="556" t="s">
        <v>1070</v>
      </c>
      <c r="E80" s="556" t="s">
        <v>1070</v>
      </c>
      <c r="F80" s="643" t="s">
        <v>1022</v>
      </c>
      <c r="G80" s="556" t="s">
        <v>1070</v>
      </c>
      <c r="H80" s="602" t="s">
        <v>940</v>
      </c>
      <c r="M80" s="600"/>
      <c r="N80" s="600"/>
      <c r="V80" s="645"/>
      <c r="W80" s="645"/>
      <c r="X80" s="645"/>
      <c r="Y80" s="645"/>
      <c r="Z80" s="645"/>
    </row>
    <row r="81" spans="2:26" hidden="1">
      <c r="B81" s="556" t="s">
        <v>1048</v>
      </c>
      <c r="C81" s="556" t="s">
        <v>1048</v>
      </c>
      <c r="D81" s="556" t="s">
        <v>1046</v>
      </c>
      <c r="E81" s="556" t="s">
        <v>1071</v>
      </c>
      <c r="F81" s="643" t="s">
        <v>1023</v>
      </c>
      <c r="G81" s="556" t="s">
        <v>1048</v>
      </c>
      <c r="H81" s="602" t="s">
        <v>940</v>
      </c>
      <c r="M81" s="682" t="s">
        <v>41</v>
      </c>
      <c r="N81" s="683" t="s">
        <v>1072</v>
      </c>
      <c r="O81" s="683" t="s">
        <v>1073</v>
      </c>
      <c r="P81" s="682" t="s">
        <v>1074</v>
      </c>
      <c r="Q81" s="682"/>
      <c r="R81" s="682"/>
      <c r="S81" s="683" t="s">
        <v>1075</v>
      </c>
      <c r="T81" s="684"/>
      <c r="U81" s="682" t="s">
        <v>1076</v>
      </c>
      <c r="X81" s="685"/>
      <c r="Y81" s="645"/>
      <c r="Z81" s="645"/>
    </row>
    <row r="82" spans="2:26" hidden="1">
      <c r="B82" s="556" t="s">
        <v>1077</v>
      </c>
      <c r="C82" s="556" t="s">
        <v>1077</v>
      </c>
      <c r="F82" s="643" t="s">
        <v>1024</v>
      </c>
      <c r="G82" s="556" t="s">
        <v>1077</v>
      </c>
      <c r="H82" s="602" t="s">
        <v>940</v>
      </c>
      <c r="L82" s="556" t="s">
        <v>1078</v>
      </c>
      <c r="M82" s="684">
        <v>1</v>
      </c>
      <c r="N82" s="686">
        <v>1</v>
      </c>
      <c r="O82" s="686">
        <v>1</v>
      </c>
      <c r="P82" s="686">
        <v>1</v>
      </c>
      <c r="Q82" s="686"/>
      <c r="R82" s="684"/>
      <c r="S82" s="686">
        <f>INDEX(M82:P82,$H$10)</f>
        <v>1</v>
      </c>
      <c r="T82" s="684"/>
      <c r="U82" s="684" t="s">
        <v>41</v>
      </c>
      <c r="X82" s="685"/>
      <c r="Y82" s="645"/>
      <c r="Z82" s="645"/>
    </row>
    <row r="83" spans="2:26" hidden="1">
      <c r="B83" s="556" t="s">
        <v>1079</v>
      </c>
      <c r="C83" s="556" t="s">
        <v>1046</v>
      </c>
      <c r="F83" s="643" t="s">
        <v>1025</v>
      </c>
      <c r="G83" s="556" t="s">
        <v>1046</v>
      </c>
      <c r="H83" s="602" t="s">
        <v>940</v>
      </c>
      <c r="L83" s="556" t="s">
        <v>1080</v>
      </c>
      <c r="M83" s="684">
        <v>1</v>
      </c>
      <c r="N83" s="686">
        <v>0.82</v>
      </c>
      <c r="O83" s="686">
        <v>0.75</v>
      </c>
      <c r="P83" s="686">
        <v>0.82</v>
      </c>
      <c r="Q83" s="686"/>
      <c r="R83" s="684"/>
      <c r="S83" s="686">
        <f t="shared" ref="S83:S86" si="22">INDEX(M83:R83,$H$10)</f>
        <v>1</v>
      </c>
      <c r="T83" s="684"/>
      <c r="U83" s="684" t="s">
        <v>1081</v>
      </c>
      <c r="X83" s="685"/>
      <c r="Y83" s="645"/>
      <c r="Z83" s="645"/>
    </row>
    <row r="84" spans="2:26" hidden="1">
      <c r="B84" s="556" t="s">
        <v>1082</v>
      </c>
      <c r="F84" s="643" t="s">
        <v>1026</v>
      </c>
      <c r="G84" s="556" t="s">
        <v>1050</v>
      </c>
      <c r="H84" s="602" t="s">
        <v>940</v>
      </c>
      <c r="L84" s="556" t="s">
        <v>1083</v>
      </c>
      <c r="M84" s="684">
        <v>1</v>
      </c>
      <c r="N84" s="686">
        <v>0.82</v>
      </c>
      <c r="O84" s="686">
        <v>0.75</v>
      </c>
      <c r="P84" s="686">
        <v>0.82</v>
      </c>
      <c r="Q84" s="686"/>
      <c r="R84" s="684"/>
      <c r="S84" s="686">
        <f t="shared" si="22"/>
        <v>1</v>
      </c>
      <c r="T84" s="684"/>
      <c r="U84" s="684" t="s">
        <v>1084</v>
      </c>
      <c r="X84" s="685"/>
      <c r="Y84" s="645"/>
      <c r="Z84" s="645"/>
    </row>
    <row r="85" spans="2:26" hidden="1">
      <c r="B85" s="556" t="s">
        <v>1050</v>
      </c>
      <c r="F85" s="643" t="s">
        <v>1027</v>
      </c>
      <c r="H85" s="602" t="s">
        <v>940</v>
      </c>
      <c r="L85" s="556" t="s">
        <v>1085</v>
      </c>
      <c r="M85" s="684">
        <v>1</v>
      </c>
      <c r="N85" s="686">
        <v>0.82</v>
      </c>
      <c r="O85" s="686">
        <v>0.75</v>
      </c>
      <c r="P85" s="686">
        <v>0.82</v>
      </c>
      <c r="Q85" s="686"/>
      <c r="R85" s="684"/>
      <c r="S85" s="686">
        <f t="shared" si="22"/>
        <v>1</v>
      </c>
      <c r="T85" s="684"/>
      <c r="U85" s="684" t="s">
        <v>1086</v>
      </c>
      <c r="X85" s="685"/>
      <c r="Y85" s="645"/>
      <c r="Z85" s="645"/>
    </row>
    <row r="86" spans="2:26" hidden="1">
      <c r="H86" s="602" t="s">
        <v>940</v>
      </c>
      <c r="L86" s="556" t="s">
        <v>1087</v>
      </c>
      <c r="M86" s="684">
        <v>1</v>
      </c>
      <c r="N86" s="686">
        <v>0.82</v>
      </c>
      <c r="O86" s="686">
        <v>0.75</v>
      </c>
      <c r="P86" s="686">
        <v>0.82</v>
      </c>
      <c r="Q86" s="686"/>
      <c r="R86" s="684"/>
      <c r="S86" s="686">
        <f t="shared" si="22"/>
        <v>1</v>
      </c>
      <c r="T86" s="684"/>
      <c r="U86" s="684"/>
      <c r="Y86" s="645"/>
      <c r="Z86" s="645"/>
    </row>
    <row r="87" spans="2:26" hidden="1">
      <c r="B87" s="687" t="s">
        <v>1056</v>
      </c>
      <c r="C87" s="684">
        <v>1</v>
      </c>
      <c r="H87" s="602" t="s">
        <v>940</v>
      </c>
      <c r="O87" s="600"/>
      <c r="P87" s="600"/>
      <c r="V87" s="645"/>
      <c r="W87" s="645"/>
      <c r="X87" s="645"/>
      <c r="Y87" s="645"/>
      <c r="Z87" s="645"/>
    </row>
    <row r="88" spans="2:26" ht="18" hidden="1">
      <c r="B88" s="684"/>
      <c r="C88" s="684"/>
      <c r="H88" s="602" t="s">
        <v>940</v>
      </c>
      <c r="L88" s="688"/>
      <c r="W88" s="681"/>
      <c r="X88" s="645"/>
      <c r="Y88" s="645"/>
      <c r="Z88" s="645"/>
    </row>
    <row r="89" spans="2:26" hidden="1">
      <c r="B89" s="689" t="s">
        <v>1020</v>
      </c>
      <c r="C89" s="690" t="s">
        <v>1057</v>
      </c>
      <c r="H89" s="602" t="s">
        <v>940</v>
      </c>
      <c r="O89" s="600"/>
      <c r="P89" s="600"/>
      <c r="V89" s="645"/>
      <c r="W89" s="645"/>
      <c r="X89" s="645"/>
      <c r="Y89" s="645"/>
      <c r="Z89" s="645"/>
    </row>
    <row r="90" spans="2:26" hidden="1">
      <c r="B90" s="691" t="s">
        <v>253</v>
      </c>
      <c r="C90" s="684">
        <v>1</v>
      </c>
      <c r="H90" s="602" t="s">
        <v>940</v>
      </c>
      <c r="O90" s="692"/>
      <c r="P90" s="600"/>
      <c r="V90" s="645"/>
      <c r="W90" s="681"/>
      <c r="X90" s="645"/>
      <c r="Y90" s="645"/>
      <c r="Z90" s="645"/>
    </row>
    <row r="91" spans="2:26" hidden="1">
      <c r="B91" s="691" t="s">
        <v>254</v>
      </c>
      <c r="C91" s="684">
        <v>1</v>
      </c>
      <c r="H91" s="602" t="s">
        <v>940</v>
      </c>
      <c r="L91" s="556" t="s">
        <v>1088</v>
      </c>
      <c r="M91" s="556" t="s">
        <v>1089</v>
      </c>
      <c r="N91" s="556" t="s">
        <v>1090</v>
      </c>
      <c r="O91" s="609"/>
      <c r="P91" s="600"/>
      <c r="V91" s="645"/>
      <c r="W91" s="645"/>
      <c r="X91" s="645"/>
      <c r="Y91" s="645"/>
      <c r="Z91" s="645"/>
    </row>
    <row r="92" spans="2:26" hidden="1">
      <c r="B92" s="691" t="s">
        <v>1035</v>
      </c>
      <c r="C92" s="684">
        <v>1</v>
      </c>
      <c r="H92" s="602" t="s">
        <v>940</v>
      </c>
      <c r="M92" s="556">
        <v>0</v>
      </c>
      <c r="N92" s="556">
        <v>1</v>
      </c>
      <c r="O92" s="693"/>
      <c r="P92" s="600"/>
      <c r="V92" s="645"/>
      <c r="W92" s="645"/>
      <c r="X92" s="645"/>
      <c r="Y92" s="645"/>
      <c r="Z92" s="645"/>
    </row>
    <row r="93" spans="2:26" hidden="1">
      <c r="B93" s="694" t="s">
        <v>1037</v>
      </c>
      <c r="C93" s="684">
        <v>1</v>
      </c>
      <c r="H93" s="602" t="s">
        <v>940</v>
      </c>
      <c r="L93" s="609"/>
      <c r="M93" s="556">
        <v>1</v>
      </c>
      <c r="N93" s="556">
        <v>1.5</v>
      </c>
      <c r="O93" s="693"/>
      <c r="P93" s="600"/>
      <c r="V93" s="645"/>
      <c r="W93" s="645"/>
      <c r="X93" s="645"/>
      <c r="Y93" s="645"/>
      <c r="Z93" s="645"/>
    </row>
    <row r="94" spans="2:26" hidden="1">
      <c r="B94" s="691" t="s">
        <v>1038</v>
      </c>
      <c r="C94" s="684">
        <v>1</v>
      </c>
      <c r="H94" s="602" t="s">
        <v>940</v>
      </c>
      <c r="M94" s="556">
        <v>2</v>
      </c>
      <c r="N94" s="695">
        <v>2.5</v>
      </c>
      <c r="O94" s="692"/>
      <c r="P94" s="600"/>
      <c r="V94" s="645"/>
      <c r="W94" s="645"/>
      <c r="X94" s="645"/>
      <c r="Y94" s="645"/>
      <c r="Z94" s="645"/>
    </row>
    <row r="95" spans="2:26" hidden="1">
      <c r="B95" s="691" t="s">
        <v>1047</v>
      </c>
      <c r="C95" s="684">
        <v>1</v>
      </c>
      <c r="H95" s="602" t="s">
        <v>940</v>
      </c>
      <c r="M95" s="556">
        <v>3</v>
      </c>
      <c r="N95" s="695">
        <v>4</v>
      </c>
      <c r="O95" s="692"/>
      <c r="V95" s="645"/>
      <c r="W95" s="645"/>
      <c r="X95" s="645"/>
      <c r="Y95" s="645"/>
      <c r="Z95" s="645"/>
    </row>
    <row r="96" spans="2:26" hidden="1">
      <c r="B96" s="691" t="s">
        <v>1049</v>
      </c>
      <c r="C96" s="684">
        <v>1</v>
      </c>
      <c r="H96" s="602" t="s">
        <v>940</v>
      </c>
      <c r="M96" s="556">
        <v>4</v>
      </c>
      <c r="N96" s="695">
        <v>5.5</v>
      </c>
      <c r="V96" s="645"/>
      <c r="W96" s="645"/>
      <c r="X96" s="645"/>
      <c r="Y96" s="645"/>
      <c r="Z96" s="645"/>
    </row>
    <row r="97" spans="2:26" hidden="1">
      <c r="B97" s="691" t="s">
        <v>1051</v>
      </c>
      <c r="C97" s="684">
        <v>1</v>
      </c>
      <c r="H97" s="602" t="s">
        <v>940</v>
      </c>
      <c r="M97" s="556">
        <v>5</v>
      </c>
      <c r="N97" s="696">
        <v>7</v>
      </c>
      <c r="V97" s="645"/>
      <c r="W97" s="645"/>
      <c r="X97" s="645"/>
      <c r="Y97" s="645"/>
      <c r="Z97" s="645"/>
    </row>
    <row r="98" spans="2:26" hidden="1">
      <c r="B98" s="691" t="s">
        <v>1053</v>
      </c>
      <c r="C98" s="684">
        <v>1</v>
      </c>
      <c r="H98" s="602" t="s">
        <v>940</v>
      </c>
      <c r="M98" s="696"/>
      <c r="V98" s="645"/>
      <c r="W98" s="645"/>
      <c r="X98" s="645"/>
      <c r="Y98" s="645"/>
      <c r="Z98" s="645"/>
    </row>
    <row r="99" spans="2:26" hidden="1">
      <c r="B99" s="691" t="s">
        <v>76</v>
      </c>
      <c r="C99" s="684">
        <v>1</v>
      </c>
      <c r="H99" s="602" t="s">
        <v>940</v>
      </c>
      <c r="L99" s="684" t="s">
        <v>1091</v>
      </c>
      <c r="M99" s="697" t="s">
        <v>1092</v>
      </c>
      <c r="N99" s="684" t="s">
        <v>1093</v>
      </c>
      <c r="V99" s="645"/>
      <c r="W99" s="645"/>
      <c r="X99" s="645"/>
      <c r="Y99" s="645"/>
      <c r="Z99" s="645"/>
    </row>
    <row r="100" spans="2:26" hidden="1">
      <c r="B100" s="691" t="s">
        <v>348</v>
      </c>
      <c r="C100" s="684">
        <v>1</v>
      </c>
      <c r="H100" s="602" t="s">
        <v>940</v>
      </c>
      <c r="L100" s="684"/>
      <c r="M100" s="686" t="e">
        <f>VLOOKUP(state,water_cons_states,2,FALSE)</f>
        <v>#N/A</v>
      </c>
      <c r="N100" s="684" t="e">
        <f>VLOOKUP(state,water_cons_states,3,FALSE)</f>
        <v>#N/A</v>
      </c>
      <c r="V100" s="645"/>
      <c r="W100" s="645"/>
      <c r="X100" s="645"/>
      <c r="Y100" s="645"/>
      <c r="Z100" s="645"/>
    </row>
    <row r="101" spans="2:26">
      <c r="H101" s="602" t="s">
        <v>940</v>
      </c>
    </row>
    <row r="102" spans="2:26">
      <c r="H102" s="602" t="s">
        <v>940</v>
      </c>
      <c r="O102" s="600"/>
    </row>
    <row r="103" spans="2:26">
      <c r="H103" s="602" t="s">
        <v>940</v>
      </c>
    </row>
    <row r="104" spans="2:26" ht="18">
      <c r="H104" s="602" t="s">
        <v>940</v>
      </c>
      <c r="L104" s="652" t="s">
        <v>1094</v>
      </c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</row>
    <row r="105" spans="2:26">
      <c r="H105" s="602" t="s">
        <v>940</v>
      </c>
    </row>
    <row r="106" spans="2:26">
      <c r="H106" s="602" t="s">
        <v>940</v>
      </c>
      <c r="L106" s="556" t="s">
        <v>1095</v>
      </c>
    </row>
    <row r="107" spans="2:26">
      <c r="H107" s="602" t="s">
        <v>940</v>
      </c>
      <c r="L107" s="556" t="s">
        <v>1096</v>
      </c>
    </row>
    <row r="108" spans="2:26">
      <c r="H108" s="602" t="s">
        <v>940</v>
      </c>
    </row>
    <row r="109" spans="2:26">
      <c r="H109" s="602" t="s">
        <v>940</v>
      </c>
      <c r="L109" s="698" t="s">
        <v>1097</v>
      </c>
      <c r="M109" s="698">
        <v>2014</v>
      </c>
      <c r="P109" s="590" t="s">
        <v>1098</v>
      </c>
      <c r="Q109" s="591"/>
      <c r="R109" s="591"/>
      <c r="S109" s="590" t="s">
        <v>1099</v>
      </c>
      <c r="T109" s="591"/>
      <c r="U109" s="591"/>
      <c r="V109" s="591"/>
    </row>
    <row r="110" spans="2:26" ht="15">
      <c r="H110" s="602" t="s">
        <v>940</v>
      </c>
      <c r="L110" s="556" t="s">
        <v>1078</v>
      </c>
      <c r="M110" s="699">
        <v>0.85</v>
      </c>
      <c r="N110" s="700"/>
      <c r="P110" s="586">
        <v>1</v>
      </c>
      <c r="R110" s="701">
        <v>5</v>
      </c>
      <c r="S110" s="702">
        <v>0.85</v>
      </c>
      <c r="T110" s="702">
        <f>10202/48522</f>
        <v>0.21025514199744447</v>
      </c>
    </row>
    <row r="111" spans="2:26" ht="15">
      <c r="H111" s="602" t="s">
        <v>940</v>
      </c>
      <c r="L111" s="556" t="s">
        <v>1080</v>
      </c>
      <c r="M111" s="699">
        <v>1</v>
      </c>
      <c r="N111" s="700"/>
      <c r="P111" s="586">
        <v>1</v>
      </c>
      <c r="R111" s="701">
        <v>1</v>
      </c>
      <c r="S111" s="702">
        <v>1</v>
      </c>
      <c r="T111" s="684"/>
    </row>
    <row r="112" spans="2:26" ht="15">
      <c r="H112" s="602" t="s">
        <v>940</v>
      </c>
      <c r="L112" s="556" t="s">
        <v>1083</v>
      </c>
      <c r="M112" s="699">
        <v>0.85</v>
      </c>
      <c r="N112" s="700"/>
      <c r="P112" s="586">
        <v>0.86</v>
      </c>
      <c r="R112" s="701">
        <v>2</v>
      </c>
      <c r="S112" s="702">
        <v>0.85</v>
      </c>
      <c r="T112" s="684"/>
    </row>
    <row r="113" spans="8:21" ht="15">
      <c r="H113" s="602" t="s">
        <v>940</v>
      </c>
      <c r="L113" s="556" t="s">
        <v>1085</v>
      </c>
      <c r="M113" s="699">
        <v>0.9</v>
      </c>
      <c r="N113" s="700"/>
      <c r="P113" s="586">
        <v>0.83</v>
      </c>
      <c r="R113" s="703">
        <v>3</v>
      </c>
      <c r="S113" s="702">
        <v>0.9</v>
      </c>
      <c r="T113" s="684"/>
    </row>
    <row r="114" spans="8:21" ht="15">
      <c r="H114" s="602" t="s">
        <v>940</v>
      </c>
      <c r="L114" s="556" t="s">
        <v>1087</v>
      </c>
      <c r="M114" s="699">
        <v>0.7</v>
      </c>
      <c r="N114" s="700"/>
      <c r="P114" s="586">
        <v>0.68</v>
      </c>
      <c r="R114" s="703">
        <v>4</v>
      </c>
      <c r="S114" s="702">
        <v>0.7</v>
      </c>
      <c r="T114" s="684"/>
    </row>
    <row r="115" spans="8:21">
      <c r="H115" s="602" t="s">
        <v>940</v>
      </c>
    </row>
    <row r="116" spans="8:21">
      <c r="H116" s="602" t="s">
        <v>940</v>
      </c>
      <c r="L116" s="609"/>
      <c r="M116" s="704"/>
      <c r="N116" s="705"/>
      <c r="O116" s="704"/>
      <c r="P116" s="590" t="s">
        <v>1100</v>
      </c>
      <c r="Q116" s="591"/>
      <c r="S116" s="590" t="s">
        <v>1101</v>
      </c>
      <c r="T116" s="591"/>
      <c r="U116" s="591"/>
    </row>
    <row r="117" spans="8:21" ht="15">
      <c r="H117" s="602" t="s">
        <v>940</v>
      </c>
      <c r="N117" s="705"/>
      <c r="O117" s="609"/>
      <c r="P117" s="586">
        <v>1.2</v>
      </c>
      <c r="S117" s="701" t="s">
        <v>1102</v>
      </c>
      <c r="T117" s="702">
        <v>0.75</v>
      </c>
    </row>
    <row r="118" spans="8:21" ht="15">
      <c r="H118" s="602" t="s">
        <v>940</v>
      </c>
      <c r="M118" s="695"/>
      <c r="N118" s="695"/>
      <c r="O118" s="615"/>
      <c r="P118" s="706"/>
      <c r="S118" s="701" t="s">
        <v>1103</v>
      </c>
      <c r="T118" s="702">
        <v>0.89</v>
      </c>
    </row>
    <row r="119" spans="8:21" ht="15">
      <c r="H119" s="602" t="s">
        <v>940</v>
      </c>
      <c r="P119" s="590" t="s">
        <v>1104</v>
      </c>
      <c r="Q119" s="591"/>
      <c r="R119" s="591"/>
      <c r="S119" s="701" t="s">
        <v>1105</v>
      </c>
      <c r="T119" s="702">
        <v>1</v>
      </c>
    </row>
    <row r="120" spans="8:21" ht="15">
      <c r="H120" s="602" t="s">
        <v>940</v>
      </c>
      <c r="P120" s="707" t="e">
        <f>MAX(0,$P132+$N$226*$S132+$N$226*$T132*Q$244+$N$226*$N$226*$U132+$N$226*$N$226*Q$244*$V132)</f>
        <v>#N/A</v>
      </c>
      <c r="S120" s="701" t="s">
        <v>1106</v>
      </c>
      <c r="T120" s="702">
        <v>1.1100000000000001</v>
      </c>
    </row>
    <row r="121" spans="8:21" ht="15">
      <c r="H121" s="602" t="s">
        <v>940</v>
      </c>
      <c r="P121" s="706"/>
      <c r="S121" s="701" t="s">
        <v>1107</v>
      </c>
      <c r="T121" s="702">
        <v>1.22</v>
      </c>
    </row>
    <row r="122" spans="8:21">
      <c r="H122" s="602" t="s">
        <v>940</v>
      </c>
    </row>
    <row r="123" spans="8:21">
      <c r="H123" s="602" t="s">
        <v>940</v>
      </c>
      <c r="L123" s="609"/>
      <c r="M123" s="704"/>
      <c r="N123" s="705"/>
      <c r="O123" s="704"/>
      <c r="S123" s="556">
        <v>1</v>
      </c>
      <c r="T123" s="684" t="s">
        <v>1108</v>
      </c>
    </row>
    <row r="124" spans="8:21">
      <c r="H124" s="602" t="s">
        <v>940</v>
      </c>
      <c r="N124" s="705"/>
      <c r="O124" s="609"/>
      <c r="P124" s="706"/>
      <c r="S124" s="556">
        <v>2</v>
      </c>
      <c r="T124" s="684" t="s">
        <v>1109</v>
      </c>
    </row>
    <row r="125" spans="8:21">
      <c r="H125" s="602" t="s">
        <v>940</v>
      </c>
      <c r="M125" s="695"/>
      <c r="N125" s="695"/>
      <c r="P125" s="706"/>
    </row>
    <row r="126" spans="8:21">
      <c r="H126" s="602" t="s">
        <v>940</v>
      </c>
      <c r="M126" s="695"/>
      <c r="N126" s="695"/>
      <c r="P126" s="706"/>
    </row>
    <row r="127" spans="8:21">
      <c r="H127" s="602" t="s">
        <v>940</v>
      </c>
      <c r="M127" s="695"/>
      <c r="N127" s="695"/>
      <c r="P127" s="706"/>
    </row>
    <row r="128" spans="8:21">
      <c r="H128" s="602" t="s">
        <v>940</v>
      </c>
    </row>
    <row r="129" spans="8:31">
      <c r="H129" s="602" t="s">
        <v>940</v>
      </c>
    </row>
    <row r="130" spans="8:31" ht="38.25">
      <c r="H130" s="602" t="s">
        <v>940</v>
      </c>
      <c r="K130" s="556" t="s">
        <v>368</v>
      </c>
      <c r="L130" s="708" t="s">
        <v>1020</v>
      </c>
      <c r="M130" s="708" t="s">
        <v>1110</v>
      </c>
      <c r="N130" s="708" t="s">
        <v>359</v>
      </c>
      <c r="O130" s="709" t="s">
        <v>1111</v>
      </c>
      <c r="P130" s="709" t="s">
        <v>1092</v>
      </c>
      <c r="Q130" s="709" t="s">
        <v>1112</v>
      </c>
      <c r="R130" s="709" t="s">
        <v>1113</v>
      </c>
      <c r="S130" s="709" t="s">
        <v>1114</v>
      </c>
      <c r="T130" s="709" t="s">
        <v>1115</v>
      </c>
      <c r="U130" s="709" t="s">
        <v>1116</v>
      </c>
      <c r="V130" s="709" t="s">
        <v>1117</v>
      </c>
      <c r="W130" s="709" t="s">
        <v>1118</v>
      </c>
    </row>
    <row r="131" spans="8:31">
      <c r="H131" s="602" t="s">
        <v>940</v>
      </c>
      <c r="K131" s="556">
        <v>0</v>
      </c>
      <c r="L131" s="556" t="s">
        <v>1119</v>
      </c>
      <c r="M131" s="556" t="s">
        <v>1120</v>
      </c>
      <c r="N131" s="556" t="s">
        <v>1121</v>
      </c>
      <c r="O131" s="618" t="s">
        <v>1122</v>
      </c>
      <c r="P131" s="710">
        <f>P132*$M$110</f>
        <v>11690.3254</v>
      </c>
      <c r="Q131" s="711" t="s">
        <v>1122</v>
      </c>
      <c r="R131" s="711" t="s">
        <v>1122</v>
      </c>
      <c r="S131" s="712">
        <f>S132*$M$110</f>
        <v>3.91595</v>
      </c>
      <c r="T131" s="713">
        <f>T132*$M$110</f>
        <v>1.1594</v>
      </c>
      <c r="U131" s="614">
        <v>0</v>
      </c>
      <c r="V131" s="614">
        <v>0</v>
      </c>
      <c r="X131" s="681"/>
    </row>
    <row r="132" spans="8:31">
      <c r="H132" s="602" t="s">
        <v>940</v>
      </c>
      <c r="K132" s="556">
        <v>1</v>
      </c>
      <c r="L132" s="556" t="s">
        <v>1119</v>
      </c>
      <c r="M132" s="556" t="s">
        <v>1123</v>
      </c>
      <c r="N132" s="556" t="s">
        <v>1121</v>
      </c>
      <c r="O132" s="618" t="s">
        <v>1122</v>
      </c>
      <c r="P132" s="714">
        <v>13753.324000000001</v>
      </c>
      <c r="Q132" s="711" t="s">
        <v>1122</v>
      </c>
      <c r="R132" s="711" t="s">
        <v>1122</v>
      </c>
      <c r="S132" s="715">
        <v>4.6070000000000002</v>
      </c>
      <c r="T132" s="716">
        <v>1.3640000000000001</v>
      </c>
      <c r="U132" s="618">
        <v>0</v>
      </c>
      <c r="V132" s="618">
        <v>0</v>
      </c>
      <c r="X132" s="681"/>
    </row>
    <row r="133" spans="8:31">
      <c r="H133" s="602" t="s">
        <v>940</v>
      </c>
      <c r="K133" s="556">
        <v>2</v>
      </c>
      <c r="L133" s="556" t="s">
        <v>1119</v>
      </c>
      <c r="M133" s="556" t="s">
        <v>1124</v>
      </c>
      <c r="N133" s="556" t="s">
        <v>1121</v>
      </c>
      <c r="O133" s="618" t="s">
        <v>1122</v>
      </c>
      <c r="P133" s="714">
        <v>14917.491</v>
      </c>
      <c r="Q133" s="711" t="s">
        <v>1122</v>
      </c>
      <c r="R133" s="711" t="s">
        <v>1122</v>
      </c>
      <c r="S133" s="715">
        <v>3.7559999999999998</v>
      </c>
      <c r="T133" s="716">
        <v>1.1319999999999999</v>
      </c>
      <c r="U133" s="618">
        <v>0</v>
      </c>
      <c r="V133" s="618">
        <v>0</v>
      </c>
      <c r="X133" s="681"/>
    </row>
    <row r="134" spans="8:31">
      <c r="H134" s="602" t="s">
        <v>940</v>
      </c>
      <c r="K134" s="556">
        <v>3</v>
      </c>
      <c r="L134" s="556" t="s">
        <v>1119</v>
      </c>
      <c r="M134" s="556" t="s">
        <v>1125</v>
      </c>
      <c r="N134" s="556" t="s">
        <v>1121</v>
      </c>
      <c r="O134" s="618" t="s">
        <v>1122</v>
      </c>
      <c r="P134" s="714">
        <v>7777.9269999999997</v>
      </c>
      <c r="Q134" s="711" t="s">
        <v>1122</v>
      </c>
      <c r="R134" s="711" t="s">
        <v>1122</v>
      </c>
      <c r="S134" s="715">
        <v>7.9930000000000003</v>
      </c>
      <c r="T134" s="716">
        <v>0.75900000000000001</v>
      </c>
      <c r="U134" s="618">
        <v>0</v>
      </c>
      <c r="V134" s="618">
        <v>0</v>
      </c>
      <c r="X134" s="681"/>
    </row>
    <row r="135" spans="8:31">
      <c r="H135" s="602" t="s">
        <v>940</v>
      </c>
      <c r="K135" s="556">
        <v>4</v>
      </c>
      <c r="L135" s="556" t="s">
        <v>1119</v>
      </c>
      <c r="M135" s="556" t="s">
        <v>1126</v>
      </c>
      <c r="N135" s="556" t="s">
        <v>1121</v>
      </c>
      <c r="O135" s="618" t="s">
        <v>1122</v>
      </c>
      <c r="P135" s="717">
        <f>P132*$M$114</f>
        <v>9627.3267999999989</v>
      </c>
      <c r="Q135" s="711" t="s">
        <v>1122</v>
      </c>
      <c r="R135" s="711" t="s">
        <v>1122</v>
      </c>
      <c r="S135" s="718">
        <f>S132*$M$114</f>
        <v>3.2248999999999999</v>
      </c>
      <c r="T135" s="718">
        <f>T132*$M$114</f>
        <v>0.95479999999999998</v>
      </c>
      <c r="U135" s="618">
        <v>0</v>
      </c>
      <c r="V135" s="618">
        <v>0</v>
      </c>
      <c r="X135" s="681"/>
      <c r="AD135" s="618"/>
      <c r="AE135" s="618"/>
    </row>
    <row r="136" spans="8:31">
      <c r="H136" s="602" t="s">
        <v>940</v>
      </c>
      <c r="K136" s="556">
        <v>0</v>
      </c>
      <c r="L136" s="556" t="s">
        <v>1127</v>
      </c>
      <c r="M136" s="556" t="s">
        <v>1120</v>
      </c>
      <c r="N136" s="556" t="s">
        <v>1121</v>
      </c>
      <c r="O136" s="618" t="s">
        <v>1122</v>
      </c>
      <c r="P136" s="710">
        <v>3105.5</v>
      </c>
      <c r="Q136" s="711" t="s">
        <v>1122</v>
      </c>
      <c r="R136" s="711" t="s">
        <v>1122</v>
      </c>
      <c r="S136" s="719">
        <v>2.754</v>
      </c>
      <c r="T136" s="719">
        <v>0.107</v>
      </c>
      <c r="U136" s="618">
        <v>0</v>
      </c>
      <c r="V136" s="618">
        <v>0</v>
      </c>
      <c r="X136" s="681"/>
      <c r="AD136" s="618"/>
      <c r="AE136" s="618"/>
    </row>
    <row r="137" spans="8:31">
      <c r="H137" s="602" t="s">
        <v>940</v>
      </c>
      <c r="K137" s="556">
        <v>1</v>
      </c>
      <c r="L137" s="556" t="s">
        <v>1127</v>
      </c>
      <c r="M137" s="556" t="s">
        <v>1123</v>
      </c>
      <c r="N137" s="556" t="s">
        <v>1121</v>
      </c>
      <c r="O137" s="618" t="s">
        <v>1122</v>
      </c>
      <c r="P137" s="714">
        <v>2486.6</v>
      </c>
      <c r="Q137" s="711" t="s">
        <v>1122</v>
      </c>
      <c r="R137" s="711" t="s">
        <v>1122</v>
      </c>
      <c r="S137" s="720">
        <v>2.2599999999999998</v>
      </c>
      <c r="T137" s="720">
        <v>0.54600000000000004</v>
      </c>
      <c r="U137" s="618">
        <v>0</v>
      </c>
      <c r="V137" s="618">
        <v>0</v>
      </c>
      <c r="X137" s="681"/>
      <c r="AD137" s="618"/>
      <c r="AE137" s="618"/>
    </row>
    <row r="138" spans="8:31">
      <c r="H138" s="602" t="s">
        <v>940</v>
      </c>
      <c r="K138" s="556">
        <v>2</v>
      </c>
      <c r="L138" s="556" t="s">
        <v>1127</v>
      </c>
      <c r="M138" s="556" t="s">
        <v>1124</v>
      </c>
      <c r="N138" s="556" t="s">
        <v>1121</v>
      </c>
      <c r="O138" s="618" t="s">
        <v>1122</v>
      </c>
      <c r="P138" s="714">
        <v>2888.3</v>
      </c>
      <c r="Q138" s="711" t="s">
        <v>1122</v>
      </c>
      <c r="R138" s="711" t="s">
        <v>1122</v>
      </c>
      <c r="S138" s="720">
        <v>0.90800000000000003</v>
      </c>
      <c r="T138" s="720">
        <v>0.59699999999999998</v>
      </c>
      <c r="U138" s="618">
        <v>0</v>
      </c>
      <c r="V138" s="618">
        <v>0</v>
      </c>
      <c r="X138" s="681"/>
      <c r="AD138" s="618"/>
      <c r="AE138" s="618"/>
    </row>
    <row r="139" spans="8:31">
      <c r="H139" s="602" t="s">
        <v>940</v>
      </c>
      <c r="K139" s="556">
        <v>3</v>
      </c>
      <c r="L139" s="556" t="s">
        <v>1127</v>
      </c>
      <c r="M139" s="556" t="s">
        <v>1125</v>
      </c>
      <c r="N139" s="556" t="s">
        <v>1121</v>
      </c>
      <c r="O139" s="618" t="s">
        <v>1122</v>
      </c>
      <c r="P139" s="714">
        <v>2888.3</v>
      </c>
      <c r="Q139" s="711" t="s">
        <v>1122</v>
      </c>
      <c r="R139" s="711" t="s">
        <v>1122</v>
      </c>
      <c r="S139" s="720">
        <v>0.90800000000000003</v>
      </c>
      <c r="T139" s="720">
        <v>0.59699999999999998</v>
      </c>
      <c r="U139" s="618">
        <v>0</v>
      </c>
      <c r="V139" s="618">
        <v>0</v>
      </c>
      <c r="X139" s="681" t="s">
        <v>1128</v>
      </c>
      <c r="AD139" s="618"/>
      <c r="AE139" s="618"/>
    </row>
    <row r="140" spans="8:31">
      <c r="H140" s="602" t="s">
        <v>940</v>
      </c>
      <c r="K140" s="556">
        <v>4</v>
      </c>
      <c r="L140" s="556" t="s">
        <v>1127</v>
      </c>
      <c r="M140" s="556" t="s">
        <v>1126</v>
      </c>
      <c r="N140" s="556" t="s">
        <v>1121</v>
      </c>
      <c r="O140" s="618" t="s">
        <v>1122</v>
      </c>
      <c r="P140" s="714">
        <v>1874.0920000000001</v>
      </c>
      <c r="Q140" s="711" t="s">
        <v>1122</v>
      </c>
      <c r="R140" s="711" t="s">
        <v>1122</v>
      </c>
      <c r="S140" s="720">
        <v>0.57581976065050577</v>
      </c>
      <c r="T140" s="720">
        <v>0.48537732157211944</v>
      </c>
      <c r="U140" s="618">
        <v>0</v>
      </c>
      <c r="V140" s="618">
        <v>0</v>
      </c>
      <c r="X140" s="681"/>
    </row>
    <row r="141" spans="8:31">
      <c r="H141" s="602" t="s">
        <v>940</v>
      </c>
      <c r="K141" s="556">
        <v>0</v>
      </c>
      <c r="L141" s="556" t="s">
        <v>1129</v>
      </c>
      <c r="M141" s="556" t="s">
        <v>1120</v>
      </c>
      <c r="N141" s="556" t="s">
        <v>1121</v>
      </c>
      <c r="O141" s="618" t="s">
        <v>1122</v>
      </c>
      <c r="P141" s="710" t="s">
        <v>1122</v>
      </c>
      <c r="Q141" s="711" t="s">
        <v>1122</v>
      </c>
      <c r="R141" s="711" t="s">
        <v>1122</v>
      </c>
      <c r="S141" s="712" t="s">
        <v>1122</v>
      </c>
      <c r="T141" s="719" t="s">
        <v>1122</v>
      </c>
      <c r="U141" s="618">
        <v>0</v>
      </c>
      <c r="V141" s="618">
        <v>0</v>
      </c>
      <c r="X141" s="681"/>
    </row>
    <row r="142" spans="8:31">
      <c r="H142" s="602" t="s">
        <v>940</v>
      </c>
      <c r="K142" s="556">
        <v>1</v>
      </c>
      <c r="L142" s="556" t="s">
        <v>1129</v>
      </c>
      <c r="M142" s="556" t="s">
        <v>1123</v>
      </c>
      <c r="N142" s="556" t="s">
        <v>1121</v>
      </c>
      <c r="O142" s="618" t="s">
        <v>1122</v>
      </c>
      <c r="P142" s="710" t="s">
        <v>1122</v>
      </c>
      <c r="Q142" s="711" t="s">
        <v>1122</v>
      </c>
      <c r="R142" s="711" t="s">
        <v>1122</v>
      </c>
      <c r="S142" s="712" t="s">
        <v>1122</v>
      </c>
      <c r="T142" s="719" t="s">
        <v>1122</v>
      </c>
      <c r="U142" s="618">
        <v>0</v>
      </c>
      <c r="V142" s="618">
        <v>0</v>
      </c>
      <c r="X142" s="681" t="s">
        <v>1130</v>
      </c>
    </row>
    <row r="143" spans="8:31">
      <c r="H143" s="602" t="s">
        <v>940</v>
      </c>
      <c r="K143" s="556">
        <v>2</v>
      </c>
      <c r="L143" s="556" t="s">
        <v>1129</v>
      </c>
      <c r="M143" s="556" t="s">
        <v>1124</v>
      </c>
      <c r="N143" s="556" t="s">
        <v>1121</v>
      </c>
      <c r="O143" s="618" t="s">
        <v>1122</v>
      </c>
      <c r="P143" s="710" t="s">
        <v>1122</v>
      </c>
      <c r="Q143" s="711" t="s">
        <v>1122</v>
      </c>
      <c r="R143" s="711" t="s">
        <v>1122</v>
      </c>
      <c r="S143" s="712" t="s">
        <v>1122</v>
      </c>
      <c r="T143" s="719" t="s">
        <v>1122</v>
      </c>
      <c r="U143" s="618">
        <v>0</v>
      </c>
      <c r="V143" s="618">
        <v>0</v>
      </c>
      <c r="X143" s="681" t="s">
        <v>1131</v>
      </c>
    </row>
    <row r="144" spans="8:31">
      <c r="H144" s="602" t="s">
        <v>940</v>
      </c>
      <c r="K144" s="556">
        <v>3</v>
      </c>
      <c r="L144" s="556" t="s">
        <v>1129</v>
      </c>
      <c r="M144" s="556" t="s">
        <v>1125</v>
      </c>
      <c r="N144" s="556" t="s">
        <v>1121</v>
      </c>
      <c r="O144" s="618" t="s">
        <v>1122</v>
      </c>
      <c r="P144" s="710" t="s">
        <v>1122</v>
      </c>
      <c r="Q144" s="711" t="s">
        <v>1122</v>
      </c>
      <c r="R144" s="711" t="s">
        <v>1122</v>
      </c>
      <c r="S144" s="712" t="s">
        <v>1122</v>
      </c>
      <c r="T144" s="719" t="s">
        <v>1122</v>
      </c>
      <c r="U144" s="618">
        <v>0</v>
      </c>
      <c r="V144" s="618">
        <v>0</v>
      </c>
      <c r="X144" s="681"/>
    </row>
    <row r="145" spans="8:24">
      <c r="H145" s="602" t="s">
        <v>940</v>
      </c>
      <c r="K145" s="556">
        <v>4</v>
      </c>
      <c r="L145" s="556" t="s">
        <v>1129</v>
      </c>
      <c r="M145" s="556" t="s">
        <v>1126</v>
      </c>
      <c r="N145" s="556" t="s">
        <v>1121</v>
      </c>
      <c r="O145" s="618" t="s">
        <v>1122</v>
      </c>
      <c r="P145" s="710" t="s">
        <v>1122</v>
      </c>
      <c r="Q145" s="711" t="s">
        <v>1122</v>
      </c>
      <c r="R145" s="711" t="s">
        <v>1122</v>
      </c>
      <c r="S145" s="712" t="s">
        <v>1122</v>
      </c>
      <c r="T145" s="719" t="s">
        <v>1122</v>
      </c>
      <c r="U145" s="618">
        <v>0</v>
      </c>
      <c r="V145" s="618">
        <v>0</v>
      </c>
      <c r="X145" s="681"/>
    </row>
    <row r="146" spans="8:24">
      <c r="H146" s="602" t="s">
        <v>940</v>
      </c>
      <c r="K146" s="556">
        <v>0</v>
      </c>
      <c r="L146" s="556" t="s">
        <v>1132</v>
      </c>
      <c r="M146" s="556" t="s">
        <v>1120</v>
      </c>
      <c r="N146" s="556" t="s">
        <v>1121</v>
      </c>
      <c r="O146" s="618" t="s">
        <v>1122</v>
      </c>
      <c r="P146" s="721">
        <f>P131*$P$117</f>
        <v>14028.39048</v>
      </c>
      <c r="Q146" s="711" t="s">
        <v>1122</v>
      </c>
      <c r="R146" s="711" t="s">
        <v>1122</v>
      </c>
      <c r="S146" s="712">
        <f t="shared" ref="S146:T150" si="23">S131*$P$117</f>
        <v>4.6991399999999999</v>
      </c>
      <c r="T146" s="712">
        <f t="shared" si="23"/>
        <v>1.3912799999999999</v>
      </c>
      <c r="U146" s="614">
        <v>0</v>
      </c>
      <c r="V146" s="614">
        <v>0</v>
      </c>
      <c r="X146" s="681"/>
    </row>
    <row r="147" spans="8:24">
      <c r="H147" s="602" t="s">
        <v>940</v>
      </c>
      <c r="K147" s="556">
        <v>1</v>
      </c>
      <c r="L147" s="556" t="s">
        <v>1132</v>
      </c>
      <c r="M147" s="556" t="s">
        <v>1123</v>
      </c>
      <c r="N147" s="556" t="s">
        <v>1121</v>
      </c>
      <c r="O147" s="618" t="s">
        <v>1122</v>
      </c>
      <c r="P147" s="721">
        <f>P132*$P$117</f>
        <v>16503.988799999999</v>
      </c>
      <c r="Q147" s="711" t="s">
        <v>1122</v>
      </c>
      <c r="R147" s="711" t="s">
        <v>1122</v>
      </c>
      <c r="S147" s="712">
        <f t="shared" si="23"/>
        <v>5.5284000000000004</v>
      </c>
      <c r="T147" s="712">
        <f t="shared" si="23"/>
        <v>1.6368</v>
      </c>
      <c r="U147" s="614">
        <v>0</v>
      </c>
      <c r="V147" s="614">
        <v>0</v>
      </c>
      <c r="X147" s="681"/>
    </row>
    <row r="148" spans="8:24">
      <c r="H148" s="602" t="s">
        <v>940</v>
      </c>
      <c r="K148" s="556">
        <v>2</v>
      </c>
      <c r="L148" s="556" t="s">
        <v>1132</v>
      </c>
      <c r="M148" s="556" t="s">
        <v>1124</v>
      </c>
      <c r="N148" s="556" t="s">
        <v>1121</v>
      </c>
      <c r="O148" s="618" t="s">
        <v>1122</v>
      </c>
      <c r="P148" s="721">
        <f>P133*$P$117</f>
        <v>17900.9892</v>
      </c>
      <c r="Q148" s="711" t="s">
        <v>1122</v>
      </c>
      <c r="R148" s="711" t="s">
        <v>1122</v>
      </c>
      <c r="S148" s="712">
        <f t="shared" si="23"/>
        <v>4.5071999999999992</v>
      </c>
      <c r="T148" s="712">
        <f t="shared" si="23"/>
        <v>1.3583999999999998</v>
      </c>
      <c r="U148" s="614">
        <v>0</v>
      </c>
      <c r="V148" s="614">
        <v>0</v>
      </c>
      <c r="X148" s="681"/>
    </row>
    <row r="149" spans="8:24">
      <c r="H149" s="602" t="s">
        <v>940</v>
      </c>
      <c r="K149" s="556">
        <v>3</v>
      </c>
      <c r="L149" s="556" t="s">
        <v>1132</v>
      </c>
      <c r="M149" s="556" t="s">
        <v>1125</v>
      </c>
      <c r="N149" s="556" t="s">
        <v>1121</v>
      </c>
      <c r="O149" s="618" t="s">
        <v>1122</v>
      </c>
      <c r="P149" s="721">
        <f>P134*$P$117</f>
        <v>9333.5123999999996</v>
      </c>
      <c r="Q149" s="711" t="s">
        <v>1122</v>
      </c>
      <c r="R149" s="711" t="s">
        <v>1122</v>
      </c>
      <c r="S149" s="712">
        <f t="shared" si="23"/>
        <v>9.5915999999999997</v>
      </c>
      <c r="T149" s="712">
        <f t="shared" si="23"/>
        <v>0.91079999999999994</v>
      </c>
      <c r="U149" s="614">
        <v>0</v>
      </c>
      <c r="V149" s="614">
        <v>0</v>
      </c>
      <c r="X149" s="681"/>
    </row>
    <row r="150" spans="8:24">
      <c r="H150" s="602" t="s">
        <v>940</v>
      </c>
      <c r="K150" s="556">
        <v>4</v>
      </c>
      <c r="L150" s="556" t="s">
        <v>1132</v>
      </c>
      <c r="M150" s="556" t="s">
        <v>1126</v>
      </c>
      <c r="N150" s="556" t="s">
        <v>1121</v>
      </c>
      <c r="O150" s="618" t="s">
        <v>1122</v>
      </c>
      <c r="P150" s="721">
        <f>P135*$P$117</f>
        <v>11552.792159999999</v>
      </c>
      <c r="Q150" s="711" t="s">
        <v>1122</v>
      </c>
      <c r="R150" s="711" t="s">
        <v>1122</v>
      </c>
      <c r="S150" s="712">
        <f t="shared" si="23"/>
        <v>3.8698799999999998</v>
      </c>
      <c r="T150" s="712">
        <f t="shared" si="23"/>
        <v>1.1457599999999999</v>
      </c>
      <c r="U150" s="614">
        <v>0</v>
      </c>
      <c r="V150" s="614">
        <v>0</v>
      </c>
      <c r="X150" s="681"/>
    </row>
    <row r="151" spans="8:24">
      <c r="H151" s="602" t="s">
        <v>940</v>
      </c>
      <c r="K151" s="556" t="s">
        <v>1133</v>
      </c>
      <c r="L151" s="556" t="s">
        <v>1134</v>
      </c>
      <c r="M151" s="556" t="s">
        <v>1135</v>
      </c>
      <c r="N151" s="556" t="s">
        <v>1121</v>
      </c>
      <c r="O151" s="722">
        <v>1760.9</v>
      </c>
      <c r="P151" s="723">
        <v>2177.6999999999998</v>
      </c>
      <c r="Q151" s="618" t="s">
        <v>1122</v>
      </c>
      <c r="R151" s="618" t="s">
        <v>1122</v>
      </c>
      <c r="S151" s="724" t="s">
        <v>1122</v>
      </c>
      <c r="T151" s="724" t="s">
        <v>1122</v>
      </c>
      <c r="U151" s="618"/>
      <c r="V151" s="618"/>
      <c r="X151" s="681"/>
    </row>
    <row r="152" spans="8:24">
      <c r="H152" s="602" t="s">
        <v>940</v>
      </c>
      <c r="K152" s="556" t="s">
        <v>1133</v>
      </c>
      <c r="L152" s="556" t="s">
        <v>1136</v>
      </c>
      <c r="M152" s="556" t="s">
        <v>1135</v>
      </c>
      <c r="N152" s="556" t="s">
        <v>1121</v>
      </c>
      <c r="O152" s="722">
        <f>O151*0.5</f>
        <v>880.45</v>
      </c>
      <c r="P152" s="723">
        <f>P151*0.5</f>
        <v>1088.8499999999999</v>
      </c>
      <c r="Q152" s="618">
        <v>0</v>
      </c>
      <c r="R152" s="618" t="s">
        <v>1122</v>
      </c>
      <c r="S152" s="724" t="s">
        <v>1122</v>
      </c>
      <c r="T152" s="724" t="s">
        <v>1122</v>
      </c>
      <c r="U152" s="618"/>
      <c r="V152" s="618"/>
      <c r="X152" s="681"/>
    </row>
    <row r="153" spans="8:24">
      <c r="H153" s="602" t="s">
        <v>940</v>
      </c>
      <c r="K153" s="556">
        <v>0</v>
      </c>
      <c r="L153" s="556" t="s">
        <v>1035</v>
      </c>
      <c r="M153" s="556" t="s">
        <v>1120</v>
      </c>
      <c r="N153" s="556" t="s">
        <v>1121</v>
      </c>
      <c r="O153" s="714">
        <f>$O$154*P110</f>
        <v>4278</v>
      </c>
      <c r="P153" s="714">
        <f>$P$154*P110</f>
        <v>6655</v>
      </c>
      <c r="Q153" s="618" t="s">
        <v>1122</v>
      </c>
      <c r="R153" s="618">
        <v>0</v>
      </c>
      <c r="S153" s="724" t="s">
        <v>1122</v>
      </c>
      <c r="T153" s="724" t="s">
        <v>1122</v>
      </c>
      <c r="U153" s="618"/>
      <c r="V153" s="618"/>
      <c r="X153" s="681"/>
    </row>
    <row r="154" spans="8:24">
      <c r="H154" s="602" t="s">
        <v>940</v>
      </c>
      <c r="K154" s="556">
        <v>1</v>
      </c>
      <c r="L154" s="556" t="s">
        <v>1035</v>
      </c>
      <c r="M154" s="556" t="s">
        <v>1123</v>
      </c>
      <c r="N154" s="556" t="s">
        <v>1121</v>
      </c>
      <c r="O154" s="714">
        <v>4278</v>
      </c>
      <c r="P154" s="723">
        <v>6655</v>
      </c>
      <c r="Q154" s="618" t="s">
        <v>1122</v>
      </c>
      <c r="R154" s="618">
        <v>0</v>
      </c>
      <c r="S154" s="724" t="s">
        <v>1122</v>
      </c>
      <c r="T154" s="724" t="s">
        <v>1122</v>
      </c>
      <c r="U154" s="618"/>
      <c r="V154" s="618"/>
      <c r="X154" s="681"/>
    </row>
    <row r="155" spans="8:24">
      <c r="H155" s="602" t="s">
        <v>940</v>
      </c>
      <c r="K155" s="556">
        <v>2</v>
      </c>
      <c r="L155" s="556" t="s">
        <v>1035</v>
      </c>
      <c r="M155" s="556" t="s">
        <v>1124</v>
      </c>
      <c r="N155" s="556" t="s">
        <v>1121</v>
      </c>
      <c r="O155" s="714">
        <f>$O$154*P112</f>
        <v>3679.08</v>
      </c>
      <c r="P155" s="714">
        <f>$P$154*P112</f>
        <v>5723.3</v>
      </c>
      <c r="Q155" s="618" t="s">
        <v>1122</v>
      </c>
      <c r="R155" s="618">
        <v>0</v>
      </c>
      <c r="S155" s="724" t="s">
        <v>1122</v>
      </c>
      <c r="T155" s="724" t="s">
        <v>1122</v>
      </c>
      <c r="U155" s="618"/>
      <c r="V155" s="618"/>
      <c r="X155" s="681"/>
    </row>
    <row r="156" spans="8:24">
      <c r="H156" s="602" t="s">
        <v>940</v>
      </c>
      <c r="K156" s="556">
        <v>3</v>
      </c>
      <c r="L156" s="556" t="s">
        <v>1035</v>
      </c>
      <c r="M156" s="556" t="s">
        <v>1125</v>
      </c>
      <c r="N156" s="556" t="s">
        <v>1121</v>
      </c>
      <c r="O156" s="714">
        <f>$O$154*P113</f>
        <v>3550.74</v>
      </c>
      <c r="P156" s="714">
        <f>$P$154*P113</f>
        <v>5523.65</v>
      </c>
      <c r="Q156" s="618" t="s">
        <v>1122</v>
      </c>
      <c r="R156" s="618">
        <v>0</v>
      </c>
      <c r="S156" s="724" t="s">
        <v>1122</v>
      </c>
      <c r="T156" s="724" t="s">
        <v>1122</v>
      </c>
      <c r="U156" s="618"/>
      <c r="V156" s="618"/>
      <c r="X156" s="681"/>
    </row>
    <row r="157" spans="8:24">
      <c r="H157" s="602" t="s">
        <v>940</v>
      </c>
      <c r="K157" s="556">
        <v>4</v>
      </c>
      <c r="L157" s="556" t="s">
        <v>1035</v>
      </c>
      <c r="M157" s="556" t="s">
        <v>1126</v>
      </c>
      <c r="N157" s="556" t="s">
        <v>1121</v>
      </c>
      <c r="O157" s="710">
        <f>$O$154*P114</f>
        <v>2909.0400000000004</v>
      </c>
      <c r="P157" s="710">
        <f>$P$154*P114</f>
        <v>4525.4000000000005</v>
      </c>
      <c r="Q157" s="618" t="s">
        <v>1122</v>
      </c>
      <c r="R157" s="618">
        <v>0</v>
      </c>
      <c r="S157" s="724" t="s">
        <v>1122</v>
      </c>
      <c r="T157" s="724" t="s">
        <v>1122</v>
      </c>
      <c r="U157" s="618"/>
      <c r="V157" s="618"/>
      <c r="X157" s="681"/>
    </row>
    <row r="158" spans="8:24">
      <c r="H158" s="602" t="s">
        <v>940</v>
      </c>
      <c r="K158" s="556">
        <v>0</v>
      </c>
      <c r="L158" s="556" t="s">
        <v>1037</v>
      </c>
      <c r="M158" s="556" t="s">
        <v>1120</v>
      </c>
      <c r="N158" s="556" t="s">
        <v>1121</v>
      </c>
      <c r="O158" s="618" t="s">
        <v>1122</v>
      </c>
      <c r="P158" s="711">
        <v>-190.006</v>
      </c>
      <c r="Q158" s="711" t="s">
        <v>1122</v>
      </c>
      <c r="R158" s="711" t="s">
        <v>1122</v>
      </c>
      <c r="S158" s="712">
        <v>0.53200000000000003</v>
      </c>
      <c r="T158" s="712">
        <v>1.2809999999999999</v>
      </c>
      <c r="U158" s="618"/>
      <c r="V158" s="618"/>
      <c r="X158" s="681"/>
    </row>
    <row r="159" spans="8:24">
      <c r="H159" s="602" t="s">
        <v>940</v>
      </c>
      <c r="K159" s="556">
        <v>1</v>
      </c>
      <c r="L159" s="556" t="s">
        <v>1037</v>
      </c>
      <c r="M159" s="556" t="s">
        <v>1123</v>
      </c>
      <c r="N159" s="556" t="s">
        <v>1121</v>
      </c>
      <c r="O159" s="618" t="s">
        <v>1122</v>
      </c>
      <c r="P159" s="711">
        <v>42.076999999999998</v>
      </c>
      <c r="Q159" s="711" t="s">
        <v>1122</v>
      </c>
      <c r="R159" s="711" t="s">
        <v>1122</v>
      </c>
      <c r="S159" s="712">
        <v>-0.371</v>
      </c>
      <c r="T159" s="712">
        <v>1.8540000000000001</v>
      </c>
      <c r="U159" s="618"/>
      <c r="V159" s="618"/>
      <c r="X159" s="681"/>
    </row>
    <row r="160" spans="8:24">
      <c r="H160" s="602" t="s">
        <v>940</v>
      </c>
      <c r="K160" s="556">
        <v>2</v>
      </c>
      <c r="L160" s="556" t="s">
        <v>1037</v>
      </c>
      <c r="M160" s="556" t="s">
        <v>1124</v>
      </c>
      <c r="N160" s="556" t="s">
        <v>1121</v>
      </c>
      <c r="O160" s="618" t="s">
        <v>1122</v>
      </c>
      <c r="P160" s="711">
        <v>-273.64999999999998</v>
      </c>
      <c r="Q160" s="711" t="s">
        <v>1122</v>
      </c>
      <c r="R160" s="711" t="s">
        <v>1122</v>
      </c>
      <c r="S160" s="712">
        <v>0.54800000000000004</v>
      </c>
      <c r="T160" s="712">
        <v>1.347</v>
      </c>
      <c r="U160" s="618"/>
      <c r="X160" s="681"/>
    </row>
    <row r="161" spans="1:24">
      <c r="H161" s="602" t="s">
        <v>940</v>
      </c>
      <c r="K161" s="556">
        <v>3</v>
      </c>
      <c r="L161" s="556" t="s">
        <v>1037</v>
      </c>
      <c r="M161" s="556" t="s">
        <v>1125</v>
      </c>
      <c r="N161" s="556" t="s">
        <v>1121</v>
      </c>
      <c r="O161" s="618" t="s">
        <v>1122</v>
      </c>
      <c r="P161" s="711">
        <v>-709.08799999999997</v>
      </c>
      <c r="Q161" s="711" t="s">
        <v>1122</v>
      </c>
      <c r="R161" s="711" t="s">
        <v>1122</v>
      </c>
      <c r="S161" s="712">
        <v>1.2629999999999999</v>
      </c>
      <c r="T161" s="712">
        <v>0.84899999999999998</v>
      </c>
      <c r="U161" s="618"/>
      <c r="V161" s="618"/>
      <c r="X161" s="681"/>
    </row>
    <row r="162" spans="1:24">
      <c r="H162" s="602" t="s">
        <v>940</v>
      </c>
      <c r="K162" s="556">
        <v>4</v>
      </c>
      <c r="L162" s="556" t="s">
        <v>1037</v>
      </c>
      <c r="M162" s="556" t="s">
        <v>1126</v>
      </c>
      <c r="N162" s="556" t="s">
        <v>1121</v>
      </c>
      <c r="O162" s="618" t="s">
        <v>1122</v>
      </c>
      <c r="P162" s="711">
        <v>-313.67099999999999</v>
      </c>
      <c r="Q162" s="711" t="s">
        <v>1122</v>
      </c>
      <c r="R162" s="711" t="s">
        <v>1122</v>
      </c>
      <c r="S162" s="712">
        <v>1.177</v>
      </c>
      <c r="T162" s="712">
        <v>0.74099999999999999</v>
      </c>
      <c r="U162" s="618"/>
      <c r="V162" s="618"/>
      <c r="X162" s="681"/>
    </row>
    <row r="163" spans="1:24">
      <c r="H163" s="602" t="s">
        <v>940</v>
      </c>
      <c r="K163" s="556" t="s">
        <v>1133</v>
      </c>
      <c r="L163" s="556" t="s">
        <v>1137</v>
      </c>
      <c r="M163" s="556" t="s">
        <v>1135</v>
      </c>
      <c r="N163" s="556" t="s">
        <v>1121</v>
      </c>
      <c r="O163" s="723">
        <v>5097.6000000000004</v>
      </c>
      <c r="P163" s="723">
        <v>6366.5</v>
      </c>
      <c r="Q163" s="618" t="s">
        <v>1122</v>
      </c>
      <c r="R163" s="618" t="s">
        <v>1122</v>
      </c>
      <c r="S163" s="724" t="s">
        <v>1122</v>
      </c>
      <c r="T163" s="724" t="s">
        <v>1122</v>
      </c>
      <c r="U163" s="724" t="s">
        <v>1122</v>
      </c>
      <c r="V163" s="724" t="s">
        <v>1122</v>
      </c>
      <c r="W163" s="725">
        <v>0</v>
      </c>
      <c r="X163" s="681" t="s">
        <v>1138</v>
      </c>
    </row>
    <row r="164" spans="1:24">
      <c r="H164" s="602" t="s">
        <v>940</v>
      </c>
      <c r="K164" s="556" t="s">
        <v>1133</v>
      </c>
      <c r="L164" s="556" t="s">
        <v>1139</v>
      </c>
      <c r="M164" s="556" t="s">
        <v>1135</v>
      </c>
      <c r="N164" s="556" t="s">
        <v>1121</v>
      </c>
      <c r="O164" s="723">
        <v>1691.2</v>
      </c>
      <c r="P164" s="723">
        <v>4430.6000000000004</v>
      </c>
      <c r="Q164" s="618">
        <v>0</v>
      </c>
      <c r="R164" s="618" t="s">
        <v>1122</v>
      </c>
      <c r="S164" s="724" t="s">
        <v>1122</v>
      </c>
      <c r="T164" s="724" t="s">
        <v>1122</v>
      </c>
      <c r="U164" s="724" t="s">
        <v>1122</v>
      </c>
      <c r="V164" s="724" t="s">
        <v>1122</v>
      </c>
      <c r="W164" s="725">
        <v>0</v>
      </c>
      <c r="X164" s="681"/>
    </row>
    <row r="165" spans="1:24">
      <c r="H165" s="602" t="s">
        <v>940</v>
      </c>
      <c r="K165" s="556" t="s">
        <v>1133</v>
      </c>
      <c r="L165" s="556" t="s">
        <v>1140</v>
      </c>
      <c r="M165" s="556" t="s">
        <v>1135</v>
      </c>
      <c r="N165" s="556" t="s">
        <v>1121</v>
      </c>
      <c r="O165" s="711">
        <f>O163*$P$117</f>
        <v>6117.12</v>
      </c>
      <c r="P165" s="711">
        <f>P163*$P$117</f>
        <v>7639.7999999999993</v>
      </c>
      <c r="Q165" s="618">
        <v>0</v>
      </c>
      <c r="R165" s="618" t="s">
        <v>1122</v>
      </c>
      <c r="S165" s="724" t="s">
        <v>1122</v>
      </c>
      <c r="T165" s="724" t="s">
        <v>1122</v>
      </c>
      <c r="U165" s="724" t="s">
        <v>1122</v>
      </c>
      <c r="V165" s="724" t="s">
        <v>1122</v>
      </c>
      <c r="W165" s="725">
        <f>W163</f>
        <v>0</v>
      </c>
      <c r="X165" s="681"/>
    </row>
    <row r="166" spans="1:24">
      <c r="H166" s="602" t="s">
        <v>940</v>
      </c>
      <c r="K166" s="556" t="s">
        <v>1133</v>
      </c>
      <c r="L166" s="556" t="s">
        <v>1141</v>
      </c>
      <c r="M166" s="556" t="s">
        <v>1135</v>
      </c>
      <c r="N166" s="556" t="s">
        <v>1142</v>
      </c>
      <c r="O166" s="701" t="e">
        <f>(water_cons_const + water_cons_coef * monthly_min_temp)/12</f>
        <v>#N/A</v>
      </c>
      <c r="P166" s="701">
        <v>0</v>
      </c>
      <c r="Q166" s="618" t="s">
        <v>1122</v>
      </c>
      <c r="R166" s="618" t="s">
        <v>1122</v>
      </c>
      <c r="S166" s="724" t="s">
        <v>1122</v>
      </c>
      <c r="T166" s="724" t="s">
        <v>1122</v>
      </c>
      <c r="U166" s="618"/>
      <c r="V166" s="618"/>
    </row>
    <row r="167" spans="1:24">
      <c r="H167" s="602" t="s">
        <v>940</v>
      </c>
      <c r="K167" s="556" t="s">
        <v>1133</v>
      </c>
      <c r="L167" s="556" t="s">
        <v>1143</v>
      </c>
      <c r="M167" s="556" t="s">
        <v>1135</v>
      </c>
      <c r="N167" s="556" t="s">
        <v>1142</v>
      </c>
      <c r="O167" s="701">
        <v>0</v>
      </c>
      <c r="P167" s="701">
        <v>0</v>
      </c>
      <c r="Q167" s="618" t="s">
        <v>1122</v>
      </c>
      <c r="R167" s="618" t="s">
        <v>1122</v>
      </c>
      <c r="S167" s="724" t="s">
        <v>1122</v>
      </c>
      <c r="T167" s="724" t="s">
        <v>1122</v>
      </c>
      <c r="U167" s="618"/>
      <c r="V167" s="618"/>
    </row>
    <row r="168" spans="1:24">
      <c r="H168" s="602" t="s">
        <v>940</v>
      </c>
      <c r="K168" s="556" t="s">
        <v>1133</v>
      </c>
      <c r="L168" s="556" t="s">
        <v>1049</v>
      </c>
      <c r="M168" s="556" t="s">
        <v>1135</v>
      </c>
      <c r="N168" s="556" t="s">
        <v>1142</v>
      </c>
      <c r="O168" s="726">
        <v>0</v>
      </c>
      <c r="P168" s="726">
        <v>0</v>
      </c>
      <c r="Q168" s="618" t="s">
        <v>1122</v>
      </c>
      <c r="R168" s="618" t="s">
        <v>1122</v>
      </c>
      <c r="S168" s="724" t="s">
        <v>1122</v>
      </c>
      <c r="T168" s="724" t="s">
        <v>1122</v>
      </c>
      <c r="U168" s="618"/>
      <c r="V168" s="618"/>
      <c r="X168" s="706" t="s">
        <v>1144</v>
      </c>
    </row>
    <row r="169" spans="1:24">
      <c r="H169" s="602" t="s">
        <v>940</v>
      </c>
    </row>
    <row r="170" spans="1:24" ht="18">
      <c r="H170" s="602" t="s">
        <v>940</v>
      </c>
      <c r="L170" s="652" t="s">
        <v>1145</v>
      </c>
      <c r="M170" s="551"/>
      <c r="N170" s="551"/>
      <c r="O170" s="551"/>
      <c r="P170" s="551"/>
      <c r="Q170" s="551"/>
      <c r="R170" s="551"/>
      <c r="S170" s="551"/>
      <c r="T170" s="551"/>
      <c r="U170" s="551"/>
      <c r="V170" s="551"/>
    </row>
    <row r="171" spans="1:24">
      <c r="H171" s="602" t="s">
        <v>940</v>
      </c>
    </row>
    <row r="172" spans="1:24" s="727" customFormat="1" ht="45.75" customHeight="1">
      <c r="A172" s="556"/>
      <c r="B172" s="556"/>
      <c r="C172" s="556"/>
      <c r="D172" s="556"/>
      <c r="E172" s="556"/>
      <c r="F172" s="556"/>
      <c r="G172" s="556"/>
      <c r="H172" s="602" t="s">
        <v>940</v>
      </c>
      <c r="I172" s="556"/>
      <c r="J172" s="556"/>
      <c r="K172" s="556"/>
      <c r="L172" s="727" t="s">
        <v>1146</v>
      </c>
      <c r="M172" s="727" t="s">
        <v>1147</v>
      </c>
      <c r="N172" s="727" t="s">
        <v>1148</v>
      </c>
      <c r="P172" s="727" t="s">
        <v>1149</v>
      </c>
      <c r="Q172" s="727" t="s">
        <v>1150</v>
      </c>
      <c r="R172" s="727" t="s">
        <v>1151</v>
      </c>
      <c r="S172" s="727" t="s">
        <v>1152</v>
      </c>
      <c r="T172" s="727" t="s">
        <v>1153</v>
      </c>
      <c r="U172" s="727" t="s">
        <v>1154</v>
      </c>
    </row>
    <row r="173" spans="1:24">
      <c r="B173" s="727"/>
      <c r="C173" s="727"/>
      <c r="D173" s="727"/>
      <c r="E173" s="727"/>
      <c r="F173" s="727"/>
      <c r="G173" s="727"/>
      <c r="H173" s="602" t="s">
        <v>940</v>
      </c>
      <c r="I173" s="727"/>
      <c r="J173" s="727"/>
      <c r="K173" s="727"/>
      <c r="L173" s="556" t="s">
        <v>1155</v>
      </c>
      <c r="M173" s="556" t="str">
        <f>INDEX($M$131:$M$135,N173)</f>
        <v>SF Det</v>
      </c>
      <c r="N173" s="556">
        <v>2</v>
      </c>
      <c r="P173" s="556">
        <v>1</v>
      </c>
      <c r="Q173" s="556">
        <v>1</v>
      </c>
      <c r="R173" s="556">
        <v>1</v>
      </c>
      <c r="S173" s="556">
        <v>1</v>
      </c>
      <c r="T173" s="556">
        <v>1</v>
      </c>
      <c r="U173" s="556">
        <v>1</v>
      </c>
    </row>
    <row r="174" spans="1:24">
      <c r="H174" s="602" t="s">
        <v>940</v>
      </c>
      <c r="L174" s="556" t="s">
        <v>1156</v>
      </c>
      <c r="M174" s="556" t="str">
        <f>INDEX($M$131:$M$135,N174)</f>
        <v>SF Att</v>
      </c>
      <c r="N174" s="556">
        <v>3</v>
      </c>
      <c r="P174" s="556">
        <v>1</v>
      </c>
      <c r="Q174" s="556">
        <v>1</v>
      </c>
      <c r="R174" s="556">
        <v>1</v>
      </c>
      <c r="S174" s="556">
        <v>1</v>
      </c>
      <c r="T174" s="556">
        <v>1</v>
      </c>
      <c r="U174" s="556">
        <v>1</v>
      </c>
    </row>
    <row r="175" spans="1:24">
      <c r="H175" s="602" t="s">
        <v>940</v>
      </c>
      <c r="L175" s="556" t="s">
        <v>1157</v>
      </c>
      <c r="M175" s="556" t="str">
        <f>INDEX($M$131:$M$135,N175)</f>
        <v>Apt 2-4</v>
      </c>
      <c r="N175" s="556">
        <v>4</v>
      </c>
      <c r="P175" s="556">
        <v>1</v>
      </c>
      <c r="Q175" s="556">
        <v>1</v>
      </c>
      <c r="R175" s="556">
        <v>1</v>
      </c>
      <c r="S175" s="556">
        <v>1</v>
      </c>
      <c r="T175" s="556">
        <v>1</v>
      </c>
      <c r="U175" s="556">
        <v>1</v>
      </c>
    </row>
    <row r="176" spans="1:24">
      <c r="H176" s="602" t="s">
        <v>940</v>
      </c>
      <c r="L176" s="556" t="s">
        <v>1158</v>
      </c>
      <c r="M176" s="556" t="str">
        <f>INDEX($M$131:$M$135,N176)</f>
        <v>Apt 5+</v>
      </c>
      <c r="N176" s="556">
        <v>5</v>
      </c>
      <c r="P176" s="556">
        <v>1</v>
      </c>
      <c r="Q176" s="556">
        <v>1</v>
      </c>
      <c r="R176" s="556">
        <v>1</v>
      </c>
      <c r="S176" s="556">
        <v>1</v>
      </c>
      <c r="T176" s="728">
        <v>0.8</v>
      </c>
      <c r="U176" s="556">
        <v>1</v>
      </c>
    </row>
    <row r="177" spans="8:24">
      <c r="H177" s="602" t="s">
        <v>940</v>
      </c>
      <c r="L177" s="556" t="s">
        <v>1159</v>
      </c>
      <c r="M177" s="556" t="str">
        <f>INDEX($M$131:$M$135,N177)</f>
        <v>Mobile</v>
      </c>
      <c r="N177" s="556">
        <v>1</v>
      </c>
      <c r="P177" s="556">
        <v>1</v>
      </c>
      <c r="Q177" s="556">
        <v>1</v>
      </c>
      <c r="R177" s="556">
        <v>1</v>
      </c>
      <c r="S177" s="556">
        <v>1</v>
      </c>
      <c r="T177" s="556">
        <v>1</v>
      </c>
      <c r="U177" s="556">
        <v>1</v>
      </c>
    </row>
    <row r="178" spans="8:24">
      <c r="H178" s="602" t="s">
        <v>940</v>
      </c>
    </row>
    <row r="179" spans="8:24" ht="18">
      <c r="H179" s="602" t="s">
        <v>940</v>
      </c>
      <c r="L179" s="652" t="s">
        <v>1160</v>
      </c>
      <c r="M179" s="551"/>
      <c r="N179" s="551"/>
      <c r="O179" s="551"/>
      <c r="P179" s="551"/>
      <c r="Q179" s="551"/>
      <c r="R179" s="551"/>
      <c r="S179" s="551"/>
      <c r="T179" s="551"/>
      <c r="U179" s="551"/>
      <c r="V179" s="551"/>
    </row>
    <row r="180" spans="8:24">
      <c r="H180" s="602" t="s">
        <v>940</v>
      </c>
    </row>
    <row r="181" spans="8:24" ht="38.25">
      <c r="H181" s="602" t="s">
        <v>940</v>
      </c>
      <c r="L181" s="727" t="s">
        <v>1146</v>
      </c>
      <c r="M181" s="727" t="s">
        <v>1147</v>
      </c>
      <c r="N181" s="727" t="s">
        <v>1148</v>
      </c>
      <c r="O181" s="727"/>
      <c r="P181" s="727" t="s">
        <v>1149</v>
      </c>
      <c r="Q181" s="727" t="s">
        <v>1150</v>
      </c>
      <c r="R181" s="727" t="s">
        <v>1151</v>
      </c>
      <c r="S181" s="727" t="s">
        <v>1152</v>
      </c>
      <c r="T181" s="727" t="s">
        <v>1153</v>
      </c>
      <c r="U181" s="727" t="s">
        <v>1154</v>
      </c>
    </row>
    <row r="182" spans="8:24">
      <c r="H182" s="602" t="s">
        <v>940</v>
      </c>
      <c r="L182" s="556" t="str">
        <f>INDEX(L173:L177,$H$4)</f>
        <v>Single Family House</v>
      </c>
      <c r="M182" s="556" t="str">
        <f>INDEX(M173:M177,$H$4)</f>
        <v>SF Det</v>
      </c>
      <c r="N182" s="556">
        <f>INDEX(N173:N177,$H$4)</f>
        <v>2</v>
      </c>
      <c r="P182" s="556">
        <f t="shared" ref="P182:U182" si="24">INDEX(P173:P177,$H$4)</f>
        <v>1</v>
      </c>
      <c r="Q182" s="556">
        <f t="shared" si="24"/>
        <v>1</v>
      </c>
      <c r="R182" s="556">
        <f t="shared" si="24"/>
        <v>1</v>
      </c>
      <c r="S182" s="556">
        <f t="shared" si="24"/>
        <v>1</v>
      </c>
      <c r="T182" s="556">
        <f t="shared" si="24"/>
        <v>1</v>
      </c>
      <c r="U182" s="556">
        <f t="shared" si="24"/>
        <v>1</v>
      </c>
    </row>
    <row r="183" spans="8:24">
      <c r="H183" s="602" t="s">
        <v>940</v>
      </c>
    </row>
    <row r="184" spans="8:24">
      <c r="H184" s="602" t="s">
        <v>940</v>
      </c>
      <c r="L184" s="609" t="s">
        <v>1161</v>
      </c>
    </row>
    <row r="185" spans="8:24" ht="38.25">
      <c r="H185" s="602" t="s">
        <v>940</v>
      </c>
      <c r="L185" s="708" t="s">
        <v>1020</v>
      </c>
      <c r="M185" s="708" t="s">
        <v>1110</v>
      </c>
      <c r="N185" s="708" t="s">
        <v>359</v>
      </c>
      <c r="O185" s="709" t="s">
        <v>1111</v>
      </c>
      <c r="P185" s="709" t="s">
        <v>1092</v>
      </c>
      <c r="Q185" s="709" t="s">
        <v>1112</v>
      </c>
      <c r="R185" s="709" t="s">
        <v>1113</v>
      </c>
      <c r="S185" s="709" t="s">
        <v>1114</v>
      </c>
      <c r="T185" s="709" t="s">
        <v>1115</v>
      </c>
      <c r="U185" s="709" t="s">
        <v>1116</v>
      </c>
      <c r="V185" s="709" t="s">
        <v>1117</v>
      </c>
      <c r="W185" s="709" t="s">
        <v>1118</v>
      </c>
    </row>
    <row r="186" spans="8:24">
      <c r="H186" s="602" t="s">
        <v>940</v>
      </c>
      <c r="L186" s="556" t="s">
        <v>1119</v>
      </c>
      <c r="M186" s="556" t="str">
        <f>INDEX(M131:M135,$N$182)</f>
        <v>SF Det</v>
      </c>
      <c r="N186" s="556" t="str">
        <f t="shared" ref="N186:T186" si="25">INDEX(N131:N135,$N$182)</f>
        <v>kBtu/yr</v>
      </c>
      <c r="O186" s="618" t="str">
        <f t="shared" si="25"/>
        <v>na</v>
      </c>
      <c r="P186" s="729">
        <f>INDEX(P131:P135,$N$182)</f>
        <v>13753.324000000001</v>
      </c>
      <c r="Q186" s="618" t="str">
        <f t="shared" si="25"/>
        <v>na</v>
      </c>
      <c r="R186" s="618" t="str">
        <f t="shared" si="25"/>
        <v>na</v>
      </c>
      <c r="S186" s="724">
        <f>INDEX(S131:S135,$N$182)</f>
        <v>4.6070000000000002</v>
      </c>
      <c r="T186" s="724">
        <f t="shared" si="25"/>
        <v>1.3640000000000001</v>
      </c>
      <c r="U186" s="618">
        <f>INDEX(U131:U135,$N$182)</f>
        <v>0</v>
      </c>
      <c r="V186" s="618">
        <f>INDEX(V131:V135,$N$182)</f>
        <v>0</v>
      </c>
      <c r="X186" s="681" t="s">
        <v>1162</v>
      </c>
    </row>
    <row r="187" spans="8:24">
      <c r="H187" s="602" t="s">
        <v>940</v>
      </c>
      <c r="L187" s="556" t="s">
        <v>1127</v>
      </c>
      <c r="M187" s="556" t="str">
        <f t="shared" ref="M187:V187" si="26">INDEX(M136:M140,$N$182)</f>
        <v>SF Det</v>
      </c>
      <c r="N187" s="556" t="str">
        <f t="shared" si="26"/>
        <v>kBtu/yr</v>
      </c>
      <c r="O187" s="618" t="str">
        <f t="shared" si="26"/>
        <v>na</v>
      </c>
      <c r="P187" s="729">
        <f t="shared" si="26"/>
        <v>2486.6</v>
      </c>
      <c r="Q187" s="618" t="str">
        <f t="shared" si="26"/>
        <v>na</v>
      </c>
      <c r="R187" s="618" t="str">
        <f t="shared" si="26"/>
        <v>na</v>
      </c>
      <c r="S187" s="724">
        <f t="shared" si="26"/>
        <v>2.2599999999999998</v>
      </c>
      <c r="T187" s="724">
        <f t="shared" si="26"/>
        <v>0.54600000000000004</v>
      </c>
      <c r="U187" s="618">
        <f t="shared" si="26"/>
        <v>0</v>
      </c>
      <c r="V187" s="618">
        <f t="shared" si="26"/>
        <v>0</v>
      </c>
      <c r="X187" s="681" t="s">
        <v>1163</v>
      </c>
    </row>
    <row r="188" spans="8:24">
      <c r="H188" s="602" t="s">
        <v>940</v>
      </c>
      <c r="L188" s="556" t="s">
        <v>1129</v>
      </c>
      <c r="M188" s="556" t="str">
        <f>INDEX(M141:M145,$N$182)</f>
        <v>SF Det</v>
      </c>
      <c r="N188" s="556" t="str">
        <f>INDEX(N137:N141,$N$182)</f>
        <v>kBtu/yr</v>
      </c>
      <c r="O188" s="618" t="str">
        <f>INDEX(O141:O145,$N$182)</f>
        <v>na</v>
      </c>
      <c r="P188" s="729" t="str">
        <f>INDEX(P141:P145,$N$182)</f>
        <v>na</v>
      </c>
      <c r="Q188" s="618" t="str">
        <f t="shared" ref="Q188:V188" si="27">INDEX(Q141:Q145,$N$182)</f>
        <v>na</v>
      </c>
      <c r="R188" s="618" t="str">
        <f t="shared" si="27"/>
        <v>na</v>
      </c>
      <c r="S188" s="724" t="str">
        <f t="shared" si="27"/>
        <v>na</v>
      </c>
      <c r="T188" s="724" t="str">
        <f t="shared" si="27"/>
        <v>na</v>
      </c>
      <c r="U188" s="618">
        <f t="shared" si="27"/>
        <v>0</v>
      </c>
      <c r="V188" s="618">
        <f t="shared" si="27"/>
        <v>0</v>
      </c>
    </row>
    <row r="189" spans="8:24">
      <c r="H189" s="602" t="s">
        <v>940</v>
      </c>
      <c r="L189" s="556" t="s">
        <v>1132</v>
      </c>
      <c r="M189" s="556" t="str">
        <f t="shared" ref="M189:T189" si="28">INDEX(M146:M150,$N$182)</f>
        <v>SF Det</v>
      </c>
      <c r="N189" s="556" t="str">
        <f t="shared" si="28"/>
        <v>kBtu/yr</v>
      </c>
      <c r="O189" s="618" t="str">
        <f t="shared" si="28"/>
        <v>na</v>
      </c>
      <c r="P189" s="729">
        <f>INDEX(P146:P150,$N$182)</f>
        <v>16503.988799999999</v>
      </c>
      <c r="Q189" s="618" t="str">
        <f t="shared" si="28"/>
        <v>na</v>
      </c>
      <c r="R189" s="618" t="str">
        <f t="shared" si="28"/>
        <v>na</v>
      </c>
      <c r="S189" s="724">
        <f>INDEX(S146:S150,$N$182)</f>
        <v>5.5284000000000004</v>
      </c>
      <c r="T189" s="724">
        <f t="shared" si="28"/>
        <v>1.6368</v>
      </c>
      <c r="U189" s="618">
        <f>INDEX(U146:U150,$N$182)</f>
        <v>0</v>
      </c>
      <c r="V189" s="618">
        <f>INDEX(V146:V150,$N$182)</f>
        <v>0</v>
      </c>
    </row>
    <row r="190" spans="8:24">
      <c r="H190" s="602" t="s">
        <v>940</v>
      </c>
      <c r="L190" s="556" t="s">
        <v>1134</v>
      </c>
      <c r="M190" s="556" t="str">
        <f t="shared" ref="M190:T191" si="29">M151</f>
        <v>All</v>
      </c>
      <c r="N190" s="556" t="str">
        <f t="shared" si="29"/>
        <v>kBtu/yr</v>
      </c>
      <c r="O190" s="618">
        <f t="shared" si="29"/>
        <v>1760.9</v>
      </c>
      <c r="P190" s="618">
        <f t="shared" si="29"/>
        <v>2177.6999999999998</v>
      </c>
      <c r="Q190" s="618" t="str">
        <f t="shared" si="29"/>
        <v>na</v>
      </c>
      <c r="R190" s="618" t="str">
        <f t="shared" si="29"/>
        <v>na</v>
      </c>
      <c r="S190" s="618" t="str">
        <f t="shared" si="29"/>
        <v>na</v>
      </c>
      <c r="T190" s="618" t="str">
        <f t="shared" si="29"/>
        <v>na</v>
      </c>
    </row>
    <row r="191" spans="8:24">
      <c r="H191" s="602" t="s">
        <v>940</v>
      </c>
      <c r="L191" s="556" t="s">
        <v>1136</v>
      </c>
      <c r="M191" s="556" t="str">
        <f t="shared" si="29"/>
        <v>All</v>
      </c>
      <c r="N191" s="556" t="str">
        <f t="shared" si="29"/>
        <v>kBtu/yr</v>
      </c>
      <c r="O191" s="618">
        <f t="shared" si="29"/>
        <v>880.45</v>
      </c>
      <c r="P191" s="618">
        <f t="shared" si="29"/>
        <v>1088.8499999999999</v>
      </c>
      <c r="Q191" s="618">
        <f t="shared" si="29"/>
        <v>0</v>
      </c>
      <c r="R191" s="618" t="str">
        <f t="shared" si="29"/>
        <v>na</v>
      </c>
      <c r="S191" s="618" t="str">
        <f t="shared" si="29"/>
        <v>na</v>
      </c>
      <c r="T191" s="618" t="str">
        <f t="shared" si="29"/>
        <v>na</v>
      </c>
    </row>
    <row r="192" spans="8:24">
      <c r="H192" s="602" t="s">
        <v>940</v>
      </c>
      <c r="L192" s="556" t="s">
        <v>1035</v>
      </c>
      <c r="M192" s="556" t="str">
        <f t="shared" ref="M192:T192" si="30">INDEX(M153:M157,$N$182)</f>
        <v>SF Det</v>
      </c>
      <c r="N192" s="556" t="str">
        <f t="shared" si="30"/>
        <v>kBtu/yr</v>
      </c>
      <c r="O192" s="618">
        <f t="shared" si="30"/>
        <v>4278</v>
      </c>
      <c r="P192" s="618">
        <f t="shared" si="30"/>
        <v>6655</v>
      </c>
      <c r="Q192" s="618" t="str">
        <f t="shared" si="30"/>
        <v>na</v>
      </c>
      <c r="R192" s="618">
        <f t="shared" si="30"/>
        <v>0</v>
      </c>
      <c r="S192" s="618" t="str">
        <f t="shared" si="30"/>
        <v>na</v>
      </c>
      <c r="T192" s="618" t="str">
        <f t="shared" si="30"/>
        <v>na</v>
      </c>
    </row>
    <row r="193" spans="8:24">
      <c r="H193" s="602" t="s">
        <v>940</v>
      </c>
      <c r="L193" s="556" t="s">
        <v>1037</v>
      </c>
      <c r="M193" s="556" t="str">
        <f t="shared" ref="M193:T193" si="31">INDEX(M158:M162,$N$182)</f>
        <v>SF Det</v>
      </c>
      <c r="N193" s="556" t="str">
        <f t="shared" si="31"/>
        <v>kBtu/yr</v>
      </c>
      <c r="O193" s="618" t="str">
        <f t="shared" si="31"/>
        <v>na</v>
      </c>
      <c r="P193" s="618">
        <f t="shared" si="31"/>
        <v>42.076999999999998</v>
      </c>
      <c r="Q193" s="618" t="str">
        <f t="shared" si="31"/>
        <v>na</v>
      </c>
      <c r="R193" s="618" t="str">
        <f t="shared" si="31"/>
        <v>na</v>
      </c>
      <c r="S193" s="618">
        <f t="shared" si="31"/>
        <v>-0.371</v>
      </c>
      <c r="T193" s="618">
        <f t="shared" si="31"/>
        <v>1.8540000000000001</v>
      </c>
    </row>
    <row r="194" spans="8:24">
      <c r="H194" s="602" t="s">
        <v>940</v>
      </c>
      <c r="L194" s="556" t="s">
        <v>1137</v>
      </c>
      <c r="M194" s="556" t="str">
        <f t="shared" ref="M194:W199" si="32">M163</f>
        <v>All</v>
      </c>
      <c r="N194" s="556" t="str">
        <f t="shared" si="32"/>
        <v>kBtu/yr</v>
      </c>
      <c r="O194" s="618">
        <f t="shared" si="32"/>
        <v>5097.6000000000004</v>
      </c>
      <c r="P194" s="618">
        <f t="shared" si="32"/>
        <v>6366.5</v>
      </c>
      <c r="Q194" s="618" t="str">
        <f t="shared" si="32"/>
        <v>na</v>
      </c>
      <c r="R194" s="618" t="str">
        <f t="shared" si="32"/>
        <v>na</v>
      </c>
      <c r="S194" s="618" t="str">
        <f t="shared" si="32"/>
        <v>na</v>
      </c>
      <c r="T194" s="618" t="str">
        <f t="shared" si="32"/>
        <v>na</v>
      </c>
      <c r="U194" s="618" t="str">
        <f t="shared" si="32"/>
        <v>na</v>
      </c>
      <c r="V194" s="618" t="str">
        <f t="shared" si="32"/>
        <v>na</v>
      </c>
      <c r="W194" s="618">
        <f t="shared" si="32"/>
        <v>0</v>
      </c>
      <c r="X194" s="681" t="s">
        <v>1163</v>
      </c>
    </row>
    <row r="195" spans="8:24">
      <c r="H195" s="602" t="s">
        <v>940</v>
      </c>
      <c r="L195" s="556" t="s">
        <v>1139</v>
      </c>
      <c r="M195" s="556" t="str">
        <f t="shared" si="32"/>
        <v>All</v>
      </c>
      <c r="N195" s="556" t="str">
        <f t="shared" si="32"/>
        <v>kBtu/yr</v>
      </c>
      <c r="O195" s="618">
        <f t="shared" si="32"/>
        <v>1691.2</v>
      </c>
      <c r="P195" s="618">
        <f t="shared" si="32"/>
        <v>4430.6000000000004</v>
      </c>
      <c r="Q195" s="618">
        <f t="shared" si="32"/>
        <v>0</v>
      </c>
      <c r="R195" s="618" t="str">
        <f t="shared" si="32"/>
        <v>na</v>
      </c>
      <c r="S195" s="618" t="str">
        <f t="shared" si="32"/>
        <v>na</v>
      </c>
      <c r="T195" s="618" t="str">
        <f t="shared" si="32"/>
        <v>na</v>
      </c>
      <c r="U195" s="618" t="str">
        <f t="shared" si="32"/>
        <v>na</v>
      </c>
      <c r="V195" s="618" t="str">
        <f t="shared" si="32"/>
        <v>na</v>
      </c>
      <c r="W195" s="729">
        <f t="shared" si="32"/>
        <v>0</v>
      </c>
      <c r="X195" s="681" t="s">
        <v>1163</v>
      </c>
    </row>
    <row r="196" spans="8:24">
      <c r="H196" s="602" t="s">
        <v>940</v>
      </c>
      <c r="L196" s="556" t="s">
        <v>1140</v>
      </c>
      <c r="M196" s="556" t="str">
        <f t="shared" si="32"/>
        <v>All</v>
      </c>
      <c r="N196" s="556" t="str">
        <f t="shared" si="32"/>
        <v>kBtu/yr</v>
      </c>
      <c r="O196" s="618">
        <f t="shared" si="32"/>
        <v>6117.12</v>
      </c>
      <c r="P196" s="618">
        <f t="shared" si="32"/>
        <v>7639.7999999999993</v>
      </c>
      <c r="Q196" s="618">
        <f t="shared" si="32"/>
        <v>0</v>
      </c>
      <c r="R196" s="618" t="str">
        <f t="shared" si="32"/>
        <v>na</v>
      </c>
      <c r="S196" s="618" t="str">
        <f t="shared" si="32"/>
        <v>na</v>
      </c>
      <c r="T196" s="618" t="str">
        <f t="shared" si="32"/>
        <v>na</v>
      </c>
      <c r="U196" s="618" t="str">
        <f t="shared" si="32"/>
        <v>na</v>
      </c>
      <c r="V196" s="618" t="str">
        <f t="shared" si="32"/>
        <v>na</v>
      </c>
      <c r="W196" s="618">
        <f t="shared" si="32"/>
        <v>0</v>
      </c>
      <c r="X196" s="681" t="s">
        <v>1163</v>
      </c>
    </row>
    <row r="197" spans="8:24">
      <c r="H197" s="602" t="s">
        <v>940</v>
      </c>
      <c r="L197" s="556" t="s">
        <v>1141</v>
      </c>
      <c r="M197" s="556" t="str">
        <f t="shared" si="32"/>
        <v>All</v>
      </c>
      <c r="N197" s="556" t="str">
        <f t="shared" si="32"/>
        <v>gal/month</v>
      </c>
      <c r="O197" s="701" t="e">
        <f t="shared" si="32"/>
        <v>#N/A</v>
      </c>
      <c r="P197" s="701">
        <f t="shared" si="32"/>
        <v>0</v>
      </c>
      <c r="Q197" s="618" t="str">
        <f t="shared" si="32"/>
        <v>na</v>
      </c>
      <c r="R197" s="618" t="str">
        <f t="shared" si="32"/>
        <v>na</v>
      </c>
      <c r="S197" s="618" t="str">
        <f t="shared" si="32"/>
        <v>na</v>
      </c>
      <c r="T197" s="618" t="str">
        <f t="shared" si="32"/>
        <v>na</v>
      </c>
    </row>
    <row r="198" spans="8:24">
      <c r="H198" s="602" t="s">
        <v>940</v>
      </c>
      <c r="L198" s="556" t="s">
        <v>1143</v>
      </c>
      <c r="M198" s="556" t="str">
        <f t="shared" si="32"/>
        <v>All</v>
      </c>
      <c r="N198" s="556" t="str">
        <f t="shared" si="32"/>
        <v>gal/month</v>
      </c>
      <c r="O198" s="701">
        <f t="shared" si="32"/>
        <v>0</v>
      </c>
      <c r="P198" s="701">
        <f t="shared" si="32"/>
        <v>0</v>
      </c>
      <c r="Q198" s="618" t="str">
        <f t="shared" si="32"/>
        <v>na</v>
      </c>
      <c r="R198" s="618" t="str">
        <f t="shared" si="32"/>
        <v>na</v>
      </c>
      <c r="S198" s="618" t="str">
        <f t="shared" si="32"/>
        <v>na</v>
      </c>
      <c r="T198" s="618" t="str">
        <f t="shared" si="32"/>
        <v>na</v>
      </c>
    </row>
    <row r="199" spans="8:24">
      <c r="H199" s="602" t="s">
        <v>940</v>
      </c>
      <c r="L199" s="556" t="s">
        <v>1049</v>
      </c>
      <c r="M199" s="556" t="str">
        <f t="shared" si="32"/>
        <v>All</v>
      </c>
      <c r="N199" s="556" t="str">
        <f t="shared" si="32"/>
        <v>gal/month</v>
      </c>
      <c r="O199" s="701">
        <f t="shared" si="32"/>
        <v>0</v>
      </c>
      <c r="P199" s="701">
        <f t="shared" si="32"/>
        <v>0</v>
      </c>
      <c r="Q199" s="618" t="str">
        <f t="shared" si="32"/>
        <v>na</v>
      </c>
      <c r="R199" s="618" t="str">
        <f t="shared" si="32"/>
        <v>na</v>
      </c>
      <c r="S199" s="618" t="str">
        <f t="shared" si="32"/>
        <v>na</v>
      </c>
      <c r="T199" s="618" t="str">
        <f t="shared" si="32"/>
        <v>na</v>
      </c>
    </row>
    <row r="200" spans="8:24">
      <c r="H200" s="602" t="s">
        <v>940</v>
      </c>
      <c r="O200" s="618"/>
      <c r="P200" s="618"/>
      <c r="Q200" s="618"/>
      <c r="R200" s="618"/>
      <c r="S200" s="618"/>
      <c r="T200" s="618"/>
    </row>
    <row r="201" spans="8:24" ht="18">
      <c r="H201" s="602" t="s">
        <v>940</v>
      </c>
      <c r="L201" s="730" t="s">
        <v>1164</v>
      </c>
      <c r="M201" s="551"/>
      <c r="N201" s="551"/>
      <c r="O201" s="551"/>
      <c r="P201" s="551"/>
      <c r="Q201" s="551"/>
      <c r="R201" s="551"/>
      <c r="S201" s="551"/>
      <c r="T201" s="551"/>
      <c r="U201" s="551"/>
      <c r="V201" s="551"/>
    </row>
    <row r="202" spans="8:24">
      <c r="H202" s="602" t="s">
        <v>940</v>
      </c>
      <c r="O202" s="618"/>
      <c r="P202" s="618"/>
      <c r="Q202" s="618"/>
      <c r="R202" s="618"/>
      <c r="S202" s="618"/>
      <c r="T202" s="618"/>
    </row>
    <row r="203" spans="8:24">
      <c r="H203" s="602" t="s">
        <v>940</v>
      </c>
      <c r="L203" s="556" t="s">
        <v>1165</v>
      </c>
      <c r="M203" s="556" t="s">
        <v>1166</v>
      </c>
      <c r="N203" s="731">
        <f>INDEX(S82:S86,$N$182)</f>
        <v>1</v>
      </c>
      <c r="O203" s="618"/>
      <c r="Q203" s="618"/>
      <c r="R203" s="618"/>
      <c r="S203" s="618"/>
      <c r="T203" s="618"/>
      <c r="U203" s="618"/>
    </row>
    <row r="204" spans="8:24" ht="25.5">
      <c r="H204" s="602" t="s">
        <v>940</v>
      </c>
      <c r="N204" s="732"/>
      <c r="O204" s="618"/>
      <c r="P204" s="727" t="s">
        <v>1149</v>
      </c>
      <c r="Q204" s="727" t="s">
        <v>1150</v>
      </c>
      <c r="R204" s="727" t="s">
        <v>1151</v>
      </c>
      <c r="S204" s="727" t="s">
        <v>1152</v>
      </c>
      <c r="T204" s="727" t="s">
        <v>1153</v>
      </c>
      <c r="U204" s="727" t="s">
        <v>1154</v>
      </c>
    </row>
    <row r="205" spans="8:24">
      <c r="H205" s="602"/>
      <c r="L205" s="556" t="s">
        <v>1167</v>
      </c>
      <c r="N205" s="732"/>
      <c r="O205" s="733" t="s">
        <v>1168</v>
      </c>
      <c r="P205" s="684" t="e">
        <f>IF(hdd_annual&lt;=150, 0, P182)</f>
        <v>#N/A</v>
      </c>
      <c r="Q205" s="556">
        <f t="shared" ref="Q205:U205" si="33">Q182</f>
        <v>1</v>
      </c>
      <c r="R205" s="556">
        <f t="shared" si="33"/>
        <v>1</v>
      </c>
      <c r="S205" s="556">
        <f t="shared" si="33"/>
        <v>1</v>
      </c>
      <c r="T205" s="556">
        <f t="shared" si="33"/>
        <v>1</v>
      </c>
      <c r="U205" s="556">
        <f t="shared" si="33"/>
        <v>1</v>
      </c>
    </row>
    <row r="206" spans="8:24">
      <c r="H206" s="602"/>
      <c r="O206" s="618"/>
      <c r="P206" s="618"/>
      <c r="Q206" s="618"/>
      <c r="R206" s="618"/>
      <c r="S206" s="618"/>
      <c r="T206" s="618"/>
    </row>
    <row r="207" spans="8:24" ht="38.25">
      <c r="H207" s="602" t="s">
        <v>940</v>
      </c>
      <c r="L207" s="708" t="s">
        <v>1020</v>
      </c>
      <c r="M207" s="708" t="s">
        <v>1110</v>
      </c>
      <c r="N207" s="708" t="s">
        <v>359</v>
      </c>
      <c r="O207" s="709" t="s">
        <v>1111</v>
      </c>
      <c r="P207" s="709" t="s">
        <v>1092</v>
      </c>
      <c r="Q207" s="709" t="s">
        <v>1112</v>
      </c>
      <c r="R207" s="709" t="s">
        <v>1113</v>
      </c>
      <c r="S207" s="709" t="s">
        <v>1114</v>
      </c>
      <c r="T207" s="709" t="s">
        <v>1115</v>
      </c>
      <c r="U207" s="709" t="s">
        <v>1116</v>
      </c>
      <c r="V207" s="709" t="s">
        <v>1117</v>
      </c>
      <c r="W207" s="709" t="s">
        <v>1118</v>
      </c>
    </row>
    <row r="208" spans="8:24">
      <c r="H208" s="602" t="s">
        <v>940</v>
      </c>
      <c r="L208" s="556" t="s">
        <v>1119</v>
      </c>
      <c r="M208" s="556" t="str">
        <f t="shared" ref="M208:N221" si="34">M186</f>
        <v>SF Det</v>
      </c>
      <c r="N208" s="556" t="str">
        <f t="shared" si="34"/>
        <v>kBtu/yr</v>
      </c>
      <c r="O208" s="618" t="str">
        <f>IF(ISNUMBER(O186),O186*$N$203*$P$205,O186)</f>
        <v>na</v>
      </c>
      <c r="P208" s="729" t="e">
        <f>IF(ISNUMBER(P186),P186*$N$203*$P$205,P186)</f>
        <v>#N/A</v>
      </c>
      <c r="Q208" s="618" t="str">
        <f t="shared" ref="Q208:V208" si="35">IF(ISNUMBER(Q186),Q186*$N$203*$P$205,Q186)</f>
        <v>na</v>
      </c>
      <c r="R208" s="618" t="str">
        <f t="shared" si="35"/>
        <v>na</v>
      </c>
      <c r="S208" s="724" t="e">
        <f t="shared" si="35"/>
        <v>#N/A</v>
      </c>
      <c r="T208" s="724" t="e">
        <f t="shared" si="35"/>
        <v>#N/A</v>
      </c>
      <c r="U208" s="618" t="e">
        <f t="shared" si="35"/>
        <v>#N/A</v>
      </c>
      <c r="V208" s="618" t="e">
        <f t="shared" si="35"/>
        <v>#N/A</v>
      </c>
      <c r="X208" s="681" t="s">
        <v>1169</v>
      </c>
    </row>
    <row r="209" spans="8:24">
      <c r="H209" s="602" t="s">
        <v>940</v>
      </c>
      <c r="L209" s="556" t="s">
        <v>1127</v>
      </c>
      <c r="M209" s="556" t="str">
        <f t="shared" si="34"/>
        <v>SF Det</v>
      </c>
      <c r="N209" s="556" t="str">
        <f t="shared" si="34"/>
        <v>kBtu/yr</v>
      </c>
      <c r="O209" s="618" t="str">
        <f>IF(ISNUMBER(O187),O187*$N$203*$P$205,O187)</f>
        <v>na</v>
      </c>
      <c r="P209" s="729" t="e">
        <f t="shared" ref="P209:V211" si="36">IF(ISNUMBER(P187),P187*$N$203*$P$205,P187)</f>
        <v>#N/A</v>
      </c>
      <c r="Q209" s="618" t="str">
        <f t="shared" si="36"/>
        <v>na</v>
      </c>
      <c r="R209" s="618" t="str">
        <f t="shared" si="36"/>
        <v>na</v>
      </c>
      <c r="S209" s="724" t="e">
        <f t="shared" si="36"/>
        <v>#N/A</v>
      </c>
      <c r="T209" s="724" t="e">
        <f t="shared" si="36"/>
        <v>#N/A</v>
      </c>
      <c r="U209" s="618" t="e">
        <f t="shared" si="36"/>
        <v>#N/A</v>
      </c>
      <c r="V209" s="618" t="e">
        <f t="shared" si="36"/>
        <v>#N/A</v>
      </c>
      <c r="X209" s="681" t="s">
        <v>1163</v>
      </c>
    </row>
    <row r="210" spans="8:24">
      <c r="H210" s="602" t="s">
        <v>940</v>
      </c>
      <c r="L210" s="556" t="s">
        <v>1129</v>
      </c>
      <c r="M210" s="556" t="str">
        <f t="shared" si="34"/>
        <v>SF Det</v>
      </c>
      <c r="N210" s="556" t="str">
        <f t="shared" si="34"/>
        <v>kBtu/yr</v>
      </c>
      <c r="O210" s="618" t="str">
        <f>IF(ISNUMBER(O188),O188*$N$203*$P$205,O188)</f>
        <v>na</v>
      </c>
      <c r="P210" s="729" t="str">
        <f t="shared" si="36"/>
        <v>na</v>
      </c>
      <c r="Q210" s="618" t="str">
        <f t="shared" si="36"/>
        <v>na</v>
      </c>
      <c r="R210" s="618" t="str">
        <f t="shared" si="36"/>
        <v>na</v>
      </c>
      <c r="S210" s="724" t="str">
        <f t="shared" si="36"/>
        <v>na</v>
      </c>
      <c r="T210" s="724" t="str">
        <f t="shared" si="36"/>
        <v>na</v>
      </c>
      <c r="U210" s="618" t="e">
        <f t="shared" si="36"/>
        <v>#N/A</v>
      </c>
      <c r="V210" s="618" t="e">
        <f t="shared" si="36"/>
        <v>#N/A</v>
      </c>
      <c r="X210" s="681"/>
    </row>
    <row r="211" spans="8:24">
      <c r="H211" s="602" t="s">
        <v>940</v>
      </c>
      <c r="L211" s="556" t="s">
        <v>1132</v>
      </c>
      <c r="M211" s="556" t="str">
        <f t="shared" si="34"/>
        <v>SF Det</v>
      </c>
      <c r="N211" s="556" t="str">
        <f t="shared" si="34"/>
        <v>kBtu/yr</v>
      </c>
      <c r="O211" s="618" t="str">
        <f t="shared" ref="O211" si="37">IF(ISNUMBER(O189),O189*$N$203,O189)</f>
        <v>na</v>
      </c>
      <c r="P211" s="734" t="e">
        <f t="shared" si="36"/>
        <v>#N/A</v>
      </c>
      <c r="Q211" s="701" t="str">
        <f t="shared" si="36"/>
        <v>na</v>
      </c>
      <c r="R211" s="701" t="str">
        <f t="shared" si="36"/>
        <v>na</v>
      </c>
      <c r="S211" s="735" t="e">
        <f t="shared" si="36"/>
        <v>#N/A</v>
      </c>
      <c r="T211" s="735" t="e">
        <f t="shared" si="36"/>
        <v>#N/A</v>
      </c>
      <c r="U211" s="701" t="e">
        <f t="shared" si="36"/>
        <v>#N/A</v>
      </c>
      <c r="V211" s="701" t="e">
        <f t="shared" si="36"/>
        <v>#N/A</v>
      </c>
      <c r="X211" s="681" t="s">
        <v>1163</v>
      </c>
    </row>
    <row r="212" spans="8:24">
      <c r="H212" s="602" t="s">
        <v>940</v>
      </c>
      <c r="L212" s="556" t="s">
        <v>1134</v>
      </c>
      <c r="M212" s="556" t="str">
        <f t="shared" si="34"/>
        <v>All</v>
      </c>
      <c r="N212" s="556" t="str">
        <f t="shared" si="34"/>
        <v>kBtu/yr</v>
      </c>
      <c r="O212" s="618">
        <f t="shared" ref="O212:T213" si="38">IF(ISNUMBER(O190),O190*$N$203*$Q$205,O190)</f>
        <v>1760.9</v>
      </c>
      <c r="P212" s="618">
        <f t="shared" si="38"/>
        <v>2177.6999999999998</v>
      </c>
      <c r="Q212" s="618" t="str">
        <f t="shared" si="38"/>
        <v>na</v>
      </c>
      <c r="R212" s="618" t="str">
        <f t="shared" si="38"/>
        <v>na</v>
      </c>
      <c r="S212" s="618" t="str">
        <f t="shared" si="38"/>
        <v>na</v>
      </c>
      <c r="T212" s="618" t="str">
        <f t="shared" si="38"/>
        <v>na</v>
      </c>
      <c r="X212" s="681" t="s">
        <v>1163</v>
      </c>
    </row>
    <row r="213" spans="8:24">
      <c r="H213" s="602" t="s">
        <v>940</v>
      </c>
      <c r="L213" s="556" t="s">
        <v>1136</v>
      </c>
      <c r="M213" s="556" t="str">
        <f t="shared" si="34"/>
        <v>All</v>
      </c>
      <c r="N213" s="556" t="str">
        <f t="shared" si="34"/>
        <v>kBtu/yr</v>
      </c>
      <c r="O213" s="618">
        <f t="shared" si="38"/>
        <v>880.45</v>
      </c>
      <c r="P213" s="618">
        <f t="shared" si="38"/>
        <v>1088.8499999999999</v>
      </c>
      <c r="Q213" s="618">
        <f t="shared" si="38"/>
        <v>0</v>
      </c>
      <c r="R213" s="618" t="str">
        <f t="shared" si="38"/>
        <v>na</v>
      </c>
      <c r="S213" s="618" t="str">
        <f t="shared" si="38"/>
        <v>na</v>
      </c>
      <c r="T213" s="618" t="str">
        <f t="shared" si="38"/>
        <v>na</v>
      </c>
      <c r="X213" s="681" t="s">
        <v>1163</v>
      </c>
    </row>
    <row r="214" spans="8:24">
      <c r="H214" s="602" t="s">
        <v>940</v>
      </c>
      <c r="L214" s="556" t="s">
        <v>1035</v>
      </c>
      <c r="M214" s="556" t="str">
        <f t="shared" si="34"/>
        <v>SF Det</v>
      </c>
      <c r="N214" s="556" t="str">
        <f t="shared" si="34"/>
        <v>kBtu/yr</v>
      </c>
      <c r="O214" s="618">
        <f t="shared" ref="O214:T214" si="39">IF(ISNUMBER(O192),O192*$N$203*$R$205,O192)</f>
        <v>4278</v>
      </c>
      <c r="P214" s="618">
        <f t="shared" si="39"/>
        <v>6655</v>
      </c>
      <c r="Q214" s="618" t="str">
        <f t="shared" si="39"/>
        <v>na</v>
      </c>
      <c r="R214" s="618">
        <f t="shared" si="39"/>
        <v>0</v>
      </c>
      <c r="S214" s="618" t="str">
        <f t="shared" si="39"/>
        <v>na</v>
      </c>
      <c r="T214" s="618" t="str">
        <f t="shared" si="39"/>
        <v>na</v>
      </c>
      <c r="X214" s="681" t="s">
        <v>1163</v>
      </c>
    </row>
    <row r="215" spans="8:24">
      <c r="H215" s="602" t="s">
        <v>940</v>
      </c>
      <c r="L215" s="556" t="s">
        <v>1037</v>
      </c>
      <c r="M215" s="556" t="str">
        <f t="shared" si="34"/>
        <v>SF Det</v>
      </c>
      <c r="N215" s="556" t="str">
        <f t="shared" si="34"/>
        <v>kBtu/yr</v>
      </c>
      <c r="O215" s="618" t="str">
        <f t="shared" ref="O215:T215" si="40">IF(ISNUMBER(O193),O193*$N$203*$S$205,O193)</f>
        <v>na</v>
      </c>
      <c r="P215" s="618">
        <f t="shared" si="40"/>
        <v>42.076999999999998</v>
      </c>
      <c r="Q215" s="618" t="str">
        <f t="shared" si="40"/>
        <v>na</v>
      </c>
      <c r="R215" s="618" t="str">
        <f t="shared" si="40"/>
        <v>na</v>
      </c>
      <c r="S215" s="618">
        <f t="shared" si="40"/>
        <v>-0.371</v>
      </c>
      <c r="T215" s="618">
        <f t="shared" si="40"/>
        <v>1.8540000000000001</v>
      </c>
      <c r="X215" s="681" t="s">
        <v>1163</v>
      </c>
    </row>
    <row r="216" spans="8:24">
      <c r="H216" s="602" t="s">
        <v>940</v>
      </c>
      <c r="L216" s="556" t="s">
        <v>1137</v>
      </c>
      <c r="M216" s="556" t="str">
        <f t="shared" si="34"/>
        <v>All</v>
      </c>
      <c r="N216" s="556" t="str">
        <f t="shared" si="34"/>
        <v>kBtu/yr</v>
      </c>
      <c r="O216" s="618">
        <f>IF(ISNUMBER(O194),O194*$N$203*$T$205,O194)</f>
        <v>5097.6000000000004</v>
      </c>
      <c r="P216" s="618">
        <f t="shared" ref="P216:W216" si="41">IF(ISNUMBER(P194),P194*$N$203*$T$205,P194)</f>
        <v>6366.5</v>
      </c>
      <c r="Q216" s="618" t="str">
        <f t="shared" si="41"/>
        <v>na</v>
      </c>
      <c r="R216" s="618" t="str">
        <f t="shared" si="41"/>
        <v>na</v>
      </c>
      <c r="S216" s="618" t="str">
        <f t="shared" si="41"/>
        <v>na</v>
      </c>
      <c r="T216" s="618" t="str">
        <f t="shared" si="41"/>
        <v>na</v>
      </c>
      <c r="U216" s="618" t="str">
        <f t="shared" si="41"/>
        <v>na</v>
      </c>
      <c r="V216" s="618" t="str">
        <f t="shared" si="41"/>
        <v>na</v>
      </c>
      <c r="W216" s="618">
        <f t="shared" si="41"/>
        <v>0</v>
      </c>
      <c r="X216" s="681" t="s">
        <v>1163</v>
      </c>
    </row>
    <row r="217" spans="8:24">
      <c r="H217" s="602" t="s">
        <v>940</v>
      </c>
      <c r="L217" s="556" t="s">
        <v>1139</v>
      </c>
      <c r="M217" s="556" t="str">
        <f t="shared" si="34"/>
        <v>All</v>
      </c>
      <c r="N217" s="556" t="str">
        <f t="shared" si="34"/>
        <v>kBtu/yr</v>
      </c>
      <c r="O217" s="618">
        <f t="shared" ref="O217:W218" si="42">IF(ISNUMBER(O195),O195*$N$203*$T$205,O195)</f>
        <v>1691.2</v>
      </c>
      <c r="P217" s="618">
        <f t="shared" si="42"/>
        <v>4430.6000000000004</v>
      </c>
      <c r="Q217" s="618">
        <f t="shared" si="42"/>
        <v>0</v>
      </c>
      <c r="R217" s="618" t="str">
        <f t="shared" si="42"/>
        <v>na</v>
      </c>
      <c r="S217" s="618" t="str">
        <f t="shared" si="42"/>
        <v>na</v>
      </c>
      <c r="T217" s="618" t="str">
        <f t="shared" si="42"/>
        <v>na</v>
      </c>
      <c r="U217" s="618" t="str">
        <f t="shared" si="42"/>
        <v>na</v>
      </c>
      <c r="V217" s="618" t="str">
        <f t="shared" si="42"/>
        <v>na</v>
      </c>
      <c r="W217" s="729">
        <f t="shared" si="42"/>
        <v>0</v>
      </c>
      <c r="X217" s="681" t="s">
        <v>1163</v>
      </c>
    </row>
    <row r="218" spans="8:24">
      <c r="H218" s="602" t="s">
        <v>940</v>
      </c>
      <c r="L218" s="556" t="s">
        <v>1140</v>
      </c>
      <c r="M218" s="556" t="str">
        <f t="shared" si="34"/>
        <v>All</v>
      </c>
      <c r="N218" s="556" t="str">
        <f t="shared" si="34"/>
        <v>kBtu/yr</v>
      </c>
      <c r="O218" s="618">
        <f t="shared" si="42"/>
        <v>6117.12</v>
      </c>
      <c r="P218" s="618">
        <f t="shared" si="42"/>
        <v>7639.7999999999993</v>
      </c>
      <c r="Q218" s="618">
        <f t="shared" si="42"/>
        <v>0</v>
      </c>
      <c r="R218" s="618" t="str">
        <f t="shared" si="42"/>
        <v>na</v>
      </c>
      <c r="S218" s="618" t="str">
        <f t="shared" si="42"/>
        <v>na</v>
      </c>
      <c r="T218" s="618" t="str">
        <f t="shared" si="42"/>
        <v>na</v>
      </c>
      <c r="U218" s="618" t="str">
        <f t="shared" si="42"/>
        <v>na</v>
      </c>
      <c r="V218" s="618" t="str">
        <f t="shared" si="42"/>
        <v>na</v>
      </c>
      <c r="W218" s="618">
        <f t="shared" si="42"/>
        <v>0</v>
      </c>
      <c r="X218" s="681" t="s">
        <v>1163</v>
      </c>
    </row>
    <row r="219" spans="8:24">
      <c r="H219" s="602" t="s">
        <v>940</v>
      </c>
      <c r="L219" s="556" t="s">
        <v>1141</v>
      </c>
      <c r="M219" s="556" t="str">
        <f t="shared" si="34"/>
        <v>All</v>
      </c>
      <c r="N219" s="556" t="str">
        <f t="shared" si="34"/>
        <v>gal/month</v>
      </c>
      <c r="O219" s="618" t="e">
        <f t="shared" ref="O219:T221" si="43">IF(ISNUMBER(O197),O197*$U$205,O197)</f>
        <v>#N/A</v>
      </c>
      <c r="P219" s="618">
        <f t="shared" si="43"/>
        <v>0</v>
      </c>
      <c r="Q219" s="618" t="str">
        <f t="shared" si="43"/>
        <v>na</v>
      </c>
      <c r="R219" s="618" t="str">
        <f t="shared" si="43"/>
        <v>na</v>
      </c>
      <c r="S219" s="618" t="str">
        <f t="shared" si="43"/>
        <v>na</v>
      </c>
      <c r="T219" s="618" t="str">
        <f t="shared" si="43"/>
        <v>na</v>
      </c>
      <c r="X219" s="681"/>
    </row>
    <row r="220" spans="8:24">
      <c r="H220" s="602" t="s">
        <v>940</v>
      </c>
      <c r="L220" s="556" t="s">
        <v>1143</v>
      </c>
      <c r="M220" s="556" t="str">
        <f t="shared" si="34"/>
        <v>All</v>
      </c>
      <c r="N220" s="556" t="str">
        <f t="shared" si="34"/>
        <v>gal/month</v>
      </c>
      <c r="O220" s="618">
        <f t="shared" si="43"/>
        <v>0</v>
      </c>
      <c r="P220" s="618">
        <f t="shared" si="43"/>
        <v>0</v>
      </c>
      <c r="Q220" s="618" t="str">
        <f t="shared" si="43"/>
        <v>na</v>
      </c>
      <c r="R220" s="618" t="str">
        <f t="shared" si="43"/>
        <v>na</v>
      </c>
      <c r="S220" s="618" t="str">
        <f t="shared" si="43"/>
        <v>na</v>
      </c>
      <c r="T220" s="618" t="str">
        <f t="shared" si="43"/>
        <v>na</v>
      </c>
      <c r="X220" s="681"/>
    </row>
    <row r="221" spans="8:24">
      <c r="H221" s="602" t="s">
        <v>940</v>
      </c>
      <c r="L221" s="556" t="s">
        <v>1049</v>
      </c>
      <c r="M221" s="556" t="str">
        <f t="shared" si="34"/>
        <v>All</v>
      </c>
      <c r="N221" s="556" t="str">
        <f t="shared" si="34"/>
        <v>gal/month</v>
      </c>
      <c r="O221" s="618">
        <f t="shared" si="43"/>
        <v>0</v>
      </c>
      <c r="P221" s="618">
        <f t="shared" si="43"/>
        <v>0</v>
      </c>
      <c r="Q221" s="618" t="str">
        <f t="shared" si="43"/>
        <v>na</v>
      </c>
      <c r="R221" s="618" t="str">
        <f t="shared" si="43"/>
        <v>na</v>
      </c>
      <c r="S221" s="618" t="str">
        <f t="shared" si="43"/>
        <v>na</v>
      </c>
      <c r="T221" s="618" t="str">
        <f t="shared" si="43"/>
        <v>na</v>
      </c>
      <c r="X221" s="681"/>
    </row>
    <row r="222" spans="8:24">
      <c r="H222" s="602" t="s">
        <v>940</v>
      </c>
    </row>
    <row r="223" spans="8:24" ht="18">
      <c r="H223" s="602" t="s">
        <v>940</v>
      </c>
      <c r="L223" s="652" t="s">
        <v>1170</v>
      </c>
      <c r="M223" s="551"/>
      <c r="N223" s="551"/>
      <c r="O223" s="551"/>
      <c r="P223" s="551"/>
      <c r="Q223" s="551"/>
      <c r="R223" s="551"/>
      <c r="S223" s="551"/>
      <c r="T223" s="551"/>
      <c r="U223" s="551"/>
      <c r="V223" s="551"/>
    </row>
    <row r="224" spans="8:24">
      <c r="H224" s="602" t="s">
        <v>940</v>
      </c>
    </row>
    <row r="225" spans="8:18">
      <c r="H225" s="602" t="s">
        <v>940</v>
      </c>
      <c r="L225" s="609" t="s">
        <v>1171</v>
      </c>
    </row>
    <row r="226" spans="8:18">
      <c r="H226" s="602" t="s">
        <v>940</v>
      </c>
      <c r="L226" s="556" t="s">
        <v>1172</v>
      </c>
      <c r="M226" s="556" t="s">
        <v>1173</v>
      </c>
      <c r="N226" s="615" t="e">
        <f>N459</f>
        <v>#N/A</v>
      </c>
      <c r="Q226" s="556" t="s">
        <v>1174</v>
      </c>
    </row>
    <row r="227" spans="8:18">
      <c r="H227" s="602" t="s">
        <v>940</v>
      </c>
      <c r="L227" s="556" t="s">
        <v>1175</v>
      </c>
      <c r="M227" s="556" t="s">
        <v>1176</v>
      </c>
      <c r="N227" s="615" t="e">
        <f>N460</f>
        <v>#N/A</v>
      </c>
    </row>
    <row r="228" spans="8:18">
      <c r="H228" s="602"/>
      <c r="L228" s="684" t="s">
        <v>1093</v>
      </c>
      <c r="M228" s="684"/>
      <c r="N228" s="736" t="e">
        <f>monthly_min_temp</f>
        <v>#N/A</v>
      </c>
      <c r="O228" s="684"/>
      <c r="P228" s="684"/>
      <c r="Q228" s="684" t="s">
        <v>1177</v>
      </c>
    </row>
    <row r="229" spans="8:18">
      <c r="H229" s="602" t="s">
        <v>940</v>
      </c>
      <c r="N229" s="615"/>
    </row>
    <row r="230" spans="8:18">
      <c r="H230" s="602" t="s">
        <v>940</v>
      </c>
      <c r="L230" s="609" t="s">
        <v>1178</v>
      </c>
    </row>
    <row r="231" spans="8:18">
      <c r="H231" s="602" t="s">
        <v>940</v>
      </c>
      <c r="L231" s="556" t="s">
        <v>1179</v>
      </c>
      <c r="M231" s="615" t="s">
        <v>1180</v>
      </c>
      <c r="N231" s="737">
        <v>-3.1610000000000002E-3</v>
      </c>
      <c r="Q231" s="556" t="s">
        <v>1181</v>
      </c>
      <c r="R231" s="556" t="s">
        <v>1182</v>
      </c>
    </row>
    <row r="232" spans="8:18">
      <c r="H232" s="602" t="s">
        <v>940</v>
      </c>
      <c r="L232" s="556" t="s">
        <v>1179</v>
      </c>
      <c r="M232" s="556" t="s">
        <v>1092</v>
      </c>
      <c r="N232" s="710">
        <v>74.326114000000004</v>
      </c>
    </row>
    <row r="233" spans="8:18">
      <c r="H233" s="602" t="s">
        <v>940</v>
      </c>
      <c r="L233" s="556" t="s">
        <v>1183</v>
      </c>
      <c r="M233" s="556" t="s">
        <v>1184</v>
      </c>
      <c r="N233" s="615" t="e">
        <f>N226*N231+N232</f>
        <v>#N/A</v>
      </c>
    </row>
    <row r="234" spans="8:18">
      <c r="H234" s="602" t="s">
        <v>940</v>
      </c>
      <c r="L234" s="556" t="s">
        <v>1185</v>
      </c>
      <c r="M234" s="556" t="s">
        <v>1184</v>
      </c>
      <c r="N234" s="615">
        <v>120</v>
      </c>
    </row>
    <row r="235" spans="8:18">
      <c r="H235" s="602" t="s">
        <v>940</v>
      </c>
      <c r="L235" s="556" t="s">
        <v>1186</v>
      </c>
      <c r="M235" s="556" t="s">
        <v>1184</v>
      </c>
      <c r="N235" s="615" t="e">
        <f>N234-N233</f>
        <v>#N/A</v>
      </c>
    </row>
    <row r="236" spans="8:18">
      <c r="H236" s="602" t="s">
        <v>940</v>
      </c>
      <c r="L236" s="556" t="s">
        <v>1187</v>
      </c>
      <c r="M236" s="556" t="s">
        <v>1184</v>
      </c>
      <c r="N236" s="615">
        <v>60</v>
      </c>
    </row>
    <row r="237" spans="8:18">
      <c r="H237" s="602" t="s">
        <v>940</v>
      </c>
      <c r="L237" s="556" t="s">
        <v>1188</v>
      </c>
      <c r="M237" s="556" t="s">
        <v>1166</v>
      </c>
      <c r="N237" s="738">
        <v>0.01</v>
      </c>
      <c r="Q237" s="556" t="s">
        <v>1189</v>
      </c>
    </row>
    <row r="238" spans="8:18">
      <c r="H238" s="602" t="s">
        <v>940</v>
      </c>
      <c r="L238" s="556" t="s">
        <v>1190</v>
      </c>
      <c r="M238" s="556" t="s">
        <v>1166</v>
      </c>
      <c r="N238" s="739" t="e">
        <f>(N235-N236)*N237+1</f>
        <v>#N/A</v>
      </c>
    </row>
    <row r="239" spans="8:18">
      <c r="H239" s="602" t="s">
        <v>940</v>
      </c>
      <c r="N239" s="739"/>
    </row>
    <row r="240" spans="8:18">
      <c r="H240" s="602" t="s">
        <v>940</v>
      </c>
      <c r="L240" s="609" t="s">
        <v>1191</v>
      </c>
      <c r="N240" s="739"/>
    </row>
    <row r="241" spans="8:35">
      <c r="H241" s="602" t="s">
        <v>940</v>
      </c>
      <c r="L241" s="556" t="s">
        <v>1192</v>
      </c>
      <c r="M241" s="556" t="s">
        <v>1166</v>
      </c>
      <c r="N241" s="740">
        <v>0.85</v>
      </c>
    </row>
    <row r="242" spans="8:35">
      <c r="H242" s="602" t="s">
        <v>940</v>
      </c>
    </row>
    <row r="243" spans="8:35">
      <c r="H243" s="602" t="s">
        <v>940</v>
      </c>
      <c r="L243" s="609" t="s">
        <v>1020</v>
      </c>
      <c r="M243" s="609" t="s">
        <v>359</v>
      </c>
      <c r="N243" s="704" t="s">
        <v>929</v>
      </c>
      <c r="O243" s="704" t="s">
        <v>1193</v>
      </c>
      <c r="P243" s="704" t="s">
        <v>1194</v>
      </c>
      <c r="Q243" s="704" t="s">
        <v>1195</v>
      </c>
      <c r="R243" s="704" t="s">
        <v>1196</v>
      </c>
      <c r="S243" s="704" t="s">
        <v>1197</v>
      </c>
      <c r="T243" s="706" t="s">
        <v>1198</v>
      </c>
    </row>
    <row r="244" spans="8:35">
      <c r="H244" s="602" t="s">
        <v>940</v>
      </c>
      <c r="L244" s="556" t="s">
        <v>402</v>
      </c>
      <c r="M244" s="556" t="s">
        <v>276</v>
      </c>
      <c r="N244" s="618">
        <v>0</v>
      </c>
      <c r="O244" s="618">
        <v>1</v>
      </c>
      <c r="P244" s="618">
        <v>2</v>
      </c>
      <c r="Q244" s="618">
        <v>3</v>
      </c>
      <c r="R244" s="618">
        <v>4</v>
      </c>
      <c r="S244" s="618">
        <v>5</v>
      </c>
      <c r="AI244" s="556" t="str">
        <f t="shared" ref="AI244:AI252" si="44">" "</f>
        <v xml:space="preserve"> </v>
      </c>
    </row>
    <row r="245" spans="8:35">
      <c r="H245" s="602" t="s">
        <v>940</v>
      </c>
      <c r="L245" s="556" t="s">
        <v>1119</v>
      </c>
      <c r="M245" s="556" t="s">
        <v>1121</v>
      </c>
      <c r="N245" s="615" t="e">
        <f>O245*$N$241</f>
        <v>#N/A</v>
      </c>
      <c r="O245" s="615" t="e">
        <f t="shared" ref="O245:S248" si="45">MAX(0,$P208+$N$226*$S208+$N$226*$T208*O$244+$N$226*$N$226*$U208+$N$226*$N$226*O$244*$V208)</f>
        <v>#N/A</v>
      </c>
      <c r="P245" s="615" t="e">
        <f t="shared" si="45"/>
        <v>#N/A</v>
      </c>
      <c r="Q245" s="615" t="e">
        <f t="shared" si="45"/>
        <v>#N/A</v>
      </c>
      <c r="R245" s="615" t="e">
        <f t="shared" si="45"/>
        <v>#N/A</v>
      </c>
      <c r="S245" s="615" t="e">
        <f t="shared" si="45"/>
        <v>#N/A</v>
      </c>
      <c r="T245" s="681" t="s">
        <v>1162</v>
      </c>
      <c r="AI245" s="556" t="str">
        <f t="shared" si="44"/>
        <v xml:space="preserve"> </v>
      </c>
    </row>
    <row r="246" spans="8:35">
      <c r="H246" s="602" t="s">
        <v>940</v>
      </c>
      <c r="L246" s="556" t="s">
        <v>1127</v>
      </c>
      <c r="M246" s="556" t="s">
        <v>1121</v>
      </c>
      <c r="N246" s="615" t="e">
        <f t="shared" ref="N246:N254" si="46">O246*$N$241</f>
        <v>#N/A</v>
      </c>
      <c r="O246" s="615" t="e">
        <f t="shared" si="45"/>
        <v>#N/A</v>
      </c>
      <c r="P246" s="615" t="e">
        <f t="shared" si="45"/>
        <v>#N/A</v>
      </c>
      <c r="Q246" s="615" t="e">
        <f t="shared" si="45"/>
        <v>#N/A</v>
      </c>
      <c r="R246" s="615" t="e">
        <f t="shared" si="45"/>
        <v>#N/A</v>
      </c>
      <c r="S246" s="615" t="e">
        <f t="shared" si="45"/>
        <v>#N/A</v>
      </c>
      <c r="AI246" s="556" t="str">
        <f t="shared" si="44"/>
        <v xml:space="preserve"> </v>
      </c>
    </row>
    <row r="247" spans="8:35">
      <c r="H247" s="602" t="s">
        <v>940</v>
      </c>
      <c r="L247" s="556" t="s">
        <v>1129</v>
      </c>
      <c r="M247" s="556" t="s">
        <v>1121</v>
      </c>
      <c r="N247" s="736" t="e">
        <f>O247*$N$241</f>
        <v>#N/A</v>
      </c>
      <c r="O247" s="736" t="e">
        <f>$T$110*$P$120*T117*VLOOKUP(structure,heatpump_structure,2,FALSE)*$N$203*$P$205</f>
        <v>#N/A</v>
      </c>
      <c r="P247" s="736" t="e">
        <f>$T$110*$P$120*T118*VLOOKUP(structure,heatpump_structure,2,FALSE)*$N$203*$P$205</f>
        <v>#N/A</v>
      </c>
      <c r="Q247" s="736" t="e">
        <f>$T$110*$P$120*T119*VLOOKUP(structure,heatpump_structure,2,FALSE)*$N$203*$P$205</f>
        <v>#N/A</v>
      </c>
      <c r="R247" s="736" t="e">
        <f>$T$110*$P$120*T120*VLOOKUP(structure,heatpump_structure,2,FALSE)*$N$203*$P$205</f>
        <v>#N/A</v>
      </c>
      <c r="S247" s="736" t="e">
        <f>$T$110*$P$120*T121*VLOOKUP(structure,heatpump_structure,2,FALSE)*$N$203*$P$205</f>
        <v>#N/A</v>
      </c>
      <c r="T247" s="681" t="s">
        <v>1199</v>
      </c>
    </row>
    <row r="248" spans="8:35">
      <c r="H248" s="602" t="s">
        <v>940</v>
      </c>
      <c r="L248" s="556" t="s">
        <v>1132</v>
      </c>
      <c r="M248" s="556" t="s">
        <v>1121</v>
      </c>
      <c r="N248" s="615" t="e">
        <f t="shared" si="46"/>
        <v>#N/A</v>
      </c>
      <c r="O248" s="615" t="e">
        <f t="shared" si="45"/>
        <v>#N/A</v>
      </c>
      <c r="P248" s="615" t="e">
        <f t="shared" si="45"/>
        <v>#N/A</v>
      </c>
      <c r="Q248" s="615" t="e">
        <f t="shared" si="45"/>
        <v>#N/A</v>
      </c>
      <c r="R248" s="615" t="e">
        <f t="shared" si="45"/>
        <v>#N/A</v>
      </c>
      <c r="S248" s="615" t="e">
        <f t="shared" si="45"/>
        <v>#N/A</v>
      </c>
      <c r="AI248" s="556" t="str">
        <f t="shared" si="44"/>
        <v xml:space="preserve"> </v>
      </c>
    </row>
    <row r="249" spans="8:35">
      <c r="H249" s="602" t="s">
        <v>940</v>
      </c>
      <c r="L249" s="556" t="s">
        <v>1134</v>
      </c>
      <c r="M249" s="556" t="s">
        <v>1121</v>
      </c>
      <c r="N249" s="615">
        <f t="shared" si="46"/>
        <v>3347.81</v>
      </c>
      <c r="O249" s="615">
        <f>$P$212+$O$212*O244</f>
        <v>3938.6</v>
      </c>
      <c r="P249" s="615">
        <f>$P$212+$O$212*P244</f>
        <v>5699.5</v>
      </c>
      <c r="Q249" s="615">
        <f>$P$212+$O$212*Q244</f>
        <v>7460.4000000000005</v>
      </c>
      <c r="R249" s="615">
        <f>$P$212+$O$212*R244</f>
        <v>9221.2999999999993</v>
      </c>
      <c r="S249" s="615">
        <f>$P$212+$O$212*S244</f>
        <v>10982.2</v>
      </c>
      <c r="AI249" s="556" t="str">
        <f t="shared" si="44"/>
        <v xml:space="preserve"> </v>
      </c>
    </row>
    <row r="250" spans="8:35">
      <c r="H250" s="602" t="s">
        <v>940</v>
      </c>
      <c r="L250" s="556" t="s">
        <v>1136</v>
      </c>
      <c r="M250" s="556" t="s">
        <v>1121</v>
      </c>
      <c r="N250" s="615">
        <f t="shared" si="46"/>
        <v>1673.905</v>
      </c>
      <c r="O250" s="615">
        <f>$P$213+$O$213*O244</f>
        <v>1969.3</v>
      </c>
      <c r="P250" s="615">
        <f>$P$213+$O$213*P244</f>
        <v>2849.75</v>
      </c>
      <c r="Q250" s="615">
        <f>$P$213+$O$213*Q244</f>
        <v>3730.2000000000003</v>
      </c>
      <c r="R250" s="615">
        <f>$P$213+$O$213*R244</f>
        <v>4610.6499999999996</v>
      </c>
      <c r="S250" s="615">
        <f>$P$213+$O$213*S244</f>
        <v>5491.1</v>
      </c>
      <c r="AI250" s="556" t="str">
        <f t="shared" si="44"/>
        <v xml:space="preserve"> </v>
      </c>
    </row>
    <row r="251" spans="8:35">
      <c r="H251" s="602" t="s">
        <v>940</v>
      </c>
      <c r="L251" s="556" t="s">
        <v>1035</v>
      </c>
      <c r="M251" s="556" t="s">
        <v>1121</v>
      </c>
      <c r="N251" s="615">
        <f t="shared" si="46"/>
        <v>9293.0499999999993</v>
      </c>
      <c r="O251" s="615">
        <f>$P$214+$O$214*O244+IF(O244&gt;=3,$R$214,0)</f>
        <v>10933</v>
      </c>
      <c r="P251" s="615">
        <f>$P$214+$O$214*P244+IF(P244&gt;=3,$R$214,0)</f>
        <v>15211</v>
      </c>
      <c r="Q251" s="615">
        <f>$P$214+$O$214*Q244+IF(Q244&gt;=3,$R$214,0)</f>
        <v>19489</v>
      </c>
      <c r="R251" s="615">
        <f>$P$214+$O$214*R244+IF(R244&gt;=3,$R$214,0)</f>
        <v>23767</v>
      </c>
      <c r="S251" s="615">
        <f>$P$214+$O$214*S244+IF(S244&gt;=3,$R$214,0)</f>
        <v>28045</v>
      </c>
      <c r="AI251" s="556" t="str">
        <f t="shared" si="44"/>
        <v xml:space="preserve"> </v>
      </c>
    </row>
    <row r="252" spans="8:35">
      <c r="H252" s="602" t="s">
        <v>940</v>
      </c>
      <c r="L252" s="556" t="s">
        <v>1037</v>
      </c>
      <c r="M252" s="556" t="s">
        <v>1121</v>
      </c>
      <c r="N252" s="615" t="e">
        <f t="shared" si="46"/>
        <v>#N/A</v>
      </c>
      <c r="O252" s="615" t="e">
        <f>MAX(0,$N$227*$S$215+$N$227*$T$215*O244)</f>
        <v>#N/A</v>
      </c>
      <c r="P252" s="615" t="e">
        <f>MAX(0,$N$227*$S$215+$N$227*$T$215*P244)</f>
        <v>#N/A</v>
      </c>
      <c r="Q252" s="615" t="e">
        <f>MAX(0,$N$227*$S$215+$N$227*$T$215*Q244)</f>
        <v>#N/A</v>
      </c>
      <c r="R252" s="615" t="e">
        <f>MAX(0,$N$227*$S$215+$N$227*$T$215*R244)</f>
        <v>#N/A</v>
      </c>
      <c r="S252" s="615" t="e">
        <f>MAX(0,$N$227*$S$215+$N$227*$T$215*S244)</f>
        <v>#N/A</v>
      </c>
      <c r="T252" s="681" t="s">
        <v>1200</v>
      </c>
      <c r="AI252" s="556" t="str">
        <f t="shared" si="44"/>
        <v xml:space="preserve"> </v>
      </c>
    </row>
    <row r="253" spans="8:35">
      <c r="H253" s="602" t="s">
        <v>940</v>
      </c>
      <c r="L253" s="556" t="s">
        <v>1137</v>
      </c>
      <c r="M253" s="556" t="s">
        <v>1121</v>
      </c>
      <c r="N253" s="615" t="e">
        <f t="shared" si="46"/>
        <v>#N/A</v>
      </c>
      <c r="O253" s="615" t="e">
        <f>($P$216+$O$216*O244+$W216*O244*O244)*$N$238</f>
        <v>#N/A</v>
      </c>
      <c r="P253" s="615" t="e">
        <f>($P$216+$O$216*P244+$W216*P244*P244)*$N$238</f>
        <v>#N/A</v>
      </c>
      <c r="Q253" s="615" t="e">
        <f>($P$216+$O$216*Q244+$W216*Q244*Q244)*$N$238</f>
        <v>#N/A</v>
      </c>
      <c r="R253" s="615" t="e">
        <f>($P$216+$O$216*R244+$W216*R244*R244)*$N$238</f>
        <v>#N/A</v>
      </c>
      <c r="S253" s="615" t="e">
        <f>($P$216+$O$216*S244+$W216*S244*S244)*$N$238</f>
        <v>#N/A</v>
      </c>
    </row>
    <row r="254" spans="8:35">
      <c r="H254" s="602" t="s">
        <v>940</v>
      </c>
      <c r="L254" s="556" t="s">
        <v>1139</v>
      </c>
      <c r="M254" s="556" t="s">
        <v>1121</v>
      </c>
      <c r="N254" s="615" t="e">
        <f t="shared" si="46"/>
        <v>#N/A</v>
      </c>
      <c r="O254" s="615" t="e">
        <f>($P$217+$O$217*O244+$W$217*O244*O244)*$N$238</f>
        <v>#N/A</v>
      </c>
      <c r="P254" s="615" t="e">
        <f>($P$217+$O$217*P244+$W$217*P244*P244)*$N$238</f>
        <v>#N/A</v>
      </c>
      <c r="Q254" s="615" t="e">
        <f>($P$217+$O$217*Q244+$W$217*Q244*Q244)*$N$238</f>
        <v>#N/A</v>
      </c>
      <c r="R254" s="615" t="e">
        <f>($P$217+$O$217*R244+$W$217*R244*R244)*$N$238</f>
        <v>#N/A</v>
      </c>
      <c r="S254" s="615" t="e">
        <f>($P$217+$O$217*S244+$W$217*S244*S244)*$N$238</f>
        <v>#N/A</v>
      </c>
    </row>
    <row r="255" spans="8:35">
      <c r="H255" s="602" t="s">
        <v>940</v>
      </c>
      <c r="L255" s="556" t="s">
        <v>1140</v>
      </c>
      <c r="M255" s="556" t="s">
        <v>1121</v>
      </c>
      <c r="N255" s="615" t="e">
        <f>O255*$N$241</f>
        <v>#N/A</v>
      </c>
      <c r="O255" s="615" t="e">
        <f>($P$218+$O$218*O244+$W$218*O244*O244)*$N$238</f>
        <v>#N/A</v>
      </c>
      <c r="P255" s="615" t="e">
        <f>($P$218+$O$218*P244+$W$218*P244*P244)*$N$238</f>
        <v>#N/A</v>
      </c>
      <c r="Q255" s="615" t="e">
        <f>($P$218+$O$218*Q244+$W$218*Q244*Q244)*$N$238</f>
        <v>#N/A</v>
      </c>
      <c r="R255" s="615" t="e">
        <f>($P$218+$O$218*R244+$W$218*R244*R244)*$N$238</f>
        <v>#N/A</v>
      </c>
      <c r="S255" s="615" t="e">
        <f>($P$218+$O$218*S244+$W$218*S244*S244)*$N$238</f>
        <v>#N/A</v>
      </c>
    </row>
    <row r="256" spans="8:35">
      <c r="H256" s="602" t="s">
        <v>940</v>
      </c>
      <c r="L256" s="556" t="s">
        <v>1047</v>
      </c>
      <c r="M256" s="556" t="s">
        <v>1142</v>
      </c>
      <c r="N256" s="615" t="e">
        <f>O256*0.9</f>
        <v>#N/A</v>
      </c>
      <c r="O256" s="736" t="e">
        <f>($P$219+$O$219*VLOOKUP(O244,bedroom_conv,2,FALSE)+($P$220+$O$220*VLOOKUP(O244,bedroom_conv,2,FALSE)))</f>
        <v>#N/A</v>
      </c>
      <c r="P256" s="736" t="e">
        <f>($P$219+$O$219*VLOOKUP(P244,bedroom_conv,2,FALSE))+($P$220+$O$220*VLOOKUP(P244,bedroom_conv,2,FALSE))</f>
        <v>#N/A</v>
      </c>
      <c r="Q256" s="736" t="e">
        <f>($P$219+$O$219*VLOOKUP(Q244,bedroom_conv,2,FALSE))+($P$220+$O$220*VLOOKUP(Q244,bedroom_conv,2,FALSE))</f>
        <v>#N/A</v>
      </c>
      <c r="R256" s="736" t="e">
        <f>($P$219+$O$219*VLOOKUP(R244,bedroom_conv,2,FALSE))+($P$220+$O$220*VLOOKUP(R244,bedroom_conv,2,FALSE))</f>
        <v>#N/A</v>
      </c>
      <c r="S256" s="736" t="e">
        <f>($P$219+$O$219*VLOOKUP(S244,bedroom_conv,2,FALSE))+($P$220+$O$220*VLOOKUP(S244,bedroom_conv,2,FALSE))</f>
        <v>#N/A</v>
      </c>
    </row>
    <row r="257" spans="8:20">
      <c r="H257" s="602" t="s">
        <v>940</v>
      </c>
      <c r="L257" s="556" t="s">
        <v>1049</v>
      </c>
      <c r="M257" s="556" t="s">
        <v>1142</v>
      </c>
      <c r="N257" s="615" t="e">
        <f>O257*0.9</f>
        <v>#N/A</v>
      </c>
      <c r="O257" s="615" t="e">
        <f>O256</f>
        <v>#N/A</v>
      </c>
      <c r="P257" s="615" t="e">
        <f>P256</f>
        <v>#N/A</v>
      </c>
      <c r="Q257" s="615" t="e">
        <f>Q256</f>
        <v>#N/A</v>
      </c>
      <c r="R257" s="615" t="e">
        <f>R256</f>
        <v>#N/A</v>
      </c>
      <c r="S257" s="615" t="e">
        <f>S256</f>
        <v>#N/A</v>
      </c>
      <c r="T257" s="681" t="s">
        <v>1201</v>
      </c>
    </row>
    <row r="258" spans="8:20">
      <c r="H258" s="602" t="s">
        <v>940</v>
      </c>
    </row>
    <row r="259" spans="8:20" ht="18">
      <c r="H259" s="602" t="s">
        <v>940</v>
      </c>
      <c r="L259" s="652" t="s">
        <v>1202</v>
      </c>
      <c r="M259" s="551"/>
      <c r="N259" s="551"/>
      <c r="O259" s="551"/>
      <c r="P259" s="551"/>
      <c r="Q259" s="551"/>
      <c r="R259" s="551"/>
      <c r="S259" s="551"/>
    </row>
    <row r="260" spans="8:20">
      <c r="H260" s="602" t="s">
        <v>940</v>
      </c>
    </row>
    <row r="261" spans="8:20">
      <c r="H261" s="602" t="s">
        <v>940</v>
      </c>
      <c r="L261" s="609" t="s">
        <v>1020</v>
      </c>
      <c r="M261" s="609" t="s">
        <v>359</v>
      </c>
      <c r="N261" s="704" t="s">
        <v>929</v>
      </c>
      <c r="O261" s="704" t="s">
        <v>1193</v>
      </c>
      <c r="P261" s="704" t="s">
        <v>1194</v>
      </c>
      <c r="Q261" s="704" t="s">
        <v>1195</v>
      </c>
      <c r="R261" s="704" t="s">
        <v>1196</v>
      </c>
      <c r="S261" s="704" t="s">
        <v>1197</v>
      </c>
    </row>
    <row r="262" spans="8:20">
      <c r="H262" s="602" t="s">
        <v>940</v>
      </c>
      <c r="L262" s="556" t="s">
        <v>1119</v>
      </c>
      <c r="M262" s="556" t="s">
        <v>1203</v>
      </c>
      <c r="N262" s="615" t="e">
        <f t="shared" ref="N262:S262" si="47">N245*1000/(100000*12)</f>
        <v>#N/A</v>
      </c>
      <c r="O262" s="615" t="e">
        <f t="shared" si="47"/>
        <v>#N/A</v>
      </c>
      <c r="P262" s="615" t="e">
        <f t="shared" si="47"/>
        <v>#N/A</v>
      </c>
      <c r="Q262" s="615" t="e">
        <f t="shared" si="47"/>
        <v>#N/A</v>
      </c>
      <c r="R262" s="615" t="e">
        <f t="shared" si="47"/>
        <v>#N/A</v>
      </c>
      <c r="S262" s="615" t="e">
        <f t="shared" si="47"/>
        <v>#N/A</v>
      </c>
    </row>
    <row r="263" spans="8:20">
      <c r="H263" s="602" t="s">
        <v>940</v>
      </c>
      <c r="L263" s="556" t="s">
        <v>1127</v>
      </c>
      <c r="M263" s="556" t="s">
        <v>898</v>
      </c>
      <c r="N263" s="615" t="e">
        <f t="shared" ref="N263:S264" si="48">N246/(3.413*12)</f>
        <v>#N/A</v>
      </c>
      <c r="O263" s="615" t="e">
        <f t="shared" si="48"/>
        <v>#N/A</v>
      </c>
      <c r="P263" s="615" t="e">
        <f t="shared" si="48"/>
        <v>#N/A</v>
      </c>
      <c r="Q263" s="615" t="e">
        <f t="shared" si="48"/>
        <v>#N/A</v>
      </c>
      <c r="R263" s="615" t="e">
        <f t="shared" si="48"/>
        <v>#N/A</v>
      </c>
      <c r="S263" s="615" t="e">
        <f t="shared" si="48"/>
        <v>#N/A</v>
      </c>
    </row>
    <row r="264" spans="8:20">
      <c r="H264" s="602" t="s">
        <v>940</v>
      </c>
      <c r="L264" s="556" t="s">
        <v>1129</v>
      </c>
      <c r="M264" s="556" t="s">
        <v>898</v>
      </c>
      <c r="N264" s="615" t="e">
        <f t="shared" si="48"/>
        <v>#N/A</v>
      </c>
      <c r="O264" s="615" t="e">
        <f t="shared" si="48"/>
        <v>#N/A</v>
      </c>
      <c r="P264" s="615" t="e">
        <f t="shared" si="48"/>
        <v>#N/A</v>
      </c>
      <c r="Q264" s="615" t="e">
        <f t="shared" si="48"/>
        <v>#N/A</v>
      </c>
      <c r="R264" s="615" t="e">
        <f t="shared" si="48"/>
        <v>#N/A</v>
      </c>
      <c r="S264" s="615" t="e">
        <f t="shared" si="48"/>
        <v>#N/A</v>
      </c>
    </row>
    <row r="265" spans="8:20">
      <c r="H265" s="602" t="s">
        <v>940</v>
      </c>
      <c r="L265" s="556" t="s">
        <v>1132</v>
      </c>
      <c r="M265" s="556" t="s">
        <v>1204</v>
      </c>
      <c r="N265" s="615" t="e">
        <f t="shared" ref="N265:S265" si="49">N248*1000/($O$318*12)</f>
        <v>#N/A</v>
      </c>
      <c r="O265" s="615" t="e">
        <f t="shared" si="49"/>
        <v>#N/A</v>
      </c>
      <c r="P265" s="615" t="e">
        <f t="shared" si="49"/>
        <v>#N/A</v>
      </c>
      <c r="Q265" s="615" t="e">
        <f t="shared" si="49"/>
        <v>#N/A</v>
      </c>
      <c r="R265" s="615" t="e">
        <f t="shared" si="49"/>
        <v>#N/A</v>
      </c>
      <c r="S265" s="615" t="e">
        <f t="shared" si="49"/>
        <v>#N/A</v>
      </c>
    </row>
    <row r="266" spans="8:20">
      <c r="H266" s="602" t="s">
        <v>940</v>
      </c>
      <c r="L266" s="556" t="s">
        <v>1134</v>
      </c>
      <c r="M266" s="556" t="s">
        <v>1203</v>
      </c>
      <c r="N266" s="615">
        <f t="shared" ref="N266:S266" si="50">N249*1000/(100000*12)</f>
        <v>2.7898416666666668</v>
      </c>
      <c r="O266" s="615">
        <f t="shared" si="50"/>
        <v>3.2821666666666665</v>
      </c>
      <c r="P266" s="615">
        <f t="shared" si="50"/>
        <v>4.7495833333333337</v>
      </c>
      <c r="Q266" s="615">
        <f t="shared" si="50"/>
        <v>6.2170000000000005</v>
      </c>
      <c r="R266" s="615">
        <f t="shared" si="50"/>
        <v>7.6844166666666665</v>
      </c>
      <c r="S266" s="615">
        <f t="shared" si="50"/>
        <v>9.1518333333333342</v>
      </c>
    </row>
    <row r="267" spans="8:20">
      <c r="H267" s="602" t="s">
        <v>940</v>
      </c>
      <c r="L267" s="556" t="s">
        <v>1136</v>
      </c>
      <c r="M267" s="556" t="s">
        <v>898</v>
      </c>
      <c r="N267" s="615">
        <f t="shared" ref="N267:S268" si="51">N250/(3.413*12)</f>
        <v>40.870812579353455</v>
      </c>
      <c r="O267" s="615">
        <f t="shared" si="51"/>
        <v>48.083308916886416</v>
      </c>
      <c r="P267" s="615">
        <f t="shared" si="51"/>
        <v>69.580769606406889</v>
      </c>
      <c r="Q267" s="615">
        <f t="shared" si="51"/>
        <v>91.078230295927355</v>
      </c>
      <c r="R267" s="615">
        <f t="shared" si="51"/>
        <v>112.57569098544781</v>
      </c>
      <c r="S267" s="615">
        <f t="shared" si="51"/>
        <v>134.07315167496827</v>
      </c>
    </row>
    <row r="268" spans="8:20">
      <c r="H268" s="602" t="s">
        <v>940</v>
      </c>
      <c r="L268" s="556" t="s">
        <v>1035</v>
      </c>
      <c r="M268" s="556" t="s">
        <v>898</v>
      </c>
      <c r="N268" s="615">
        <f t="shared" si="51"/>
        <v>226.90326203730834</v>
      </c>
      <c r="O268" s="615">
        <f t="shared" si="51"/>
        <v>266.94501416153923</v>
      </c>
      <c r="P268" s="615">
        <f t="shared" si="51"/>
        <v>371.39857407950001</v>
      </c>
      <c r="Q268" s="615">
        <f t="shared" si="51"/>
        <v>475.85213399746073</v>
      </c>
      <c r="R268" s="615">
        <f t="shared" si="51"/>
        <v>580.30569391542144</v>
      </c>
      <c r="S268" s="615">
        <f t="shared" si="51"/>
        <v>684.75925383338222</v>
      </c>
    </row>
    <row r="269" spans="8:20">
      <c r="H269" s="602" t="s">
        <v>940</v>
      </c>
      <c r="L269" s="556" t="s">
        <v>1037</v>
      </c>
      <c r="M269" s="556" t="s">
        <v>898</v>
      </c>
      <c r="N269" s="615">
        <f>IF(Location!$F$10,N252/(3.413*12),0)</f>
        <v>0</v>
      </c>
      <c r="O269" s="615">
        <f>IF(Location!$F$10,O252/(3.413*12),0)</f>
        <v>0</v>
      </c>
      <c r="P269" s="615">
        <f>IF(Location!$F$10,P252/(3.413*12),0)</f>
        <v>0</v>
      </c>
      <c r="Q269" s="615">
        <f>IF(Location!$F$10,Q252/(3.413*12),0)</f>
        <v>0</v>
      </c>
      <c r="R269" s="615">
        <f>IF(Location!$F$10,R252/(3.413*12),0)</f>
        <v>0</v>
      </c>
      <c r="S269" s="615">
        <f>IF(Location!$F$10,S252/(3.413*12),0)</f>
        <v>0</v>
      </c>
    </row>
    <row r="270" spans="8:20">
      <c r="H270" s="602" t="s">
        <v>940</v>
      </c>
      <c r="L270" s="556" t="s">
        <v>1137</v>
      </c>
      <c r="M270" s="556" t="s">
        <v>1203</v>
      </c>
      <c r="N270" s="615" t="e">
        <f t="shared" ref="N270:S270" si="52">N253*1000/(100000*12)</f>
        <v>#N/A</v>
      </c>
      <c r="O270" s="615" t="e">
        <f t="shared" si="52"/>
        <v>#N/A</v>
      </c>
      <c r="P270" s="615" t="e">
        <f t="shared" si="52"/>
        <v>#N/A</v>
      </c>
      <c r="Q270" s="615" t="e">
        <f t="shared" si="52"/>
        <v>#N/A</v>
      </c>
      <c r="R270" s="615" t="e">
        <f t="shared" si="52"/>
        <v>#N/A</v>
      </c>
      <c r="S270" s="615" t="e">
        <f t="shared" si="52"/>
        <v>#N/A</v>
      </c>
    </row>
    <row r="271" spans="8:20">
      <c r="H271" s="602" t="s">
        <v>940</v>
      </c>
      <c r="L271" s="556" t="s">
        <v>1139</v>
      </c>
      <c r="M271" s="556" t="s">
        <v>898</v>
      </c>
      <c r="N271" s="615" t="e">
        <f t="shared" ref="N271:S271" si="53">N254/(3.413*12)</f>
        <v>#N/A</v>
      </c>
      <c r="O271" s="615" t="e">
        <f t="shared" si="53"/>
        <v>#N/A</v>
      </c>
      <c r="P271" s="615" t="e">
        <f t="shared" si="53"/>
        <v>#N/A</v>
      </c>
      <c r="Q271" s="615" t="e">
        <f t="shared" si="53"/>
        <v>#N/A</v>
      </c>
      <c r="R271" s="615" t="e">
        <f t="shared" si="53"/>
        <v>#N/A</v>
      </c>
      <c r="S271" s="615" t="e">
        <f t="shared" si="53"/>
        <v>#N/A</v>
      </c>
    </row>
    <row r="272" spans="8:20">
      <c r="H272" s="602" t="s">
        <v>940</v>
      </c>
      <c r="L272" s="556" t="s">
        <v>1140</v>
      </c>
      <c r="M272" s="556" t="s">
        <v>1204</v>
      </c>
      <c r="N272" s="615" t="e">
        <f t="shared" ref="N272:S272" si="54">N255*1000/($O$318*12)</f>
        <v>#N/A</v>
      </c>
      <c r="O272" s="615" t="e">
        <f t="shared" si="54"/>
        <v>#N/A</v>
      </c>
      <c r="P272" s="615" t="e">
        <f t="shared" si="54"/>
        <v>#N/A</v>
      </c>
      <c r="Q272" s="615" t="e">
        <f t="shared" si="54"/>
        <v>#N/A</v>
      </c>
      <c r="R272" s="615" t="e">
        <f t="shared" si="54"/>
        <v>#N/A</v>
      </c>
      <c r="S272" s="615" t="e">
        <f t="shared" si="54"/>
        <v>#N/A</v>
      </c>
    </row>
    <row r="273" spans="8:19">
      <c r="H273" s="602" t="s">
        <v>940</v>
      </c>
      <c r="L273" s="556" t="s">
        <v>1047</v>
      </c>
      <c r="M273" s="556" t="s">
        <v>1204</v>
      </c>
      <c r="N273" s="615" t="e">
        <f t="shared" ref="N273:S273" si="55">N256</f>
        <v>#N/A</v>
      </c>
      <c r="O273" s="615" t="e">
        <f t="shared" si="55"/>
        <v>#N/A</v>
      </c>
      <c r="P273" s="615" t="e">
        <f t="shared" si="55"/>
        <v>#N/A</v>
      </c>
      <c r="Q273" s="615" t="e">
        <f t="shared" si="55"/>
        <v>#N/A</v>
      </c>
      <c r="R273" s="615" t="e">
        <f t="shared" si="55"/>
        <v>#N/A</v>
      </c>
      <c r="S273" s="615" t="e">
        <f t="shared" si="55"/>
        <v>#N/A</v>
      </c>
    </row>
    <row r="274" spans="8:19">
      <c r="H274" s="602" t="s">
        <v>940</v>
      </c>
      <c r="L274" s="556" t="s">
        <v>1049</v>
      </c>
      <c r="M274" s="556" t="s">
        <v>1204</v>
      </c>
      <c r="N274" s="615" t="e">
        <f>IF(NOT(Tariffs!$F$208),N257,0)</f>
        <v>#N/A</v>
      </c>
      <c r="O274" s="615" t="e">
        <f>IF(NOT(Tariffs!$F$208),O257,0)</f>
        <v>#N/A</v>
      </c>
      <c r="P274" s="615" t="e">
        <f>IF(NOT(Tariffs!$F$208),P257,0)</f>
        <v>#N/A</v>
      </c>
      <c r="Q274" s="615" t="e">
        <f>IF(NOT(Tariffs!$F$208),Q257,0)</f>
        <v>#N/A</v>
      </c>
      <c r="R274" s="615" t="e">
        <f>IF(NOT(Tariffs!$F$208),R257,0)</f>
        <v>#N/A</v>
      </c>
      <c r="S274" s="615" t="e">
        <f>IF(NOT(Tariffs!$F$208),S257,0)</f>
        <v>#N/A</v>
      </c>
    </row>
    <row r="275" spans="8:19">
      <c r="H275" s="602" t="s">
        <v>940</v>
      </c>
    </row>
    <row r="276" spans="8:19" ht="18">
      <c r="H276" s="602" t="s">
        <v>940</v>
      </c>
      <c r="L276" s="652" t="s">
        <v>1205</v>
      </c>
      <c r="M276" s="551"/>
      <c r="N276" s="551"/>
      <c r="O276" s="551"/>
      <c r="P276" s="551"/>
      <c r="Q276" s="551"/>
      <c r="R276" s="551"/>
      <c r="S276" s="551"/>
    </row>
    <row r="277" spans="8:19">
      <c r="H277" s="602" t="s">
        <v>940</v>
      </c>
    </row>
    <row r="278" spans="8:19">
      <c r="H278" s="602" t="s">
        <v>940</v>
      </c>
      <c r="L278" s="609" t="s">
        <v>1206</v>
      </c>
      <c r="M278" s="609" t="s">
        <v>359</v>
      </c>
      <c r="N278" s="704" t="s">
        <v>929</v>
      </c>
      <c r="O278" s="704" t="s">
        <v>1193</v>
      </c>
      <c r="P278" s="704" t="s">
        <v>1194</v>
      </c>
      <c r="Q278" s="704" t="s">
        <v>1195</v>
      </c>
      <c r="R278" s="704" t="s">
        <v>1196</v>
      </c>
      <c r="S278" s="704" t="s">
        <v>1197</v>
      </c>
    </row>
    <row r="279" spans="8:19">
      <c r="H279" s="602" t="s">
        <v>940</v>
      </c>
      <c r="L279" s="556" t="s">
        <v>1035</v>
      </c>
      <c r="M279" s="556" t="s">
        <v>898</v>
      </c>
      <c r="N279" s="615">
        <f>N268</f>
        <v>226.90326203730834</v>
      </c>
      <c r="O279" s="615">
        <f t="shared" ref="O279:S279" si="56">O268</f>
        <v>266.94501416153923</v>
      </c>
      <c r="P279" s="615">
        <f t="shared" si="56"/>
        <v>371.39857407950001</v>
      </c>
      <c r="Q279" s="615">
        <f t="shared" si="56"/>
        <v>475.85213399746073</v>
      </c>
      <c r="R279" s="615">
        <f t="shared" si="56"/>
        <v>580.30569391542144</v>
      </c>
      <c r="S279" s="615">
        <f t="shared" si="56"/>
        <v>684.75925383338222</v>
      </c>
    </row>
    <row r="280" spans="8:19">
      <c r="H280" s="602" t="s">
        <v>940</v>
      </c>
      <c r="L280" s="556" t="s">
        <v>1207</v>
      </c>
      <c r="M280" s="556" t="s">
        <v>898</v>
      </c>
      <c r="N280" s="615">
        <f t="shared" ref="N280:S280" si="57">N279+N267</f>
        <v>267.77407461666178</v>
      </c>
      <c r="O280" s="615">
        <f t="shared" si="57"/>
        <v>315.02832307842567</v>
      </c>
      <c r="P280" s="615">
        <f t="shared" si="57"/>
        <v>440.97934368590688</v>
      </c>
      <c r="Q280" s="615">
        <f t="shared" si="57"/>
        <v>566.93036429338804</v>
      </c>
      <c r="R280" s="615">
        <f t="shared" si="57"/>
        <v>692.88138490086931</v>
      </c>
      <c r="S280" s="615">
        <f t="shared" si="57"/>
        <v>818.83240550835046</v>
      </c>
    </row>
    <row r="281" spans="8:19">
      <c r="H281" s="602" t="s">
        <v>940</v>
      </c>
      <c r="L281" s="556" t="s">
        <v>1208</v>
      </c>
      <c r="M281" s="556" t="s">
        <v>898</v>
      </c>
      <c r="N281" s="615" t="e">
        <f t="shared" ref="N281:S281" si="58">N280+N271</f>
        <v>#N/A</v>
      </c>
      <c r="O281" s="615" t="e">
        <f t="shared" si="58"/>
        <v>#N/A</v>
      </c>
      <c r="P281" s="615" t="e">
        <f t="shared" si="58"/>
        <v>#N/A</v>
      </c>
      <c r="Q281" s="615" t="e">
        <f t="shared" si="58"/>
        <v>#N/A</v>
      </c>
      <c r="R281" s="615" t="e">
        <f t="shared" si="58"/>
        <v>#N/A</v>
      </c>
      <c r="S281" s="615" t="e">
        <f t="shared" si="58"/>
        <v>#N/A</v>
      </c>
    </row>
    <row r="282" spans="8:19">
      <c r="H282" s="602" t="s">
        <v>940</v>
      </c>
      <c r="L282" s="556" t="s">
        <v>1209</v>
      </c>
      <c r="M282" s="556" t="s">
        <v>898</v>
      </c>
      <c r="N282" s="615" t="e">
        <f t="shared" ref="N282:S282" si="59">N281+N263</f>
        <v>#N/A</v>
      </c>
      <c r="O282" s="615" t="e">
        <f t="shared" si="59"/>
        <v>#N/A</v>
      </c>
      <c r="P282" s="615" t="e">
        <f t="shared" si="59"/>
        <v>#N/A</v>
      </c>
      <c r="Q282" s="615" t="e">
        <f t="shared" si="59"/>
        <v>#N/A</v>
      </c>
      <c r="R282" s="615" t="e">
        <f t="shared" si="59"/>
        <v>#N/A</v>
      </c>
      <c r="S282" s="615" t="e">
        <f t="shared" si="59"/>
        <v>#N/A</v>
      </c>
    </row>
    <row r="283" spans="8:19">
      <c r="H283" s="602" t="s">
        <v>940</v>
      </c>
      <c r="L283" s="556" t="s">
        <v>1210</v>
      </c>
      <c r="M283" s="556" t="s">
        <v>898</v>
      </c>
      <c r="N283" s="615" t="e">
        <f t="shared" ref="N283:S283" si="60">N282+N269</f>
        <v>#N/A</v>
      </c>
      <c r="O283" s="615" t="e">
        <f t="shared" si="60"/>
        <v>#N/A</v>
      </c>
      <c r="P283" s="615" t="e">
        <f t="shared" si="60"/>
        <v>#N/A</v>
      </c>
      <c r="Q283" s="615" t="e">
        <f t="shared" si="60"/>
        <v>#N/A</v>
      </c>
      <c r="R283" s="615" t="e">
        <f t="shared" si="60"/>
        <v>#N/A</v>
      </c>
      <c r="S283" s="615" t="e">
        <f t="shared" si="60"/>
        <v>#N/A</v>
      </c>
    </row>
    <row r="284" spans="8:19">
      <c r="H284" s="602" t="s">
        <v>940</v>
      </c>
      <c r="L284" s="556" t="s">
        <v>1211</v>
      </c>
      <c r="M284" s="556" t="s">
        <v>898</v>
      </c>
      <c r="N284" s="615" t="e">
        <f t="shared" ref="N284:S284" si="61">N281+N264</f>
        <v>#N/A</v>
      </c>
      <c r="O284" s="615" t="e">
        <f t="shared" si="61"/>
        <v>#N/A</v>
      </c>
      <c r="P284" s="615" t="e">
        <f t="shared" si="61"/>
        <v>#N/A</v>
      </c>
      <c r="Q284" s="615" t="e">
        <f t="shared" si="61"/>
        <v>#N/A</v>
      </c>
      <c r="R284" s="615" t="e">
        <f t="shared" si="61"/>
        <v>#N/A</v>
      </c>
      <c r="S284" s="615" t="e">
        <f t="shared" si="61"/>
        <v>#N/A</v>
      </c>
    </row>
    <row r="285" spans="8:19">
      <c r="H285" s="602" t="s">
        <v>940</v>
      </c>
      <c r="L285" s="556" t="s">
        <v>1212</v>
      </c>
      <c r="M285" s="556" t="s">
        <v>898</v>
      </c>
      <c r="N285" s="615" t="e">
        <f t="shared" ref="N285:S285" si="62">N284+N269</f>
        <v>#N/A</v>
      </c>
      <c r="O285" s="615" t="e">
        <f t="shared" si="62"/>
        <v>#N/A</v>
      </c>
      <c r="P285" s="615" t="e">
        <f t="shared" si="62"/>
        <v>#N/A</v>
      </c>
      <c r="Q285" s="615" t="e">
        <f t="shared" si="62"/>
        <v>#N/A</v>
      </c>
      <c r="R285" s="615" t="e">
        <f t="shared" si="62"/>
        <v>#N/A</v>
      </c>
      <c r="S285" s="615" t="e">
        <f t="shared" si="62"/>
        <v>#N/A</v>
      </c>
    </row>
    <row r="286" spans="8:19">
      <c r="H286" s="602" t="s">
        <v>940</v>
      </c>
    </row>
    <row r="287" spans="8:19">
      <c r="H287" s="602" t="s">
        <v>940</v>
      </c>
      <c r="L287" s="609" t="s">
        <v>1213</v>
      </c>
    </row>
    <row r="288" spans="8:19">
      <c r="H288" s="602" t="s">
        <v>940</v>
      </c>
      <c r="L288" s="556" t="s">
        <v>254</v>
      </c>
      <c r="M288" s="556" t="s">
        <v>1203</v>
      </c>
      <c r="N288" s="615">
        <f t="shared" ref="N288:S288" si="63">N266</f>
        <v>2.7898416666666668</v>
      </c>
      <c r="O288" s="615">
        <f t="shared" si="63"/>
        <v>3.2821666666666665</v>
      </c>
      <c r="P288" s="615">
        <f t="shared" si="63"/>
        <v>4.7495833333333337</v>
      </c>
      <c r="Q288" s="615">
        <f t="shared" si="63"/>
        <v>6.2170000000000005</v>
      </c>
      <c r="R288" s="615">
        <f t="shared" si="63"/>
        <v>7.6844166666666665</v>
      </c>
      <c r="S288" s="615">
        <f t="shared" si="63"/>
        <v>9.1518333333333342</v>
      </c>
    </row>
    <row r="289" spans="8:19">
      <c r="H289" s="602" t="s">
        <v>940</v>
      </c>
      <c r="L289" s="556" t="s">
        <v>1214</v>
      </c>
      <c r="M289" s="556" t="s">
        <v>1203</v>
      </c>
      <c r="N289" s="615" t="e">
        <f t="shared" ref="N289:S289" si="64">N288+N270</f>
        <v>#N/A</v>
      </c>
      <c r="O289" s="615" t="e">
        <f t="shared" si="64"/>
        <v>#N/A</v>
      </c>
      <c r="P289" s="615" t="e">
        <f t="shared" si="64"/>
        <v>#N/A</v>
      </c>
      <c r="Q289" s="615" t="e">
        <f t="shared" si="64"/>
        <v>#N/A</v>
      </c>
      <c r="R289" s="615" t="e">
        <f t="shared" si="64"/>
        <v>#N/A</v>
      </c>
      <c r="S289" s="615" t="e">
        <f t="shared" si="64"/>
        <v>#N/A</v>
      </c>
    </row>
    <row r="290" spans="8:19">
      <c r="H290" s="602" t="s">
        <v>940</v>
      </c>
      <c r="L290" s="556" t="s">
        <v>1215</v>
      </c>
      <c r="M290" s="556" t="s">
        <v>1203</v>
      </c>
      <c r="N290" s="615" t="e">
        <f t="shared" ref="N290:S290" si="65">N289+N262</f>
        <v>#N/A</v>
      </c>
      <c r="O290" s="615" t="e">
        <f t="shared" si="65"/>
        <v>#N/A</v>
      </c>
      <c r="P290" s="615" t="e">
        <f t="shared" si="65"/>
        <v>#N/A</v>
      </c>
      <c r="Q290" s="615" t="e">
        <f t="shared" si="65"/>
        <v>#N/A</v>
      </c>
      <c r="R290" s="615" t="e">
        <f t="shared" si="65"/>
        <v>#N/A</v>
      </c>
      <c r="S290" s="615" t="e">
        <f t="shared" si="65"/>
        <v>#N/A</v>
      </c>
    </row>
    <row r="291" spans="8:19">
      <c r="H291" s="602" t="s">
        <v>940</v>
      </c>
    </row>
    <row r="292" spans="8:19">
      <c r="H292" s="602" t="s">
        <v>940</v>
      </c>
      <c r="L292" s="609" t="s">
        <v>1216</v>
      </c>
    </row>
    <row r="293" spans="8:19">
      <c r="H293" s="602" t="s">
        <v>940</v>
      </c>
      <c r="L293" s="556" t="s">
        <v>1038</v>
      </c>
      <c r="M293" s="556" t="s">
        <v>1204</v>
      </c>
      <c r="N293" s="615" t="e">
        <f t="shared" ref="N293:S293" si="66">N272</f>
        <v>#N/A</v>
      </c>
      <c r="O293" s="615" t="e">
        <f t="shared" si="66"/>
        <v>#N/A</v>
      </c>
      <c r="P293" s="615" t="e">
        <f t="shared" si="66"/>
        <v>#N/A</v>
      </c>
      <c r="Q293" s="615" t="e">
        <f t="shared" si="66"/>
        <v>#N/A</v>
      </c>
      <c r="R293" s="615" t="e">
        <f t="shared" si="66"/>
        <v>#N/A</v>
      </c>
      <c r="S293" s="615" t="e">
        <f t="shared" si="66"/>
        <v>#N/A</v>
      </c>
    </row>
    <row r="294" spans="8:19">
      <c r="H294" s="602" t="s">
        <v>940</v>
      </c>
      <c r="L294" s="556" t="s">
        <v>1217</v>
      </c>
      <c r="M294" s="556" t="s">
        <v>1204</v>
      </c>
      <c r="N294" s="615" t="e">
        <f t="shared" ref="N294:S294" si="67">N293+N265</f>
        <v>#N/A</v>
      </c>
      <c r="O294" s="615" t="e">
        <f t="shared" si="67"/>
        <v>#N/A</v>
      </c>
      <c r="P294" s="615" t="e">
        <f t="shared" si="67"/>
        <v>#N/A</v>
      </c>
      <c r="Q294" s="615" t="e">
        <f t="shared" si="67"/>
        <v>#N/A</v>
      </c>
      <c r="R294" s="615" t="e">
        <f t="shared" si="67"/>
        <v>#N/A</v>
      </c>
      <c r="S294" s="615" t="e">
        <f t="shared" si="67"/>
        <v>#N/A</v>
      </c>
    </row>
    <row r="295" spans="8:19">
      <c r="H295" s="602" t="s">
        <v>940</v>
      </c>
    </row>
    <row r="296" spans="8:19">
      <c r="H296" s="602" t="s">
        <v>940</v>
      </c>
      <c r="L296" s="609" t="s">
        <v>1047</v>
      </c>
      <c r="M296" s="556" t="s">
        <v>1204</v>
      </c>
      <c r="N296" s="615" t="e">
        <f t="shared" ref="N296:S297" si="68">N273</f>
        <v>#N/A</v>
      </c>
      <c r="O296" s="615" t="e">
        <f t="shared" si="68"/>
        <v>#N/A</v>
      </c>
      <c r="P296" s="615" t="e">
        <f t="shared" si="68"/>
        <v>#N/A</v>
      </c>
      <c r="Q296" s="615" t="e">
        <f t="shared" si="68"/>
        <v>#N/A</v>
      </c>
      <c r="R296" s="615" t="e">
        <f t="shared" si="68"/>
        <v>#N/A</v>
      </c>
      <c r="S296" s="615" t="e">
        <f t="shared" si="68"/>
        <v>#N/A</v>
      </c>
    </row>
    <row r="297" spans="8:19">
      <c r="H297" s="602" t="s">
        <v>940</v>
      </c>
      <c r="L297" s="609" t="s">
        <v>1049</v>
      </c>
      <c r="M297" s="556" t="s">
        <v>1204</v>
      </c>
      <c r="N297" s="615" t="e">
        <f t="shared" si="68"/>
        <v>#N/A</v>
      </c>
      <c r="O297" s="615" t="e">
        <f t="shared" si="68"/>
        <v>#N/A</v>
      </c>
      <c r="P297" s="615" t="e">
        <f t="shared" si="68"/>
        <v>#N/A</v>
      </c>
      <c r="Q297" s="615" t="e">
        <f t="shared" si="68"/>
        <v>#N/A</v>
      </c>
      <c r="R297" s="615" t="e">
        <f t="shared" si="68"/>
        <v>#N/A</v>
      </c>
      <c r="S297" s="615" t="e">
        <f t="shared" si="68"/>
        <v>#N/A</v>
      </c>
    </row>
    <row r="298" spans="8:19">
      <c r="H298" s="602" t="s">
        <v>940</v>
      </c>
    </row>
    <row r="299" spans="8:19" ht="18">
      <c r="H299" s="602" t="s">
        <v>940</v>
      </c>
      <c r="L299" s="652" t="s">
        <v>1218</v>
      </c>
      <c r="M299" s="551"/>
      <c r="N299" s="551"/>
      <c r="O299" s="551"/>
      <c r="P299" s="551"/>
      <c r="Q299" s="551"/>
      <c r="R299" s="551"/>
      <c r="S299" s="551"/>
    </row>
    <row r="300" spans="8:19">
      <c r="H300" s="602" t="s">
        <v>940</v>
      </c>
    </row>
    <row r="301" spans="8:19">
      <c r="H301" s="602" t="s">
        <v>940</v>
      </c>
      <c r="L301" s="609"/>
      <c r="M301" s="609"/>
      <c r="N301" s="704" t="s">
        <v>1219</v>
      </c>
      <c r="O301" s="704" t="s">
        <v>1220</v>
      </c>
      <c r="P301" s="704" t="s">
        <v>1221</v>
      </c>
    </row>
    <row r="302" spans="8:19">
      <c r="H302" s="602" t="s">
        <v>940</v>
      </c>
    </row>
    <row r="303" spans="8:19">
      <c r="H303" s="602" t="s">
        <v>940</v>
      </c>
      <c r="N303" s="618" t="s">
        <v>956</v>
      </c>
      <c r="O303" s="618">
        <v>1</v>
      </c>
      <c r="P303" s="618" t="s">
        <v>956</v>
      </c>
      <c r="Q303" s="610"/>
    </row>
    <row r="304" spans="8:19">
      <c r="H304" s="602" t="s">
        <v>940</v>
      </c>
      <c r="N304" s="618" t="s">
        <v>956</v>
      </c>
      <c r="O304" s="724">
        <f>100000/(1010*100)</f>
        <v>0.99009900990099009</v>
      </c>
      <c r="P304" s="618" t="s">
        <v>957</v>
      </c>
      <c r="Q304" s="610"/>
      <c r="R304" s="556" t="s">
        <v>1222</v>
      </c>
    </row>
    <row r="305" spans="8:19">
      <c r="H305" s="602" t="s">
        <v>940</v>
      </c>
      <c r="N305" s="618" t="s">
        <v>956</v>
      </c>
      <c r="O305" s="724">
        <f>100000/(1010*1000)</f>
        <v>9.9009900990099015E-2</v>
      </c>
      <c r="P305" s="618" t="s">
        <v>958</v>
      </c>
      <c r="Q305" s="610"/>
    </row>
    <row r="306" spans="8:19">
      <c r="H306" s="602" t="s">
        <v>940</v>
      </c>
      <c r="N306" s="618" t="s">
        <v>956</v>
      </c>
      <c r="O306" s="618">
        <v>0.1</v>
      </c>
      <c r="P306" s="618" t="s">
        <v>959</v>
      </c>
      <c r="Q306" s="610"/>
    </row>
    <row r="307" spans="8:19">
      <c r="H307" s="602" t="s">
        <v>940</v>
      </c>
    </row>
    <row r="308" spans="8:19">
      <c r="H308" s="602" t="s">
        <v>940</v>
      </c>
      <c r="L308" s="556" t="s">
        <v>1223</v>
      </c>
      <c r="O308" s="741">
        <f>INDEX(O303:O306,Tariffs!F102)</f>
        <v>1</v>
      </c>
      <c r="P308" s="618" t="str">
        <f>INDEX(P303:P306,Tariffs!F102)</f>
        <v>Therms</v>
      </c>
    </row>
    <row r="309" spans="8:19">
      <c r="H309" s="602" t="s">
        <v>940</v>
      </c>
      <c r="O309" s="741"/>
      <c r="P309" s="618"/>
    </row>
    <row r="310" spans="8:19" ht="18">
      <c r="H310" s="602" t="s">
        <v>940</v>
      </c>
      <c r="L310" s="652" t="s">
        <v>1224</v>
      </c>
      <c r="M310" s="551"/>
      <c r="N310" s="551"/>
      <c r="O310" s="551"/>
      <c r="P310" s="551"/>
      <c r="Q310" s="551"/>
      <c r="R310" s="551"/>
      <c r="S310" s="551"/>
    </row>
    <row r="311" spans="8:19">
      <c r="H311" s="602" t="s">
        <v>940</v>
      </c>
      <c r="O311" s="741"/>
      <c r="P311" s="618"/>
    </row>
    <row r="312" spans="8:19">
      <c r="H312" s="602" t="s">
        <v>940</v>
      </c>
      <c r="L312" s="556" t="s">
        <v>1225</v>
      </c>
      <c r="O312" s="695">
        <v>21669</v>
      </c>
      <c r="P312" s="618" t="s">
        <v>1226</v>
      </c>
      <c r="R312" s="556" t="s">
        <v>1227</v>
      </c>
    </row>
    <row r="313" spans="8:19">
      <c r="H313" s="602" t="s">
        <v>940</v>
      </c>
      <c r="O313" s="741">
        <f>O312/100000</f>
        <v>0.21668999999999999</v>
      </c>
      <c r="P313" s="618" t="s">
        <v>1228</v>
      </c>
    </row>
    <row r="314" spans="8:19">
      <c r="H314" s="602" t="s">
        <v>940</v>
      </c>
      <c r="O314" s="741">
        <f>1/O313</f>
        <v>4.6148876274862705</v>
      </c>
      <c r="P314" s="618" t="s">
        <v>1229</v>
      </c>
    </row>
    <row r="315" spans="8:19">
      <c r="H315" s="602" t="s">
        <v>940</v>
      </c>
      <c r="O315" s="741"/>
      <c r="P315" s="618"/>
    </row>
    <row r="316" spans="8:19" ht="18">
      <c r="H316" s="602" t="s">
        <v>940</v>
      </c>
      <c r="L316" s="652" t="s">
        <v>1230</v>
      </c>
      <c r="M316" s="551"/>
      <c r="N316" s="551"/>
      <c r="O316" s="742"/>
      <c r="P316" s="558"/>
      <c r="Q316" s="551"/>
      <c r="R316" s="551"/>
      <c r="S316" s="551"/>
    </row>
    <row r="317" spans="8:19">
      <c r="H317" s="602" t="s">
        <v>940</v>
      </c>
      <c r="O317" s="741"/>
      <c r="P317" s="618"/>
    </row>
    <row r="318" spans="8:19">
      <c r="H318" s="602" t="s">
        <v>940</v>
      </c>
      <c r="L318" s="556" t="s">
        <v>1231</v>
      </c>
      <c r="O318" s="616">
        <v>140000</v>
      </c>
      <c r="P318" s="618" t="s">
        <v>1232</v>
      </c>
    </row>
    <row r="319" spans="8:19">
      <c r="H319" s="602" t="s">
        <v>940</v>
      </c>
      <c r="O319" s="741"/>
      <c r="P319" s="618"/>
    </row>
    <row r="320" spans="8:19">
      <c r="H320" s="602" t="s">
        <v>940</v>
      </c>
      <c r="O320" s="741"/>
      <c r="P320" s="618"/>
    </row>
    <row r="321" spans="8:19" ht="18">
      <c r="H321" s="602" t="s">
        <v>940</v>
      </c>
      <c r="L321" s="652" t="s">
        <v>1233</v>
      </c>
      <c r="M321" s="551"/>
      <c r="N321" s="551"/>
      <c r="O321" s="742"/>
      <c r="P321" s="558"/>
      <c r="Q321" s="551"/>
      <c r="R321" s="551"/>
      <c r="S321" s="551"/>
    </row>
    <row r="322" spans="8:19">
      <c r="H322" s="602" t="s">
        <v>940</v>
      </c>
    </row>
    <row r="323" spans="8:19">
      <c r="H323" s="602" t="s">
        <v>940</v>
      </c>
      <c r="N323" s="704" t="s">
        <v>1219</v>
      </c>
      <c r="O323" s="704" t="s">
        <v>1220</v>
      </c>
      <c r="P323" s="704" t="s">
        <v>1221</v>
      </c>
    </row>
    <row r="324" spans="8:19">
      <c r="H324" s="602" t="s">
        <v>940</v>
      </c>
    </row>
    <row r="325" spans="8:19">
      <c r="H325" s="602" t="s">
        <v>940</v>
      </c>
      <c r="N325" s="618" t="s">
        <v>1204</v>
      </c>
      <c r="O325" s="739">
        <f>231/(12*12*12)</f>
        <v>0.13368055555555555</v>
      </c>
      <c r="P325" s="618" t="s">
        <v>961</v>
      </c>
      <c r="Q325" s="739"/>
      <c r="R325" s="556" t="s">
        <v>1234</v>
      </c>
    </row>
    <row r="326" spans="8:19">
      <c r="H326" s="602" t="s">
        <v>940</v>
      </c>
      <c r="N326" s="618" t="s">
        <v>1204</v>
      </c>
      <c r="O326" s="556">
        <v>1</v>
      </c>
      <c r="P326" s="618" t="s">
        <v>919</v>
      </c>
    </row>
    <row r="327" spans="8:19">
      <c r="H327" s="602" t="s">
        <v>940</v>
      </c>
    </row>
    <row r="328" spans="8:19">
      <c r="H328" s="602" t="s">
        <v>940</v>
      </c>
      <c r="L328" s="556" t="s">
        <v>1235</v>
      </c>
      <c r="O328" s="739">
        <f>INDEX(O325:O326,Tariffs!F189)</f>
        <v>0.13368055555555555</v>
      </c>
      <c r="P328" s="618" t="str">
        <f>INDEX(P325:P326,Tariffs!F189)</f>
        <v>Cubic Feet</v>
      </c>
    </row>
    <row r="329" spans="8:19">
      <c r="H329" s="602" t="s">
        <v>940</v>
      </c>
      <c r="O329" s="739"/>
    </row>
    <row r="330" spans="8:19">
      <c r="H330" s="602" t="s">
        <v>940</v>
      </c>
      <c r="L330" s="556" t="s">
        <v>1236</v>
      </c>
      <c r="O330" s="739">
        <f>INDEX(O325:O326,Tariffs!F215)</f>
        <v>0.13368055555555555</v>
      </c>
      <c r="P330" s="618" t="str">
        <f>INDEX(P325:P326,Tariffs!F215)</f>
        <v>Cubic Feet</v>
      </c>
    </row>
    <row r="331" spans="8:19">
      <c r="H331" s="602" t="s">
        <v>940</v>
      </c>
    </row>
    <row r="332" spans="8:19" ht="18">
      <c r="H332" s="602" t="s">
        <v>940</v>
      </c>
      <c r="L332" s="652" t="s">
        <v>1237</v>
      </c>
      <c r="M332" s="551"/>
      <c r="N332" s="551"/>
      <c r="O332" s="551"/>
      <c r="P332" s="551"/>
      <c r="Q332" s="551"/>
      <c r="R332" s="551"/>
      <c r="S332" s="551"/>
    </row>
    <row r="333" spans="8:19">
      <c r="H333" s="602" t="s">
        <v>940</v>
      </c>
    </row>
    <row r="334" spans="8:19">
      <c r="H334" s="602" t="s">
        <v>940</v>
      </c>
      <c r="L334" s="609" t="s">
        <v>1206</v>
      </c>
      <c r="M334" s="609" t="s">
        <v>359</v>
      </c>
      <c r="N334" s="704" t="s">
        <v>929</v>
      </c>
      <c r="O334" s="704" t="s">
        <v>1193</v>
      </c>
      <c r="P334" s="704" t="s">
        <v>1194</v>
      </c>
      <c r="Q334" s="704" t="s">
        <v>1195</v>
      </c>
      <c r="R334" s="704" t="s">
        <v>1196</v>
      </c>
      <c r="S334" s="704" t="s">
        <v>1197</v>
      </c>
    </row>
    <row r="335" spans="8:19">
      <c r="H335" s="602" t="s">
        <v>940</v>
      </c>
      <c r="L335" s="556" t="s">
        <v>1035</v>
      </c>
      <c r="M335" s="556" t="s">
        <v>898</v>
      </c>
      <c r="N335" s="615">
        <f t="shared" ref="N335:S341" si="69">N279</f>
        <v>226.90326203730834</v>
      </c>
      <c r="O335" s="615">
        <f t="shared" si="69"/>
        <v>266.94501416153923</v>
      </c>
      <c r="P335" s="615">
        <f t="shared" si="69"/>
        <v>371.39857407950001</v>
      </c>
      <c r="Q335" s="615">
        <f t="shared" si="69"/>
        <v>475.85213399746073</v>
      </c>
      <c r="R335" s="615">
        <f t="shared" si="69"/>
        <v>580.30569391542144</v>
      </c>
      <c r="S335" s="615">
        <f t="shared" si="69"/>
        <v>684.75925383338222</v>
      </c>
    </row>
    <row r="336" spans="8:19">
      <c r="H336" s="602" t="s">
        <v>940</v>
      </c>
      <c r="L336" s="556" t="s">
        <v>1207</v>
      </c>
      <c r="M336" s="556" t="s">
        <v>898</v>
      </c>
      <c r="N336" s="615">
        <f t="shared" si="69"/>
        <v>267.77407461666178</v>
      </c>
      <c r="O336" s="615">
        <f t="shared" si="69"/>
        <v>315.02832307842567</v>
      </c>
      <c r="P336" s="615">
        <f t="shared" si="69"/>
        <v>440.97934368590688</v>
      </c>
      <c r="Q336" s="615">
        <f t="shared" si="69"/>
        <v>566.93036429338804</v>
      </c>
      <c r="R336" s="615">
        <f t="shared" si="69"/>
        <v>692.88138490086931</v>
      </c>
      <c r="S336" s="615">
        <f t="shared" si="69"/>
        <v>818.83240550835046</v>
      </c>
    </row>
    <row r="337" spans="8:19">
      <c r="H337" s="602" t="s">
        <v>940</v>
      </c>
      <c r="L337" s="556" t="s">
        <v>1208</v>
      </c>
      <c r="M337" s="556" t="s">
        <v>898</v>
      </c>
      <c r="N337" s="615" t="e">
        <f t="shared" si="69"/>
        <v>#N/A</v>
      </c>
      <c r="O337" s="615" t="e">
        <f t="shared" si="69"/>
        <v>#N/A</v>
      </c>
      <c r="P337" s="615" t="e">
        <f t="shared" si="69"/>
        <v>#N/A</v>
      </c>
      <c r="Q337" s="615" t="e">
        <f t="shared" si="69"/>
        <v>#N/A</v>
      </c>
      <c r="R337" s="615" t="e">
        <f t="shared" si="69"/>
        <v>#N/A</v>
      </c>
      <c r="S337" s="615" t="e">
        <f t="shared" si="69"/>
        <v>#N/A</v>
      </c>
    </row>
    <row r="338" spans="8:19">
      <c r="H338" s="602" t="s">
        <v>940</v>
      </c>
      <c r="L338" s="556" t="s">
        <v>1209</v>
      </c>
      <c r="M338" s="556" t="s">
        <v>898</v>
      </c>
      <c r="N338" s="615" t="e">
        <f t="shared" si="69"/>
        <v>#N/A</v>
      </c>
      <c r="O338" s="615" t="e">
        <f t="shared" si="69"/>
        <v>#N/A</v>
      </c>
      <c r="P338" s="615" t="e">
        <f t="shared" si="69"/>
        <v>#N/A</v>
      </c>
      <c r="Q338" s="615" t="e">
        <f t="shared" si="69"/>
        <v>#N/A</v>
      </c>
      <c r="R338" s="615" t="e">
        <f t="shared" si="69"/>
        <v>#N/A</v>
      </c>
      <c r="S338" s="615" t="e">
        <f t="shared" si="69"/>
        <v>#N/A</v>
      </c>
    </row>
    <row r="339" spans="8:19">
      <c r="H339" s="602" t="s">
        <v>940</v>
      </c>
      <c r="L339" s="556" t="s">
        <v>1210</v>
      </c>
      <c r="M339" s="556" t="s">
        <v>898</v>
      </c>
      <c r="N339" s="615" t="e">
        <f t="shared" si="69"/>
        <v>#N/A</v>
      </c>
      <c r="O339" s="615" t="e">
        <f t="shared" si="69"/>
        <v>#N/A</v>
      </c>
      <c r="P339" s="615" t="e">
        <f t="shared" si="69"/>
        <v>#N/A</v>
      </c>
      <c r="Q339" s="615" t="e">
        <f t="shared" si="69"/>
        <v>#N/A</v>
      </c>
      <c r="R339" s="615" t="e">
        <f t="shared" si="69"/>
        <v>#N/A</v>
      </c>
      <c r="S339" s="615" t="e">
        <f t="shared" si="69"/>
        <v>#N/A</v>
      </c>
    </row>
    <row r="340" spans="8:19">
      <c r="H340" s="602" t="s">
        <v>940</v>
      </c>
      <c r="L340" s="556" t="s">
        <v>1211</v>
      </c>
      <c r="M340" s="556" t="s">
        <v>898</v>
      </c>
      <c r="N340" s="615" t="e">
        <f t="shared" si="69"/>
        <v>#N/A</v>
      </c>
      <c r="O340" s="615" t="e">
        <f t="shared" si="69"/>
        <v>#N/A</v>
      </c>
      <c r="P340" s="615" t="e">
        <f t="shared" si="69"/>
        <v>#N/A</v>
      </c>
      <c r="Q340" s="615" t="e">
        <f t="shared" si="69"/>
        <v>#N/A</v>
      </c>
      <c r="R340" s="615" t="e">
        <f t="shared" si="69"/>
        <v>#N/A</v>
      </c>
      <c r="S340" s="615" t="e">
        <f t="shared" si="69"/>
        <v>#N/A</v>
      </c>
    </row>
    <row r="341" spans="8:19">
      <c r="H341" s="602" t="s">
        <v>940</v>
      </c>
      <c r="L341" s="556" t="s">
        <v>1212</v>
      </c>
      <c r="M341" s="556" t="s">
        <v>898</v>
      </c>
      <c r="N341" s="615" t="e">
        <f t="shared" si="69"/>
        <v>#N/A</v>
      </c>
      <c r="O341" s="615" t="e">
        <f t="shared" si="69"/>
        <v>#N/A</v>
      </c>
      <c r="P341" s="615" t="e">
        <f t="shared" si="69"/>
        <v>#N/A</v>
      </c>
      <c r="Q341" s="615" t="e">
        <f t="shared" si="69"/>
        <v>#N/A</v>
      </c>
      <c r="R341" s="615" t="e">
        <f t="shared" si="69"/>
        <v>#N/A</v>
      </c>
      <c r="S341" s="615" t="e">
        <f t="shared" si="69"/>
        <v>#N/A</v>
      </c>
    </row>
    <row r="342" spans="8:19">
      <c r="H342" s="602" t="s">
        <v>940</v>
      </c>
      <c r="L342" s="556" t="s">
        <v>1238</v>
      </c>
      <c r="M342" s="556" t="s">
        <v>898</v>
      </c>
      <c r="N342" s="615" t="e">
        <f t="shared" ref="N342:S343" si="70">N263</f>
        <v>#N/A</v>
      </c>
      <c r="O342" s="615" t="e">
        <f t="shared" si="70"/>
        <v>#N/A</v>
      </c>
      <c r="P342" s="615" t="e">
        <f t="shared" si="70"/>
        <v>#N/A</v>
      </c>
      <c r="Q342" s="615" t="e">
        <f t="shared" si="70"/>
        <v>#N/A</v>
      </c>
      <c r="R342" s="615" t="e">
        <f t="shared" si="70"/>
        <v>#N/A</v>
      </c>
      <c r="S342" s="615" t="e">
        <f t="shared" si="70"/>
        <v>#N/A</v>
      </c>
    </row>
    <row r="343" spans="8:19">
      <c r="H343" s="602" t="s">
        <v>940</v>
      </c>
      <c r="L343" s="556" t="s">
        <v>1239</v>
      </c>
      <c r="M343" s="556" t="s">
        <v>898</v>
      </c>
      <c r="N343" s="615" t="e">
        <f t="shared" si="70"/>
        <v>#N/A</v>
      </c>
      <c r="O343" s="615" t="e">
        <f t="shared" si="70"/>
        <v>#N/A</v>
      </c>
      <c r="P343" s="615" t="e">
        <f t="shared" si="70"/>
        <v>#N/A</v>
      </c>
      <c r="Q343" s="615" t="e">
        <f t="shared" si="70"/>
        <v>#N/A</v>
      </c>
      <c r="R343" s="615" t="e">
        <f t="shared" si="70"/>
        <v>#N/A</v>
      </c>
      <c r="S343" s="615" t="e">
        <f t="shared" si="70"/>
        <v>#N/A</v>
      </c>
    </row>
    <row r="344" spans="8:19">
      <c r="H344" s="602" t="s">
        <v>940</v>
      </c>
      <c r="L344" s="556" t="s">
        <v>1240</v>
      </c>
      <c r="M344" s="556" t="s">
        <v>898</v>
      </c>
      <c r="N344" s="615">
        <f t="shared" ref="N344:S344" si="71">N269</f>
        <v>0</v>
      </c>
      <c r="O344" s="615">
        <f t="shared" si="71"/>
        <v>0</v>
      </c>
      <c r="P344" s="615">
        <f t="shared" si="71"/>
        <v>0</v>
      </c>
      <c r="Q344" s="615">
        <f t="shared" si="71"/>
        <v>0</v>
      </c>
      <c r="R344" s="615">
        <f t="shared" si="71"/>
        <v>0</v>
      </c>
      <c r="S344" s="615">
        <f t="shared" si="71"/>
        <v>0</v>
      </c>
    </row>
    <row r="345" spans="8:19">
      <c r="H345" s="602" t="s">
        <v>940</v>
      </c>
      <c r="N345" s="615"/>
      <c r="O345" s="615"/>
      <c r="P345" s="615"/>
      <c r="Q345" s="615"/>
      <c r="R345" s="615"/>
      <c r="S345" s="615"/>
    </row>
    <row r="346" spans="8:19">
      <c r="H346" s="602" t="s">
        <v>940</v>
      </c>
      <c r="L346" s="609" t="s">
        <v>1213</v>
      </c>
    </row>
    <row r="347" spans="8:19">
      <c r="H347" s="602" t="s">
        <v>940</v>
      </c>
      <c r="L347" s="556" t="s">
        <v>254</v>
      </c>
      <c r="M347" s="556" t="str">
        <f>P308</f>
        <v>Therms</v>
      </c>
      <c r="N347" s="616">
        <f t="shared" ref="N347:S349" si="72">N288*$O$308</f>
        <v>2.7898416666666668</v>
      </c>
      <c r="O347" s="616">
        <f t="shared" si="72"/>
        <v>3.2821666666666665</v>
      </c>
      <c r="P347" s="616">
        <f t="shared" si="72"/>
        <v>4.7495833333333337</v>
      </c>
      <c r="Q347" s="616">
        <f t="shared" si="72"/>
        <v>6.2170000000000005</v>
      </c>
      <c r="R347" s="616">
        <f t="shared" si="72"/>
        <v>7.6844166666666665</v>
      </c>
      <c r="S347" s="616">
        <f t="shared" si="72"/>
        <v>9.1518333333333342</v>
      </c>
    </row>
    <row r="348" spans="8:19">
      <c r="H348" s="602" t="s">
        <v>940</v>
      </c>
      <c r="L348" s="556" t="s">
        <v>1214</v>
      </c>
      <c r="M348" s="556" t="str">
        <f>M347</f>
        <v>Therms</v>
      </c>
      <c r="N348" s="616" t="e">
        <f t="shared" si="72"/>
        <v>#N/A</v>
      </c>
      <c r="O348" s="616" t="e">
        <f t="shared" si="72"/>
        <v>#N/A</v>
      </c>
      <c r="P348" s="616" t="e">
        <f t="shared" si="72"/>
        <v>#N/A</v>
      </c>
      <c r="Q348" s="616" t="e">
        <f t="shared" si="72"/>
        <v>#N/A</v>
      </c>
      <c r="R348" s="616" t="e">
        <f t="shared" si="72"/>
        <v>#N/A</v>
      </c>
      <c r="S348" s="616" t="e">
        <f t="shared" si="72"/>
        <v>#N/A</v>
      </c>
    </row>
    <row r="349" spans="8:19">
      <c r="H349" s="602" t="s">
        <v>940</v>
      </c>
      <c r="L349" s="556" t="s">
        <v>1215</v>
      </c>
      <c r="M349" s="556" t="str">
        <f>M348</f>
        <v>Therms</v>
      </c>
      <c r="N349" s="616" t="e">
        <f t="shared" si="72"/>
        <v>#N/A</v>
      </c>
      <c r="O349" s="616" t="e">
        <f t="shared" si="72"/>
        <v>#N/A</v>
      </c>
      <c r="P349" s="616" t="e">
        <f t="shared" si="72"/>
        <v>#N/A</v>
      </c>
      <c r="Q349" s="616" t="e">
        <f t="shared" si="72"/>
        <v>#N/A</v>
      </c>
      <c r="R349" s="616" t="e">
        <f t="shared" si="72"/>
        <v>#N/A</v>
      </c>
      <c r="S349" s="616" t="e">
        <f t="shared" si="72"/>
        <v>#N/A</v>
      </c>
    </row>
    <row r="350" spans="8:19">
      <c r="H350" s="602" t="s">
        <v>940</v>
      </c>
      <c r="L350" s="556" t="s">
        <v>1241</v>
      </c>
      <c r="M350" s="556" t="str">
        <f>M349</f>
        <v>Therms</v>
      </c>
      <c r="N350" s="616" t="e">
        <f t="shared" ref="N350:S350" si="73">N262*$O$308</f>
        <v>#N/A</v>
      </c>
      <c r="O350" s="616" t="e">
        <f t="shared" si="73"/>
        <v>#N/A</v>
      </c>
      <c r="P350" s="616" t="e">
        <f t="shared" si="73"/>
        <v>#N/A</v>
      </c>
      <c r="Q350" s="616" t="e">
        <f t="shared" si="73"/>
        <v>#N/A</v>
      </c>
      <c r="R350" s="616" t="e">
        <f t="shared" si="73"/>
        <v>#N/A</v>
      </c>
      <c r="S350" s="616" t="e">
        <f t="shared" si="73"/>
        <v>#N/A</v>
      </c>
    </row>
    <row r="351" spans="8:19">
      <c r="H351" s="602" t="s">
        <v>940</v>
      </c>
      <c r="N351" s="616"/>
      <c r="O351" s="616"/>
      <c r="P351" s="616"/>
      <c r="Q351" s="616"/>
      <c r="R351" s="616"/>
      <c r="S351" s="616"/>
    </row>
    <row r="352" spans="8:19">
      <c r="H352" s="602" t="s">
        <v>940</v>
      </c>
      <c r="L352" s="609" t="s">
        <v>1242</v>
      </c>
      <c r="N352" s="616"/>
      <c r="O352" s="616"/>
      <c r="P352" s="616"/>
      <c r="Q352" s="616"/>
      <c r="R352" s="616"/>
      <c r="S352" s="616"/>
    </row>
    <row r="353" spans="8:20">
      <c r="H353" s="602" t="s">
        <v>940</v>
      </c>
      <c r="L353" s="556" t="s">
        <v>254</v>
      </c>
      <c r="M353" s="556" t="s">
        <v>922</v>
      </c>
      <c r="N353" s="616">
        <f t="shared" ref="N353:S355" si="74">N288*$O$314</f>
        <v>12.874805790145677</v>
      </c>
      <c r="O353" s="616">
        <f t="shared" si="74"/>
        <v>15.146830341347853</v>
      </c>
      <c r="P353" s="616">
        <f t="shared" si="74"/>
        <v>21.918793360715</v>
      </c>
      <c r="Q353" s="616">
        <f t="shared" si="74"/>
        <v>28.690756380082146</v>
      </c>
      <c r="R353" s="616">
        <f t="shared" si="74"/>
        <v>35.462719399449284</v>
      </c>
      <c r="S353" s="616">
        <f t="shared" si="74"/>
        <v>42.234682418816433</v>
      </c>
    </row>
    <row r="354" spans="8:20">
      <c r="H354" s="602" t="s">
        <v>940</v>
      </c>
      <c r="L354" s="556" t="s">
        <v>1214</v>
      </c>
      <c r="M354" s="556" t="s">
        <v>922</v>
      </c>
      <c r="N354" s="616" t="e">
        <f t="shared" si="74"/>
        <v>#N/A</v>
      </c>
      <c r="O354" s="616" t="e">
        <f t="shared" si="74"/>
        <v>#N/A</v>
      </c>
      <c r="P354" s="616" t="e">
        <f t="shared" si="74"/>
        <v>#N/A</v>
      </c>
      <c r="Q354" s="616" t="e">
        <f t="shared" si="74"/>
        <v>#N/A</v>
      </c>
      <c r="R354" s="616" t="e">
        <f t="shared" si="74"/>
        <v>#N/A</v>
      </c>
      <c r="S354" s="616" t="e">
        <f t="shared" si="74"/>
        <v>#N/A</v>
      </c>
    </row>
    <row r="355" spans="8:20">
      <c r="H355" s="602" t="s">
        <v>940</v>
      </c>
      <c r="L355" s="556" t="s">
        <v>1215</v>
      </c>
      <c r="M355" s="556" t="s">
        <v>922</v>
      </c>
      <c r="N355" s="616" t="e">
        <f t="shared" si="74"/>
        <v>#N/A</v>
      </c>
      <c r="O355" s="616" t="e">
        <f t="shared" si="74"/>
        <v>#N/A</v>
      </c>
      <c r="P355" s="616" t="e">
        <f t="shared" si="74"/>
        <v>#N/A</v>
      </c>
      <c r="Q355" s="616" t="e">
        <f t="shared" si="74"/>
        <v>#N/A</v>
      </c>
      <c r="R355" s="616" t="e">
        <f t="shared" si="74"/>
        <v>#N/A</v>
      </c>
      <c r="S355" s="616" t="e">
        <f t="shared" si="74"/>
        <v>#N/A</v>
      </c>
    </row>
    <row r="356" spans="8:20">
      <c r="H356" s="602" t="s">
        <v>940</v>
      </c>
      <c r="L356" s="556" t="s">
        <v>1241</v>
      </c>
      <c r="M356" s="556" t="s">
        <v>922</v>
      </c>
      <c r="N356" s="616" t="e">
        <f t="shared" ref="N356:S356" si="75">N262*$O$314</f>
        <v>#N/A</v>
      </c>
      <c r="O356" s="616" t="e">
        <f t="shared" si="75"/>
        <v>#N/A</v>
      </c>
      <c r="P356" s="616" t="e">
        <f t="shared" si="75"/>
        <v>#N/A</v>
      </c>
      <c r="Q356" s="616" t="e">
        <f t="shared" si="75"/>
        <v>#N/A</v>
      </c>
      <c r="R356" s="616" t="e">
        <f t="shared" si="75"/>
        <v>#N/A</v>
      </c>
      <c r="S356" s="616" t="e">
        <f t="shared" si="75"/>
        <v>#N/A</v>
      </c>
    </row>
    <row r="357" spans="8:20">
      <c r="H357" s="602" t="s">
        <v>940</v>
      </c>
      <c r="N357" s="616"/>
      <c r="O357" s="616"/>
      <c r="P357" s="616"/>
      <c r="Q357" s="616"/>
      <c r="R357" s="616"/>
      <c r="S357" s="616"/>
    </row>
    <row r="358" spans="8:20">
      <c r="H358" s="602" t="s">
        <v>940</v>
      </c>
      <c r="L358" s="609" t="s">
        <v>1216</v>
      </c>
    </row>
    <row r="359" spans="8:20">
      <c r="H359" s="602" t="s">
        <v>940</v>
      </c>
      <c r="L359" s="556" t="s">
        <v>1038</v>
      </c>
      <c r="M359" s="556" t="s">
        <v>1204</v>
      </c>
      <c r="N359" s="615" t="e">
        <f t="shared" ref="N359:S360" si="76">N293</f>
        <v>#N/A</v>
      </c>
      <c r="O359" s="615" t="e">
        <f t="shared" si="76"/>
        <v>#N/A</v>
      </c>
      <c r="P359" s="615" t="e">
        <f t="shared" si="76"/>
        <v>#N/A</v>
      </c>
      <c r="Q359" s="615" t="e">
        <f t="shared" si="76"/>
        <v>#N/A</v>
      </c>
      <c r="R359" s="615" t="e">
        <f t="shared" si="76"/>
        <v>#N/A</v>
      </c>
      <c r="S359" s="615" t="e">
        <f t="shared" si="76"/>
        <v>#N/A</v>
      </c>
      <c r="T359" s="706" t="s">
        <v>1243</v>
      </c>
    </row>
    <row r="360" spans="8:20">
      <c r="H360" s="602" t="s">
        <v>940</v>
      </c>
      <c r="L360" s="556" t="s">
        <v>1217</v>
      </c>
      <c r="M360" s="556" t="s">
        <v>1204</v>
      </c>
      <c r="N360" s="615" t="e">
        <f t="shared" si="76"/>
        <v>#N/A</v>
      </c>
      <c r="O360" s="615" t="e">
        <f t="shared" si="76"/>
        <v>#N/A</v>
      </c>
      <c r="P360" s="615" t="e">
        <f t="shared" si="76"/>
        <v>#N/A</v>
      </c>
      <c r="Q360" s="615" t="e">
        <f t="shared" si="76"/>
        <v>#N/A</v>
      </c>
      <c r="R360" s="615" t="e">
        <f t="shared" si="76"/>
        <v>#N/A</v>
      </c>
      <c r="S360" s="615" t="e">
        <f t="shared" si="76"/>
        <v>#N/A</v>
      </c>
      <c r="T360" s="706" t="s">
        <v>1243</v>
      </c>
    </row>
    <row r="361" spans="8:20">
      <c r="H361" s="602" t="s">
        <v>940</v>
      </c>
      <c r="L361" s="556" t="s">
        <v>1241</v>
      </c>
      <c r="M361" s="556" t="s">
        <v>1204</v>
      </c>
      <c r="N361" s="615" t="e">
        <f t="shared" ref="N361:S361" si="77">N265</f>
        <v>#N/A</v>
      </c>
      <c r="O361" s="615" t="e">
        <f t="shared" si="77"/>
        <v>#N/A</v>
      </c>
      <c r="P361" s="615" t="e">
        <f t="shared" si="77"/>
        <v>#N/A</v>
      </c>
      <c r="Q361" s="615" t="e">
        <f t="shared" si="77"/>
        <v>#N/A</v>
      </c>
      <c r="R361" s="615" t="e">
        <f t="shared" si="77"/>
        <v>#N/A</v>
      </c>
      <c r="S361" s="615" t="e">
        <f t="shared" si="77"/>
        <v>#N/A</v>
      </c>
      <c r="T361" s="706" t="s">
        <v>1243</v>
      </c>
    </row>
    <row r="362" spans="8:20">
      <c r="H362" s="602" t="s">
        <v>940</v>
      </c>
    </row>
    <row r="363" spans="8:20">
      <c r="H363" s="602" t="s">
        <v>940</v>
      </c>
      <c r="L363" s="609" t="s">
        <v>1047</v>
      </c>
      <c r="M363" s="556" t="str">
        <f>P328</f>
        <v>Cubic Feet</v>
      </c>
      <c r="N363" s="615" t="e">
        <f t="shared" ref="N363:S363" si="78">N296*$O$328</f>
        <v>#N/A</v>
      </c>
      <c r="O363" s="615" t="e">
        <f t="shared" si="78"/>
        <v>#N/A</v>
      </c>
      <c r="P363" s="615" t="e">
        <f t="shared" si="78"/>
        <v>#N/A</v>
      </c>
      <c r="Q363" s="615" t="e">
        <f t="shared" si="78"/>
        <v>#N/A</v>
      </c>
      <c r="R363" s="615" t="e">
        <f t="shared" si="78"/>
        <v>#N/A</v>
      </c>
      <c r="S363" s="615" t="e">
        <f t="shared" si="78"/>
        <v>#N/A</v>
      </c>
    </row>
    <row r="364" spans="8:20">
      <c r="H364" s="602" t="s">
        <v>940</v>
      </c>
      <c r="L364" s="609" t="s">
        <v>1049</v>
      </c>
      <c r="M364" s="556" t="str">
        <f>P330</f>
        <v>Cubic Feet</v>
      </c>
      <c r="N364" s="615" t="e">
        <f t="shared" ref="N364:S364" si="79">N297*$O$330</f>
        <v>#N/A</v>
      </c>
      <c r="O364" s="615" t="e">
        <f t="shared" si="79"/>
        <v>#N/A</v>
      </c>
      <c r="P364" s="615" t="e">
        <f t="shared" si="79"/>
        <v>#N/A</v>
      </c>
      <c r="Q364" s="615" t="e">
        <f t="shared" si="79"/>
        <v>#N/A</v>
      </c>
      <c r="R364" s="615" t="e">
        <f t="shared" si="79"/>
        <v>#N/A</v>
      </c>
      <c r="S364" s="615" t="e">
        <f t="shared" si="79"/>
        <v>#N/A</v>
      </c>
    </row>
    <row r="365" spans="8:20">
      <c r="H365" s="602" t="s">
        <v>940</v>
      </c>
    </row>
    <row r="366" spans="8:20" ht="18">
      <c r="H366" s="602" t="s">
        <v>940</v>
      </c>
      <c r="L366" s="652" t="s">
        <v>1244</v>
      </c>
      <c r="M366" s="551"/>
      <c r="N366" s="551"/>
      <c r="O366" s="551"/>
      <c r="P366" s="551"/>
      <c r="Q366" s="551"/>
      <c r="R366" s="551"/>
      <c r="S366" s="551"/>
    </row>
    <row r="367" spans="8:20" ht="18">
      <c r="H367" s="602" t="s">
        <v>940</v>
      </c>
      <c r="L367" s="688"/>
      <c r="N367" s="556" t="s">
        <v>884</v>
      </c>
    </row>
    <row r="368" spans="8:20">
      <c r="H368" s="602" t="s">
        <v>940</v>
      </c>
      <c r="L368" s="556" t="s">
        <v>1245</v>
      </c>
      <c r="M368" s="556" t="b">
        <f>IF(H8=2,TRUE,FALSE)</f>
        <v>0</v>
      </c>
      <c r="N368" s="556" t="s">
        <v>911</v>
      </c>
    </row>
    <row r="369" spans="8:20" ht="18">
      <c r="H369" s="602" t="s">
        <v>940</v>
      </c>
      <c r="L369" s="688"/>
    </row>
    <row r="370" spans="8:20">
      <c r="H370" s="602" t="s">
        <v>940</v>
      </c>
      <c r="L370" s="609" t="s">
        <v>1246</v>
      </c>
      <c r="M370" s="609" t="s">
        <v>359</v>
      </c>
      <c r="N370" s="743" t="s">
        <v>1046</v>
      </c>
      <c r="O370" s="743" t="s">
        <v>1048</v>
      </c>
      <c r="P370" s="743" t="s">
        <v>1050</v>
      </c>
      <c r="Q370" s="704" t="s">
        <v>1052</v>
      </c>
      <c r="R370" s="704" t="s">
        <v>1047</v>
      </c>
      <c r="S370" s="704" t="s">
        <v>1049</v>
      </c>
    </row>
    <row r="371" spans="8:20">
      <c r="H371" s="602" t="s">
        <v>940</v>
      </c>
      <c r="N371" s="615"/>
      <c r="O371" s="615"/>
      <c r="P371" s="615"/>
    </row>
    <row r="372" spans="8:20">
      <c r="H372" s="602" t="s">
        <v>940</v>
      </c>
      <c r="L372" s="556" t="s">
        <v>1247</v>
      </c>
      <c r="M372" s="556" t="s">
        <v>1248</v>
      </c>
      <c r="N372" s="738">
        <f>IF(M368,Tariffs!F65,Tariffs!F18)</f>
        <v>0</v>
      </c>
      <c r="O372" s="738">
        <f>Tariffs!F110</f>
        <v>0</v>
      </c>
      <c r="P372" s="738">
        <f>Tariffs!F144</f>
        <v>0</v>
      </c>
      <c r="Q372" s="738">
        <f>Tariffs!F166</f>
        <v>0</v>
      </c>
      <c r="R372" s="738">
        <f>Tariffs!F190</f>
        <v>0</v>
      </c>
      <c r="S372" s="738">
        <f>Tariffs!F216</f>
        <v>0</v>
      </c>
    </row>
    <row r="373" spans="8:20">
      <c r="H373" s="602" t="s">
        <v>940</v>
      </c>
      <c r="L373" s="556" t="s">
        <v>908</v>
      </c>
      <c r="M373" s="556" t="s">
        <v>1249</v>
      </c>
      <c r="N373" s="738">
        <f>IF(M368,Tariffs!F89,Tariffs!F42)</f>
        <v>0</v>
      </c>
      <c r="O373" s="738">
        <f>Tariffs!F134</f>
        <v>0</v>
      </c>
      <c r="P373" s="738">
        <f>Tariffs!F156</f>
        <v>0</v>
      </c>
      <c r="Q373" s="738">
        <f>Tariffs!F178</f>
        <v>0</v>
      </c>
      <c r="R373" s="738">
        <f>Tariffs!F202</f>
        <v>0</v>
      </c>
      <c r="S373" s="738">
        <f>Tariffs!F228</f>
        <v>0</v>
      </c>
    </row>
    <row r="374" spans="8:20" ht="15">
      <c r="H374" s="602" t="s">
        <v>940</v>
      </c>
      <c r="L374" s="556" t="s">
        <v>909</v>
      </c>
      <c r="M374" s="556" t="s">
        <v>910</v>
      </c>
      <c r="N374" s="744">
        <f>IF(M368,Tariffs!F91,Tariffs!F44)</f>
        <v>0</v>
      </c>
      <c r="O374" s="745">
        <f>Tariffs!F136</f>
        <v>0</v>
      </c>
      <c r="P374" s="745">
        <f>Tariffs!F158</f>
        <v>0</v>
      </c>
      <c r="Q374" s="745">
        <f>Tariffs!F180</f>
        <v>0</v>
      </c>
      <c r="R374" s="745">
        <f>Tariffs!F204</f>
        <v>0</v>
      </c>
      <c r="S374" s="745">
        <f>Tariffs!F230</f>
        <v>0</v>
      </c>
    </row>
    <row r="375" spans="8:20" ht="15">
      <c r="H375" s="602" t="s">
        <v>940</v>
      </c>
      <c r="L375" s="556" t="s">
        <v>888</v>
      </c>
      <c r="N375" s="746">
        <f>IF(M368,Tariffs!F60,Tariffs!F13)</f>
        <v>1</v>
      </c>
      <c r="O375" s="746">
        <f>Tariffs!F105</f>
        <v>1</v>
      </c>
      <c r="P375" s="614"/>
      <c r="Q375" s="614"/>
      <c r="R375" s="614"/>
      <c r="S375" s="614"/>
    </row>
    <row r="376" spans="8:20" ht="15">
      <c r="H376" s="602" t="s">
        <v>940</v>
      </c>
      <c r="L376" s="556" t="s">
        <v>890</v>
      </c>
      <c r="N376" s="746">
        <f>IF(M368,Tariffs!F63,Tariffs!F16)</f>
        <v>12</v>
      </c>
      <c r="O376" s="746">
        <f>Tariffs!F108</f>
        <v>12</v>
      </c>
      <c r="P376" s="614"/>
      <c r="Q376" s="614"/>
      <c r="R376" s="614"/>
      <c r="S376" s="614"/>
    </row>
    <row r="377" spans="8:20" ht="15">
      <c r="H377" s="602" t="s">
        <v>940</v>
      </c>
      <c r="L377" s="556" t="s">
        <v>1250</v>
      </c>
      <c r="N377" s="746">
        <f>N376-N375+1</f>
        <v>12</v>
      </c>
      <c r="O377" s="746">
        <f>O376-O375+1</f>
        <v>12</v>
      </c>
      <c r="P377" s="614"/>
      <c r="Q377" s="614"/>
      <c r="R377" s="614"/>
      <c r="S377" s="614"/>
    </row>
    <row r="378" spans="8:20" ht="15">
      <c r="H378" s="602" t="s">
        <v>940</v>
      </c>
      <c r="L378" s="556" t="s">
        <v>1251</v>
      </c>
      <c r="N378" s="746">
        <f>12-N377</f>
        <v>0</v>
      </c>
      <c r="O378" s="746">
        <f>12-O377</f>
        <v>0</v>
      </c>
      <c r="P378" s="614"/>
      <c r="Q378" s="614"/>
      <c r="R378" s="614"/>
      <c r="S378" s="614"/>
    </row>
    <row r="379" spans="8:20" ht="15">
      <c r="H379" s="602" t="s">
        <v>940</v>
      </c>
      <c r="N379" s="746"/>
      <c r="O379" s="746"/>
      <c r="P379" s="614"/>
      <c r="Q379" s="614"/>
      <c r="R379" s="614"/>
      <c r="S379" s="614"/>
    </row>
    <row r="380" spans="8:20">
      <c r="H380" s="602" t="s">
        <v>940</v>
      </c>
      <c r="L380" s="609" t="s">
        <v>1252</v>
      </c>
      <c r="N380" s="615"/>
      <c r="O380" s="615"/>
      <c r="P380" s="615"/>
      <c r="Q380" s="615"/>
      <c r="R380" s="615"/>
      <c r="S380" s="615"/>
    </row>
    <row r="381" spans="8:20">
      <c r="H381" s="602" t="s">
        <v>940</v>
      </c>
      <c r="L381" s="556" t="s">
        <v>1253</v>
      </c>
      <c r="M381" s="615" t="s">
        <v>1254</v>
      </c>
      <c r="N381" s="614">
        <f>IF($M$368,Tariffs!F68,Tariffs!F21)</f>
        <v>0</v>
      </c>
      <c r="O381" s="614">
        <f>Tariffs!F113</f>
        <v>0</v>
      </c>
      <c r="P381" s="614">
        <f>Tariffs!F146</f>
        <v>0</v>
      </c>
      <c r="Q381" s="614">
        <f>Tariffs!F168</f>
        <v>0</v>
      </c>
      <c r="R381" s="614">
        <f>Tariffs!F192</f>
        <v>0</v>
      </c>
      <c r="S381" s="614">
        <f>Tariffs!F218</f>
        <v>0</v>
      </c>
      <c r="T381" s="618"/>
    </row>
    <row r="382" spans="8:20">
      <c r="H382" s="602" t="s">
        <v>940</v>
      </c>
      <c r="L382" s="556" t="s">
        <v>1255</v>
      </c>
      <c r="M382" s="615" t="s">
        <v>1254</v>
      </c>
      <c r="N382" s="614">
        <f>IF($M$368,Tariffs!F69,Tariffs!F22)</f>
        <v>0</v>
      </c>
      <c r="O382" s="614">
        <f>Tariffs!F114</f>
        <v>0</v>
      </c>
      <c r="P382" s="614">
        <f>Tariffs!F147</f>
        <v>0</v>
      </c>
      <c r="Q382" s="614">
        <f>Tariffs!F169</f>
        <v>0</v>
      </c>
      <c r="R382" s="614">
        <f>Tariffs!F193</f>
        <v>0</v>
      </c>
      <c r="S382" s="614">
        <f>Tariffs!F219</f>
        <v>0</v>
      </c>
      <c r="T382" s="618"/>
    </row>
    <row r="383" spans="8:20">
      <c r="H383" s="602" t="s">
        <v>940</v>
      </c>
      <c r="L383" s="556" t="s">
        <v>1256</v>
      </c>
      <c r="M383" s="615" t="s">
        <v>1254</v>
      </c>
      <c r="N383" s="614">
        <f>IF($M$368,Tariffs!F70,Tariffs!F23)</f>
        <v>0</v>
      </c>
      <c r="O383" s="614">
        <f>Tariffs!F115</f>
        <v>0</v>
      </c>
      <c r="P383" s="614">
        <f>Tariffs!F148</f>
        <v>0</v>
      </c>
      <c r="Q383" s="614">
        <f>Tariffs!F170</f>
        <v>0</v>
      </c>
      <c r="R383" s="614">
        <f>Tariffs!F194</f>
        <v>0</v>
      </c>
      <c r="S383" s="614">
        <f>Tariffs!F220</f>
        <v>0</v>
      </c>
      <c r="T383" s="618"/>
    </row>
    <row r="384" spans="8:20">
      <c r="H384" s="602" t="s">
        <v>940</v>
      </c>
      <c r="L384" s="556" t="s">
        <v>1257</v>
      </c>
      <c r="M384" s="615" t="s">
        <v>1254</v>
      </c>
      <c r="N384" s="614">
        <f>IF($M$368,Tariffs!F71,Tariffs!F24)</f>
        <v>0</v>
      </c>
      <c r="O384" s="614">
        <f>Tariffs!F116</f>
        <v>0</v>
      </c>
      <c r="P384" s="614">
        <f>Tariffs!F149</f>
        <v>0</v>
      </c>
      <c r="Q384" s="614">
        <f>Tariffs!F171</f>
        <v>0</v>
      </c>
      <c r="R384" s="614">
        <f>Tariffs!F195</f>
        <v>0</v>
      </c>
      <c r="S384" s="614">
        <f>Tariffs!F221</f>
        <v>0</v>
      </c>
      <c r="T384" s="618"/>
    </row>
    <row r="385" spans="8:22">
      <c r="H385" s="602" t="s">
        <v>940</v>
      </c>
      <c r="L385" s="609"/>
      <c r="N385" s="614"/>
      <c r="O385" s="614"/>
      <c r="P385" s="614"/>
      <c r="Q385" s="614"/>
      <c r="R385" s="614"/>
      <c r="S385" s="614"/>
      <c r="T385" s="618"/>
    </row>
    <row r="386" spans="8:22">
      <c r="H386" s="602" t="s">
        <v>940</v>
      </c>
      <c r="L386" s="556" t="s">
        <v>897</v>
      </c>
      <c r="M386" s="615" t="s">
        <v>1254</v>
      </c>
      <c r="N386" s="614">
        <f t="shared" ref="N386:S389" si="80">IF(AND(ISNUMBER(N381),N381&lt;&gt;0),N381,9999999)</f>
        <v>9999999</v>
      </c>
      <c r="O386" s="614">
        <f t="shared" si="80"/>
        <v>9999999</v>
      </c>
      <c r="P386" s="614">
        <f t="shared" si="80"/>
        <v>9999999</v>
      </c>
      <c r="Q386" s="614">
        <f t="shared" si="80"/>
        <v>9999999</v>
      </c>
      <c r="R386" s="614">
        <f t="shared" si="80"/>
        <v>9999999</v>
      </c>
      <c r="S386" s="614">
        <f t="shared" si="80"/>
        <v>9999999</v>
      </c>
      <c r="T386" s="618"/>
    </row>
    <row r="387" spans="8:22">
      <c r="H387" s="602" t="s">
        <v>940</v>
      </c>
      <c r="L387" s="556" t="s">
        <v>899</v>
      </c>
      <c r="M387" s="615" t="s">
        <v>1254</v>
      </c>
      <c r="N387" s="614">
        <f t="shared" si="80"/>
        <v>9999999</v>
      </c>
      <c r="O387" s="614">
        <f t="shared" si="80"/>
        <v>9999999</v>
      </c>
      <c r="P387" s="614">
        <f t="shared" si="80"/>
        <v>9999999</v>
      </c>
      <c r="Q387" s="614">
        <f t="shared" si="80"/>
        <v>9999999</v>
      </c>
      <c r="R387" s="614">
        <f t="shared" si="80"/>
        <v>9999999</v>
      </c>
      <c r="S387" s="614">
        <f t="shared" si="80"/>
        <v>9999999</v>
      </c>
      <c r="T387" s="618"/>
    </row>
    <row r="388" spans="8:22">
      <c r="H388" s="602" t="s">
        <v>940</v>
      </c>
      <c r="L388" s="556" t="s">
        <v>900</v>
      </c>
      <c r="M388" s="615" t="s">
        <v>1254</v>
      </c>
      <c r="N388" s="614">
        <f t="shared" si="80"/>
        <v>9999999</v>
      </c>
      <c r="O388" s="614">
        <f t="shared" si="80"/>
        <v>9999999</v>
      </c>
      <c r="P388" s="614">
        <f t="shared" si="80"/>
        <v>9999999</v>
      </c>
      <c r="Q388" s="614">
        <f t="shared" si="80"/>
        <v>9999999</v>
      </c>
      <c r="R388" s="614">
        <f t="shared" si="80"/>
        <v>9999999</v>
      </c>
      <c r="S388" s="614">
        <f t="shared" si="80"/>
        <v>9999999</v>
      </c>
      <c r="T388" s="618"/>
    </row>
    <row r="389" spans="8:22">
      <c r="H389" s="602" t="s">
        <v>940</v>
      </c>
      <c r="L389" s="556" t="s">
        <v>901</v>
      </c>
      <c r="M389" s="615" t="s">
        <v>1254</v>
      </c>
      <c r="N389" s="614">
        <f t="shared" si="80"/>
        <v>9999999</v>
      </c>
      <c r="O389" s="614">
        <f t="shared" si="80"/>
        <v>9999999</v>
      </c>
      <c r="P389" s="614">
        <f t="shared" si="80"/>
        <v>9999999</v>
      </c>
      <c r="Q389" s="614">
        <f t="shared" si="80"/>
        <v>9999999</v>
      </c>
      <c r="R389" s="614">
        <f t="shared" si="80"/>
        <v>9999999</v>
      </c>
      <c r="S389" s="614">
        <f t="shared" si="80"/>
        <v>9999999</v>
      </c>
      <c r="T389" s="618"/>
    </row>
    <row r="390" spans="8:22">
      <c r="H390" s="602" t="s">
        <v>940</v>
      </c>
      <c r="N390" s="614"/>
      <c r="O390" s="614"/>
      <c r="P390" s="614"/>
      <c r="Q390" s="614"/>
      <c r="R390" s="614"/>
      <c r="S390" s="614"/>
      <c r="T390" s="618"/>
    </row>
    <row r="391" spans="8:22">
      <c r="H391" s="602" t="s">
        <v>940</v>
      </c>
      <c r="L391" s="556" t="s">
        <v>902</v>
      </c>
      <c r="M391" s="615" t="s">
        <v>1249</v>
      </c>
      <c r="N391" s="747">
        <f>IF($M$368,Tariffs!F73,Tariffs!F26)</f>
        <v>0</v>
      </c>
      <c r="O391" s="747">
        <f>Tariffs!F118</f>
        <v>0</v>
      </c>
      <c r="P391" s="747">
        <f>Tariffs!F151</f>
        <v>0</v>
      </c>
      <c r="Q391" s="747">
        <f>Tariffs!F173</f>
        <v>0</v>
      </c>
      <c r="R391" s="747">
        <f>Tariffs!F197</f>
        <v>0</v>
      </c>
      <c r="S391" s="747">
        <f>Tariffs!F223</f>
        <v>0</v>
      </c>
      <c r="T391" s="618"/>
    </row>
    <row r="392" spans="8:22">
      <c r="H392" s="602" t="s">
        <v>940</v>
      </c>
      <c r="L392" s="556" t="s">
        <v>904</v>
      </c>
      <c r="M392" s="615" t="s">
        <v>1249</v>
      </c>
      <c r="N392" s="747">
        <f>IF($M$368,Tariffs!F74,Tariffs!F27)</f>
        <v>0</v>
      </c>
      <c r="O392" s="747">
        <f>Tariffs!F119</f>
        <v>0</v>
      </c>
      <c r="P392" s="747">
        <f>Tariffs!F152</f>
        <v>0</v>
      </c>
      <c r="Q392" s="747">
        <f>Tariffs!F174</f>
        <v>0</v>
      </c>
      <c r="R392" s="747">
        <f>Tariffs!F198</f>
        <v>0</v>
      </c>
      <c r="S392" s="747">
        <f>Tariffs!F224</f>
        <v>0</v>
      </c>
      <c r="T392" s="618"/>
    </row>
    <row r="393" spans="8:22">
      <c r="H393" s="602" t="s">
        <v>940</v>
      </c>
      <c r="L393" s="556" t="s">
        <v>905</v>
      </c>
      <c r="M393" s="615" t="s">
        <v>1249</v>
      </c>
      <c r="N393" s="747">
        <f>IF($M$368,Tariffs!F75,Tariffs!F28)</f>
        <v>0</v>
      </c>
      <c r="O393" s="747">
        <f>Tariffs!F120</f>
        <v>0</v>
      </c>
      <c r="P393" s="747">
        <f>Tariffs!F153</f>
        <v>0</v>
      </c>
      <c r="Q393" s="747">
        <f>Tariffs!F175</f>
        <v>0</v>
      </c>
      <c r="R393" s="747">
        <f>Tariffs!F199</f>
        <v>0</v>
      </c>
      <c r="S393" s="747">
        <f>Tariffs!F225</f>
        <v>0</v>
      </c>
      <c r="T393" s="618"/>
    </row>
    <row r="394" spans="8:22">
      <c r="H394" s="602" t="s">
        <v>940</v>
      </c>
      <c r="L394" s="556" t="s">
        <v>906</v>
      </c>
      <c r="M394" s="615" t="s">
        <v>1249</v>
      </c>
      <c r="N394" s="747">
        <f>IF($M$368,Tariffs!F76,Tariffs!F29)</f>
        <v>0</v>
      </c>
      <c r="O394" s="747">
        <f>Tariffs!F121</f>
        <v>0</v>
      </c>
      <c r="P394" s="747">
        <f>Tariffs!F154</f>
        <v>0</v>
      </c>
      <c r="Q394" s="747">
        <f>Tariffs!F176</f>
        <v>0</v>
      </c>
      <c r="R394" s="747">
        <f>Tariffs!F200</f>
        <v>0</v>
      </c>
      <c r="S394" s="747">
        <f>Tariffs!F226</f>
        <v>0</v>
      </c>
      <c r="T394" s="618"/>
    </row>
    <row r="395" spans="8:22">
      <c r="H395" s="602" t="s">
        <v>940</v>
      </c>
      <c r="N395" s="614"/>
      <c r="O395" s="614"/>
      <c r="P395" s="614"/>
      <c r="Q395" s="618"/>
      <c r="R395" s="618"/>
      <c r="S395" s="618"/>
      <c r="T395" s="618"/>
    </row>
    <row r="396" spans="8:22">
      <c r="H396" s="602" t="s">
        <v>940</v>
      </c>
      <c r="L396" s="609" t="s">
        <v>907</v>
      </c>
      <c r="M396" s="615"/>
      <c r="N396" s="614"/>
      <c r="O396" s="614"/>
      <c r="P396" s="614"/>
      <c r="Q396" s="614"/>
      <c r="R396" s="614"/>
      <c r="S396" s="614"/>
      <c r="T396" s="618"/>
      <c r="V396" s="615"/>
    </row>
    <row r="397" spans="8:22">
      <c r="H397" s="602" t="s">
        <v>940</v>
      </c>
      <c r="L397" s="556" t="s">
        <v>1253</v>
      </c>
      <c r="M397" s="615" t="s">
        <v>1254</v>
      </c>
      <c r="N397" s="614">
        <f>IF($M$368,Tariffs!F79,Tariffs!F32)</f>
        <v>0</v>
      </c>
      <c r="O397" s="614">
        <f>Tariffs!F124</f>
        <v>0</v>
      </c>
      <c r="P397" s="614"/>
      <c r="Q397" s="614"/>
      <c r="R397" s="614"/>
      <c r="S397" s="614"/>
      <c r="T397" s="618"/>
      <c r="V397" s="615"/>
    </row>
    <row r="398" spans="8:22">
      <c r="H398" s="602" t="s">
        <v>940</v>
      </c>
      <c r="L398" s="556" t="s">
        <v>1255</v>
      </c>
      <c r="M398" s="615" t="s">
        <v>1254</v>
      </c>
      <c r="N398" s="614">
        <f>IF($M$368,Tariffs!F80,Tariffs!F33)</f>
        <v>0</v>
      </c>
      <c r="O398" s="614">
        <f>Tariffs!F125</f>
        <v>0</v>
      </c>
      <c r="P398" s="614"/>
      <c r="Q398" s="614"/>
      <c r="R398" s="614"/>
      <c r="S398" s="614"/>
      <c r="T398" s="618"/>
      <c r="V398" s="615"/>
    </row>
    <row r="399" spans="8:22">
      <c r="H399" s="602" t="s">
        <v>940</v>
      </c>
      <c r="L399" s="556" t="s">
        <v>1256</v>
      </c>
      <c r="M399" s="615" t="s">
        <v>1254</v>
      </c>
      <c r="N399" s="614">
        <f>IF($M$368,Tariffs!F81,Tariffs!F34)</f>
        <v>0</v>
      </c>
      <c r="O399" s="614">
        <f>Tariffs!F126</f>
        <v>0</v>
      </c>
      <c r="P399" s="614"/>
      <c r="Q399" s="614"/>
      <c r="R399" s="614"/>
      <c r="S399" s="614"/>
      <c r="T399" s="618"/>
      <c r="V399" s="615"/>
    </row>
    <row r="400" spans="8:22">
      <c r="H400" s="602" t="s">
        <v>940</v>
      </c>
      <c r="L400" s="556" t="s">
        <v>1257</v>
      </c>
      <c r="M400" s="615" t="s">
        <v>1254</v>
      </c>
      <c r="N400" s="614">
        <f>IF($M$368,Tariffs!F82,Tariffs!F35)</f>
        <v>0</v>
      </c>
      <c r="O400" s="614">
        <f>Tariffs!F127</f>
        <v>0</v>
      </c>
      <c r="P400" s="614"/>
      <c r="Q400" s="614"/>
      <c r="R400" s="614"/>
      <c r="S400" s="614"/>
      <c r="T400" s="618"/>
      <c r="V400" s="615"/>
    </row>
    <row r="401" spans="8:25">
      <c r="H401" s="602" t="s">
        <v>940</v>
      </c>
      <c r="L401" s="609"/>
      <c r="M401" s="615"/>
      <c r="N401" s="614"/>
      <c r="O401" s="614"/>
      <c r="P401" s="614"/>
      <c r="Q401" s="614"/>
      <c r="R401" s="614"/>
      <c r="S401" s="614"/>
      <c r="T401" s="618"/>
      <c r="V401" s="615"/>
    </row>
    <row r="402" spans="8:25">
      <c r="H402" s="602" t="s">
        <v>940</v>
      </c>
      <c r="L402" s="556" t="s">
        <v>897</v>
      </c>
      <c r="M402" s="556" t="s">
        <v>1254</v>
      </c>
      <c r="N402" s="614">
        <f t="shared" ref="N402:O405" si="81">IF(AND(ISNUMBER(N397),N397&lt;&gt;0),N397,9999999)</f>
        <v>9999999</v>
      </c>
      <c r="O402" s="614">
        <f t="shared" si="81"/>
        <v>9999999</v>
      </c>
      <c r="P402" s="614"/>
      <c r="Q402" s="614"/>
      <c r="R402" s="614"/>
      <c r="S402" s="614"/>
      <c r="T402" s="618"/>
    </row>
    <row r="403" spans="8:25">
      <c r="H403" s="602" t="s">
        <v>940</v>
      </c>
      <c r="L403" s="556" t="s">
        <v>899</v>
      </c>
      <c r="M403" s="556" t="s">
        <v>1254</v>
      </c>
      <c r="N403" s="614">
        <f t="shared" si="81"/>
        <v>9999999</v>
      </c>
      <c r="O403" s="614">
        <f t="shared" si="81"/>
        <v>9999999</v>
      </c>
      <c r="P403" s="614"/>
      <c r="Q403" s="614"/>
      <c r="R403" s="614"/>
      <c r="S403" s="614"/>
      <c r="T403" s="618"/>
    </row>
    <row r="404" spans="8:25">
      <c r="H404" s="602" t="s">
        <v>940</v>
      </c>
      <c r="L404" s="556" t="s">
        <v>900</v>
      </c>
      <c r="M404" s="556" t="s">
        <v>1254</v>
      </c>
      <c r="N404" s="614">
        <f t="shared" si="81"/>
        <v>9999999</v>
      </c>
      <c r="O404" s="614">
        <f t="shared" si="81"/>
        <v>9999999</v>
      </c>
      <c r="P404" s="614"/>
      <c r="Q404" s="614"/>
      <c r="R404" s="614"/>
      <c r="S404" s="614"/>
      <c r="T404" s="618"/>
    </row>
    <row r="405" spans="8:25">
      <c r="H405" s="602" t="s">
        <v>940</v>
      </c>
      <c r="L405" s="556" t="s">
        <v>901</v>
      </c>
      <c r="M405" s="556" t="s">
        <v>1254</v>
      </c>
      <c r="N405" s="614">
        <f t="shared" si="81"/>
        <v>9999999</v>
      </c>
      <c r="O405" s="614">
        <f t="shared" si="81"/>
        <v>9999999</v>
      </c>
      <c r="P405" s="614"/>
      <c r="Q405" s="614"/>
      <c r="R405" s="614"/>
      <c r="S405" s="614"/>
      <c r="T405" s="618"/>
    </row>
    <row r="406" spans="8:25">
      <c r="H406" s="602" t="s">
        <v>940</v>
      </c>
      <c r="N406" s="614"/>
      <c r="O406" s="614"/>
      <c r="P406" s="614"/>
      <c r="Q406" s="614"/>
      <c r="R406" s="614"/>
      <c r="S406" s="614"/>
      <c r="T406" s="618"/>
    </row>
    <row r="407" spans="8:25">
      <c r="H407" s="602" t="s">
        <v>940</v>
      </c>
      <c r="L407" s="556" t="s">
        <v>902</v>
      </c>
      <c r="M407" s="556" t="s">
        <v>1249</v>
      </c>
      <c r="N407" s="747">
        <f>IF($M$368,Tariffs!F84,Tariffs!F37)</f>
        <v>0</v>
      </c>
      <c r="O407" s="747">
        <f>Tariffs!F129</f>
        <v>0</v>
      </c>
      <c r="P407" s="614"/>
      <c r="Q407" s="614"/>
      <c r="R407" s="614"/>
      <c r="S407" s="614"/>
      <c r="T407" s="618"/>
    </row>
    <row r="408" spans="8:25">
      <c r="H408" s="602" t="s">
        <v>940</v>
      </c>
      <c r="L408" s="556" t="s">
        <v>904</v>
      </c>
      <c r="M408" s="556" t="s">
        <v>1249</v>
      </c>
      <c r="N408" s="747">
        <f>IF($M$368,Tariffs!F85,Tariffs!F38)</f>
        <v>0</v>
      </c>
      <c r="O408" s="747">
        <f>Tariffs!F130</f>
        <v>0</v>
      </c>
      <c r="P408" s="614"/>
      <c r="Q408" s="614"/>
      <c r="R408" s="614"/>
      <c r="S408" s="614"/>
      <c r="T408" s="618"/>
    </row>
    <row r="409" spans="8:25">
      <c r="H409" s="602" t="s">
        <v>940</v>
      </c>
      <c r="L409" s="556" t="s">
        <v>905</v>
      </c>
      <c r="M409" s="556" t="s">
        <v>1249</v>
      </c>
      <c r="N409" s="747">
        <f>IF($M$368,Tariffs!F86,Tariffs!F39)</f>
        <v>0</v>
      </c>
      <c r="O409" s="747">
        <f>Tariffs!F131</f>
        <v>0</v>
      </c>
      <c r="P409" s="614"/>
      <c r="Q409" s="614"/>
      <c r="R409" s="614"/>
      <c r="S409" s="614"/>
      <c r="T409" s="618"/>
    </row>
    <row r="410" spans="8:25">
      <c r="H410" s="602" t="s">
        <v>940</v>
      </c>
      <c r="L410" s="556" t="s">
        <v>906</v>
      </c>
      <c r="M410" s="556" t="s">
        <v>1249</v>
      </c>
      <c r="N410" s="747">
        <f>IF($M$368,Tariffs!F87,Tariffs!F40)</f>
        <v>0</v>
      </c>
      <c r="O410" s="747">
        <f>Tariffs!F132</f>
        <v>0</v>
      </c>
      <c r="P410" s="614"/>
      <c r="Q410" s="614"/>
      <c r="R410" s="614"/>
      <c r="S410" s="614"/>
      <c r="T410" s="618"/>
    </row>
    <row r="411" spans="8:25">
      <c r="H411" s="602" t="s">
        <v>940</v>
      </c>
      <c r="N411" s="747"/>
      <c r="O411" s="747"/>
      <c r="P411" s="614"/>
      <c r="Q411" s="614"/>
      <c r="R411" s="614"/>
      <c r="S411" s="614"/>
      <c r="T411" s="618"/>
    </row>
    <row r="412" spans="8:25" ht="18">
      <c r="H412" s="602" t="s">
        <v>940</v>
      </c>
      <c r="L412" s="652" t="s">
        <v>1258</v>
      </c>
      <c r="M412" s="551"/>
      <c r="N412" s="748"/>
      <c r="O412" s="748"/>
      <c r="P412" s="749"/>
      <c r="Q412" s="749"/>
      <c r="R412" s="749"/>
      <c r="S412" s="749"/>
      <c r="T412" s="558"/>
      <c r="U412" s="551"/>
      <c r="V412" s="551"/>
      <c r="W412" s="551"/>
      <c r="X412" s="551"/>
      <c r="Y412" s="551"/>
    </row>
    <row r="413" spans="8:25">
      <c r="H413" s="602" t="s">
        <v>940</v>
      </c>
      <c r="N413" s="747"/>
      <c r="O413" s="747"/>
      <c r="P413" s="614"/>
      <c r="Q413" s="614"/>
      <c r="R413" s="614"/>
      <c r="S413" s="614"/>
      <c r="T413" s="618"/>
    </row>
    <row r="414" spans="8:25">
      <c r="H414" s="602" t="s">
        <v>940</v>
      </c>
      <c r="M414" s="609" t="s">
        <v>359</v>
      </c>
      <c r="N414" s="704" t="s">
        <v>1259</v>
      </c>
      <c r="O414" s="750" t="s">
        <v>1260</v>
      </c>
      <c r="P414" s="704" t="s">
        <v>1261</v>
      </c>
      <c r="Q414" s="750" t="s">
        <v>1262</v>
      </c>
      <c r="R414" s="704" t="s">
        <v>947</v>
      </c>
      <c r="S414" s="750" t="s">
        <v>1263</v>
      </c>
      <c r="T414" s="704" t="s">
        <v>1264</v>
      </c>
      <c r="U414" s="750" t="s">
        <v>1265</v>
      </c>
      <c r="V414" s="704" t="s">
        <v>1266</v>
      </c>
      <c r="W414" s="750" t="s">
        <v>1267</v>
      </c>
      <c r="X414" s="704" t="s">
        <v>1268</v>
      </c>
      <c r="Y414" s="750" t="s">
        <v>1269</v>
      </c>
    </row>
    <row r="415" spans="8:25">
      <c r="H415" s="602" t="s">
        <v>940</v>
      </c>
      <c r="L415" s="556" t="s">
        <v>1270</v>
      </c>
      <c r="N415" s="614">
        <v>1</v>
      </c>
      <c r="O415" s="614">
        <v>2</v>
      </c>
      <c r="P415" s="614">
        <v>3</v>
      </c>
      <c r="Q415" s="614">
        <v>4</v>
      </c>
      <c r="R415" s="614">
        <v>5</v>
      </c>
      <c r="S415" s="614">
        <v>6</v>
      </c>
      <c r="T415" s="614">
        <v>7</v>
      </c>
      <c r="U415" s="614">
        <v>8</v>
      </c>
      <c r="V415" s="614">
        <v>9</v>
      </c>
      <c r="W415" s="614">
        <v>10</v>
      </c>
      <c r="X415" s="614">
        <v>11</v>
      </c>
      <c r="Y415" s="614">
        <v>12</v>
      </c>
    </row>
    <row r="416" spans="8:25">
      <c r="H416" s="602" t="s">
        <v>940</v>
      </c>
      <c r="L416" s="556" t="s">
        <v>1271</v>
      </c>
      <c r="N416" s="747" t="b">
        <f>IF(AND(N415&gt;=$N$375,N415&lt;=$N$376),TRUE,FALSE)</f>
        <v>1</v>
      </c>
      <c r="O416" s="747" t="b">
        <f t="shared" ref="O416:Y416" si="82">IF(AND(O415&gt;=$N$375,O415&lt;=$N$376),TRUE,FALSE)</f>
        <v>1</v>
      </c>
      <c r="P416" s="747" t="b">
        <f t="shared" si="82"/>
        <v>1</v>
      </c>
      <c r="Q416" s="747" t="b">
        <f t="shared" si="82"/>
        <v>1</v>
      </c>
      <c r="R416" s="747" t="b">
        <f t="shared" si="82"/>
        <v>1</v>
      </c>
      <c r="S416" s="747" t="b">
        <f t="shared" si="82"/>
        <v>1</v>
      </c>
      <c r="T416" s="747" t="b">
        <f t="shared" si="82"/>
        <v>1</v>
      </c>
      <c r="U416" s="747" t="b">
        <f t="shared" si="82"/>
        <v>1</v>
      </c>
      <c r="V416" s="747" t="b">
        <f t="shared" si="82"/>
        <v>1</v>
      </c>
      <c r="W416" s="747" t="b">
        <f t="shared" si="82"/>
        <v>1</v>
      </c>
      <c r="X416" s="747" t="b">
        <f t="shared" si="82"/>
        <v>1</v>
      </c>
      <c r="Y416" s="747" t="b">
        <f t="shared" si="82"/>
        <v>1</v>
      </c>
    </row>
    <row r="417" spans="8:26">
      <c r="H417" s="602" t="s">
        <v>940</v>
      </c>
    </row>
    <row r="418" spans="8:26">
      <c r="H418" s="602" t="s">
        <v>940</v>
      </c>
      <c r="L418" s="556" t="s">
        <v>1247</v>
      </c>
      <c r="M418" s="556" t="s">
        <v>895</v>
      </c>
      <c r="N418" s="731"/>
      <c r="O418" s="731"/>
      <c r="P418" s="731"/>
      <c r="Q418" s="731"/>
      <c r="R418" s="731"/>
      <c r="S418" s="731"/>
      <c r="T418" s="731"/>
      <c r="U418" s="731"/>
      <c r="V418" s="731"/>
      <c r="W418" s="731"/>
      <c r="X418" s="731"/>
      <c r="Y418" s="731"/>
      <c r="Z418" s="556" t="s">
        <v>1272</v>
      </c>
    </row>
    <row r="419" spans="8:26">
      <c r="H419" s="602" t="s">
        <v>940</v>
      </c>
      <c r="L419" s="556" t="s">
        <v>908</v>
      </c>
      <c r="M419" s="556" t="s">
        <v>1249</v>
      </c>
      <c r="N419" s="732">
        <f>$N$373</f>
        <v>0</v>
      </c>
      <c r="O419" s="732">
        <f t="shared" ref="O419:Y419" si="83">$N$373</f>
        <v>0</v>
      </c>
      <c r="P419" s="732">
        <f t="shared" si="83"/>
        <v>0</v>
      </c>
      <c r="Q419" s="732">
        <f t="shared" si="83"/>
        <v>0</v>
      </c>
      <c r="R419" s="732">
        <f t="shared" si="83"/>
        <v>0</v>
      </c>
      <c r="S419" s="732">
        <f t="shared" si="83"/>
        <v>0</v>
      </c>
      <c r="T419" s="732">
        <f t="shared" si="83"/>
        <v>0</v>
      </c>
      <c r="U419" s="732">
        <f t="shared" si="83"/>
        <v>0</v>
      </c>
      <c r="V419" s="732">
        <f t="shared" si="83"/>
        <v>0</v>
      </c>
      <c r="W419" s="732">
        <f t="shared" si="83"/>
        <v>0</v>
      </c>
      <c r="X419" s="732">
        <f t="shared" si="83"/>
        <v>0</v>
      </c>
      <c r="Y419" s="732">
        <f t="shared" si="83"/>
        <v>0</v>
      </c>
    </row>
    <row r="420" spans="8:26">
      <c r="H420" s="602" t="s">
        <v>940</v>
      </c>
      <c r="L420" s="556" t="s">
        <v>909</v>
      </c>
      <c r="M420" s="556" t="s">
        <v>910</v>
      </c>
      <c r="N420" s="732">
        <f>$N$374</f>
        <v>0</v>
      </c>
      <c r="O420" s="732">
        <f t="shared" ref="O420:Y420" si="84">$N$374</f>
        <v>0</v>
      </c>
      <c r="P420" s="732">
        <f t="shared" si="84"/>
        <v>0</v>
      </c>
      <c r="Q420" s="732">
        <f t="shared" si="84"/>
        <v>0</v>
      </c>
      <c r="R420" s="732">
        <f t="shared" si="84"/>
        <v>0</v>
      </c>
      <c r="S420" s="732">
        <f t="shared" si="84"/>
        <v>0</v>
      </c>
      <c r="T420" s="732">
        <f t="shared" si="84"/>
        <v>0</v>
      </c>
      <c r="U420" s="732">
        <f t="shared" si="84"/>
        <v>0</v>
      </c>
      <c r="V420" s="732">
        <f t="shared" si="84"/>
        <v>0</v>
      </c>
      <c r="W420" s="732">
        <f t="shared" si="84"/>
        <v>0</v>
      </c>
      <c r="X420" s="732">
        <f t="shared" si="84"/>
        <v>0</v>
      </c>
      <c r="Y420" s="732">
        <f t="shared" si="84"/>
        <v>0</v>
      </c>
    </row>
    <row r="421" spans="8:26">
      <c r="H421" s="602" t="s">
        <v>940</v>
      </c>
      <c r="N421" s="747"/>
      <c r="O421" s="747"/>
      <c r="P421" s="747"/>
      <c r="Q421" s="747"/>
      <c r="R421" s="747"/>
      <c r="S421" s="747"/>
      <c r="T421" s="747"/>
      <c r="U421" s="747"/>
      <c r="V421" s="747"/>
      <c r="W421" s="747"/>
      <c r="X421" s="747"/>
      <c r="Y421" s="747"/>
    </row>
    <row r="422" spans="8:26">
      <c r="H422" s="602" t="s">
        <v>940</v>
      </c>
      <c r="L422" s="556" t="s">
        <v>897</v>
      </c>
      <c r="M422" s="556" t="s">
        <v>898</v>
      </c>
      <c r="N422" s="614">
        <f t="shared" ref="N422:Y425" si="85">IF(N$416,$N386,$N402)</f>
        <v>9999999</v>
      </c>
      <c r="O422" s="614">
        <f t="shared" si="85"/>
        <v>9999999</v>
      </c>
      <c r="P422" s="614">
        <f t="shared" si="85"/>
        <v>9999999</v>
      </c>
      <c r="Q422" s="614">
        <f t="shared" si="85"/>
        <v>9999999</v>
      </c>
      <c r="R422" s="614">
        <f t="shared" si="85"/>
        <v>9999999</v>
      </c>
      <c r="S422" s="614">
        <f t="shared" si="85"/>
        <v>9999999</v>
      </c>
      <c r="T422" s="614">
        <f t="shared" si="85"/>
        <v>9999999</v>
      </c>
      <c r="U422" s="614">
        <f t="shared" si="85"/>
        <v>9999999</v>
      </c>
      <c r="V422" s="614">
        <f t="shared" si="85"/>
        <v>9999999</v>
      </c>
      <c r="W422" s="614">
        <f t="shared" si="85"/>
        <v>9999999</v>
      </c>
      <c r="X422" s="614">
        <f t="shared" si="85"/>
        <v>9999999</v>
      </c>
      <c r="Y422" s="614">
        <f t="shared" si="85"/>
        <v>9999999</v>
      </c>
    </row>
    <row r="423" spans="8:26">
      <c r="H423" s="602" t="s">
        <v>940</v>
      </c>
      <c r="L423" s="556" t="s">
        <v>899</v>
      </c>
      <c r="M423" s="556" t="s">
        <v>898</v>
      </c>
      <c r="N423" s="614">
        <f t="shared" si="85"/>
        <v>9999999</v>
      </c>
      <c r="O423" s="614">
        <f t="shared" si="85"/>
        <v>9999999</v>
      </c>
      <c r="P423" s="614">
        <f t="shared" si="85"/>
        <v>9999999</v>
      </c>
      <c r="Q423" s="614">
        <f t="shared" si="85"/>
        <v>9999999</v>
      </c>
      <c r="R423" s="614">
        <f t="shared" si="85"/>
        <v>9999999</v>
      </c>
      <c r="S423" s="614">
        <f t="shared" si="85"/>
        <v>9999999</v>
      </c>
      <c r="T423" s="614">
        <f t="shared" si="85"/>
        <v>9999999</v>
      </c>
      <c r="U423" s="614">
        <f t="shared" si="85"/>
        <v>9999999</v>
      </c>
      <c r="V423" s="614">
        <f t="shared" si="85"/>
        <v>9999999</v>
      </c>
      <c r="W423" s="614">
        <f t="shared" si="85"/>
        <v>9999999</v>
      </c>
      <c r="X423" s="614">
        <f t="shared" si="85"/>
        <v>9999999</v>
      </c>
      <c r="Y423" s="614">
        <f t="shared" si="85"/>
        <v>9999999</v>
      </c>
    </row>
    <row r="424" spans="8:26">
      <c r="H424" s="602" t="s">
        <v>940</v>
      </c>
      <c r="L424" s="556" t="s">
        <v>900</v>
      </c>
      <c r="M424" s="556" t="s">
        <v>898</v>
      </c>
      <c r="N424" s="614">
        <f t="shared" si="85"/>
        <v>9999999</v>
      </c>
      <c r="O424" s="614">
        <f t="shared" si="85"/>
        <v>9999999</v>
      </c>
      <c r="P424" s="614">
        <f t="shared" si="85"/>
        <v>9999999</v>
      </c>
      <c r="Q424" s="614">
        <f t="shared" si="85"/>
        <v>9999999</v>
      </c>
      <c r="R424" s="614">
        <f t="shared" si="85"/>
        <v>9999999</v>
      </c>
      <c r="S424" s="614">
        <f t="shared" si="85"/>
        <v>9999999</v>
      </c>
      <c r="T424" s="614">
        <f t="shared" si="85"/>
        <v>9999999</v>
      </c>
      <c r="U424" s="614">
        <f t="shared" si="85"/>
        <v>9999999</v>
      </c>
      <c r="V424" s="614">
        <f t="shared" si="85"/>
        <v>9999999</v>
      </c>
      <c r="W424" s="614">
        <f t="shared" si="85"/>
        <v>9999999</v>
      </c>
      <c r="X424" s="614">
        <f t="shared" si="85"/>
        <v>9999999</v>
      </c>
      <c r="Y424" s="614">
        <f t="shared" si="85"/>
        <v>9999999</v>
      </c>
    </row>
    <row r="425" spans="8:26">
      <c r="H425" s="602" t="s">
        <v>940</v>
      </c>
      <c r="L425" s="556" t="s">
        <v>901</v>
      </c>
      <c r="M425" s="556" t="s">
        <v>898</v>
      </c>
      <c r="N425" s="614">
        <f t="shared" si="85"/>
        <v>9999999</v>
      </c>
      <c r="O425" s="614">
        <f t="shared" si="85"/>
        <v>9999999</v>
      </c>
      <c r="P425" s="614">
        <f t="shared" si="85"/>
        <v>9999999</v>
      </c>
      <c r="Q425" s="614">
        <f t="shared" si="85"/>
        <v>9999999</v>
      </c>
      <c r="R425" s="614">
        <f t="shared" si="85"/>
        <v>9999999</v>
      </c>
      <c r="S425" s="614">
        <f t="shared" si="85"/>
        <v>9999999</v>
      </c>
      <c r="T425" s="614">
        <f t="shared" si="85"/>
        <v>9999999</v>
      </c>
      <c r="U425" s="614">
        <f t="shared" si="85"/>
        <v>9999999</v>
      </c>
      <c r="V425" s="614">
        <f t="shared" si="85"/>
        <v>9999999</v>
      </c>
      <c r="W425" s="614">
        <f t="shared" si="85"/>
        <v>9999999</v>
      </c>
      <c r="X425" s="614">
        <f t="shared" si="85"/>
        <v>9999999</v>
      </c>
      <c r="Y425" s="614">
        <f t="shared" si="85"/>
        <v>9999999</v>
      </c>
    </row>
    <row r="426" spans="8:26">
      <c r="H426" s="602" t="s">
        <v>940</v>
      </c>
      <c r="N426" s="614"/>
      <c r="O426" s="747"/>
      <c r="P426" s="614"/>
      <c r="Q426" s="614"/>
      <c r="R426" s="614"/>
      <c r="S426" s="614"/>
      <c r="T426" s="618"/>
    </row>
    <row r="427" spans="8:26">
      <c r="H427" s="602" t="s">
        <v>940</v>
      </c>
      <c r="L427" s="556" t="s">
        <v>902</v>
      </c>
      <c r="M427" s="556" t="s">
        <v>903</v>
      </c>
      <c r="N427" s="747">
        <f t="shared" ref="N427:Y430" si="86">IF(N$416,$N391,$N407)</f>
        <v>0</v>
      </c>
      <c r="O427" s="747">
        <f t="shared" si="86"/>
        <v>0</v>
      </c>
      <c r="P427" s="747">
        <f t="shared" si="86"/>
        <v>0</v>
      </c>
      <c r="Q427" s="747">
        <f t="shared" si="86"/>
        <v>0</v>
      </c>
      <c r="R427" s="747">
        <f t="shared" si="86"/>
        <v>0</v>
      </c>
      <c r="S427" s="747">
        <f t="shared" si="86"/>
        <v>0</v>
      </c>
      <c r="T427" s="747">
        <f t="shared" si="86"/>
        <v>0</v>
      </c>
      <c r="U427" s="747">
        <f t="shared" si="86"/>
        <v>0</v>
      </c>
      <c r="V427" s="747">
        <f t="shared" si="86"/>
        <v>0</v>
      </c>
      <c r="W427" s="747">
        <f t="shared" si="86"/>
        <v>0</v>
      </c>
      <c r="X427" s="747">
        <f t="shared" si="86"/>
        <v>0</v>
      </c>
      <c r="Y427" s="747">
        <f t="shared" si="86"/>
        <v>0</v>
      </c>
    </row>
    <row r="428" spans="8:26">
      <c r="H428" s="602" t="s">
        <v>940</v>
      </c>
      <c r="L428" s="556" t="s">
        <v>904</v>
      </c>
      <c r="M428" s="556" t="s">
        <v>903</v>
      </c>
      <c r="N428" s="747">
        <f t="shared" si="86"/>
        <v>0</v>
      </c>
      <c r="O428" s="747">
        <f t="shared" si="86"/>
        <v>0</v>
      </c>
      <c r="P428" s="747">
        <f t="shared" si="86"/>
        <v>0</v>
      </c>
      <c r="Q428" s="747">
        <f t="shared" si="86"/>
        <v>0</v>
      </c>
      <c r="R428" s="747">
        <f t="shared" si="86"/>
        <v>0</v>
      </c>
      <c r="S428" s="747">
        <f t="shared" si="86"/>
        <v>0</v>
      </c>
      <c r="T428" s="747">
        <f t="shared" si="86"/>
        <v>0</v>
      </c>
      <c r="U428" s="747">
        <f t="shared" si="86"/>
        <v>0</v>
      </c>
      <c r="V428" s="747">
        <f t="shared" si="86"/>
        <v>0</v>
      </c>
      <c r="W428" s="747">
        <f t="shared" si="86"/>
        <v>0</v>
      </c>
      <c r="X428" s="747">
        <f t="shared" si="86"/>
        <v>0</v>
      </c>
      <c r="Y428" s="747">
        <f t="shared" si="86"/>
        <v>0</v>
      </c>
    </row>
    <row r="429" spans="8:26">
      <c r="H429" s="602" t="s">
        <v>940</v>
      </c>
      <c r="L429" s="556" t="s">
        <v>905</v>
      </c>
      <c r="M429" s="556" t="s">
        <v>903</v>
      </c>
      <c r="N429" s="747">
        <f t="shared" si="86"/>
        <v>0</v>
      </c>
      <c r="O429" s="747">
        <f t="shared" si="86"/>
        <v>0</v>
      </c>
      <c r="P429" s="747">
        <f t="shared" si="86"/>
        <v>0</v>
      </c>
      <c r="Q429" s="747">
        <f t="shared" si="86"/>
        <v>0</v>
      </c>
      <c r="R429" s="747">
        <f t="shared" si="86"/>
        <v>0</v>
      </c>
      <c r="S429" s="747">
        <f t="shared" si="86"/>
        <v>0</v>
      </c>
      <c r="T429" s="747">
        <f t="shared" si="86"/>
        <v>0</v>
      </c>
      <c r="U429" s="747">
        <f t="shared" si="86"/>
        <v>0</v>
      </c>
      <c r="V429" s="747">
        <f t="shared" si="86"/>
        <v>0</v>
      </c>
      <c r="W429" s="747">
        <f t="shared" si="86"/>
        <v>0</v>
      </c>
      <c r="X429" s="747">
        <f t="shared" si="86"/>
        <v>0</v>
      </c>
      <c r="Y429" s="747">
        <f t="shared" si="86"/>
        <v>0</v>
      </c>
    </row>
    <row r="430" spans="8:26">
      <c r="H430" s="602" t="s">
        <v>940</v>
      </c>
      <c r="L430" s="556" t="s">
        <v>906</v>
      </c>
      <c r="M430" s="556" t="s">
        <v>903</v>
      </c>
      <c r="N430" s="747">
        <f t="shared" si="86"/>
        <v>0</v>
      </c>
      <c r="O430" s="747">
        <f t="shared" si="86"/>
        <v>0</v>
      </c>
      <c r="P430" s="747">
        <f t="shared" si="86"/>
        <v>0</v>
      </c>
      <c r="Q430" s="747">
        <f t="shared" si="86"/>
        <v>0</v>
      </c>
      <c r="R430" s="747">
        <f t="shared" si="86"/>
        <v>0</v>
      </c>
      <c r="S430" s="747">
        <f t="shared" si="86"/>
        <v>0</v>
      </c>
      <c r="T430" s="747">
        <f t="shared" si="86"/>
        <v>0</v>
      </c>
      <c r="U430" s="747">
        <f t="shared" si="86"/>
        <v>0</v>
      </c>
      <c r="V430" s="747">
        <f t="shared" si="86"/>
        <v>0</v>
      </c>
      <c r="W430" s="747">
        <f t="shared" si="86"/>
        <v>0</v>
      </c>
      <c r="X430" s="747">
        <f t="shared" si="86"/>
        <v>0</v>
      </c>
      <c r="Y430" s="747">
        <f t="shared" si="86"/>
        <v>0</v>
      </c>
    </row>
    <row r="431" spans="8:26">
      <c r="H431" s="602" t="s">
        <v>940</v>
      </c>
      <c r="N431" s="747"/>
      <c r="O431" s="747"/>
      <c r="P431" s="614"/>
      <c r="Q431" s="614"/>
      <c r="R431" s="614"/>
      <c r="S431" s="614"/>
      <c r="T431" s="618"/>
    </row>
    <row r="432" spans="8:26" ht="18">
      <c r="H432" s="602" t="s">
        <v>940</v>
      </c>
      <c r="L432" s="652" t="s">
        <v>1273</v>
      </c>
      <c r="M432" s="551"/>
      <c r="N432" s="748"/>
      <c r="O432" s="748"/>
      <c r="P432" s="749"/>
      <c r="Q432" s="749"/>
      <c r="R432" s="749"/>
      <c r="S432" s="749"/>
      <c r="T432" s="558"/>
      <c r="U432" s="551"/>
      <c r="V432" s="551"/>
      <c r="W432" s="551"/>
      <c r="X432" s="551"/>
      <c r="Y432" s="551"/>
    </row>
    <row r="433" spans="8:26">
      <c r="H433" s="602" t="s">
        <v>940</v>
      </c>
      <c r="N433" s="747"/>
      <c r="O433" s="747"/>
      <c r="P433" s="614"/>
      <c r="Q433" s="614"/>
      <c r="R433" s="614"/>
      <c r="S433" s="614"/>
      <c r="T433" s="618"/>
    </row>
    <row r="434" spans="8:26">
      <c r="H434" s="602" t="s">
        <v>940</v>
      </c>
      <c r="M434" s="609" t="s">
        <v>359</v>
      </c>
      <c r="N434" s="704" t="s">
        <v>1259</v>
      </c>
      <c r="O434" s="750" t="s">
        <v>1260</v>
      </c>
      <c r="P434" s="704" t="s">
        <v>1261</v>
      </c>
      <c r="Q434" s="750" t="s">
        <v>1262</v>
      </c>
      <c r="R434" s="704" t="s">
        <v>947</v>
      </c>
      <c r="S434" s="750" t="s">
        <v>1263</v>
      </c>
      <c r="T434" s="704" t="s">
        <v>1264</v>
      </c>
      <c r="U434" s="750" t="s">
        <v>1265</v>
      </c>
      <c r="V434" s="704" t="s">
        <v>1266</v>
      </c>
      <c r="W434" s="750" t="s">
        <v>1267</v>
      </c>
      <c r="X434" s="704" t="s">
        <v>1268</v>
      </c>
      <c r="Y434" s="750" t="s">
        <v>1269</v>
      </c>
    </row>
    <row r="435" spans="8:26">
      <c r="H435" s="602" t="s">
        <v>940</v>
      </c>
      <c r="L435" s="556" t="s">
        <v>1270</v>
      </c>
      <c r="N435" s="614">
        <v>1</v>
      </c>
      <c r="O435" s="614">
        <v>2</v>
      </c>
      <c r="P435" s="614">
        <v>3</v>
      </c>
      <c r="Q435" s="614">
        <v>4</v>
      </c>
      <c r="R435" s="614">
        <v>5</v>
      </c>
      <c r="S435" s="614">
        <v>6</v>
      </c>
      <c r="T435" s="614">
        <v>7</v>
      </c>
      <c r="U435" s="614">
        <v>8</v>
      </c>
      <c r="V435" s="614">
        <v>9</v>
      </c>
      <c r="W435" s="614">
        <v>10</v>
      </c>
      <c r="X435" s="614">
        <v>11</v>
      </c>
      <c r="Y435" s="614">
        <v>12</v>
      </c>
    </row>
    <row r="436" spans="8:26">
      <c r="H436" s="602" t="s">
        <v>940</v>
      </c>
      <c r="L436" s="556" t="s">
        <v>1274</v>
      </c>
      <c r="N436" s="747" t="b">
        <f t="shared" ref="N436:Y436" si="87">IF(AND(N415&gt;=$O$375,N415&lt;=$O$376),TRUE,FALSE)</f>
        <v>1</v>
      </c>
      <c r="O436" s="747" t="b">
        <f t="shared" si="87"/>
        <v>1</v>
      </c>
      <c r="P436" s="747" t="b">
        <f t="shared" si="87"/>
        <v>1</v>
      </c>
      <c r="Q436" s="747" t="b">
        <f t="shared" si="87"/>
        <v>1</v>
      </c>
      <c r="R436" s="747" t="b">
        <f t="shared" si="87"/>
        <v>1</v>
      </c>
      <c r="S436" s="747" t="b">
        <f t="shared" si="87"/>
        <v>1</v>
      </c>
      <c r="T436" s="747" t="b">
        <f t="shared" si="87"/>
        <v>1</v>
      </c>
      <c r="U436" s="747" t="b">
        <f t="shared" si="87"/>
        <v>1</v>
      </c>
      <c r="V436" s="747" t="b">
        <f t="shared" si="87"/>
        <v>1</v>
      </c>
      <c r="W436" s="747" t="b">
        <f t="shared" si="87"/>
        <v>1</v>
      </c>
      <c r="X436" s="747" t="b">
        <f t="shared" si="87"/>
        <v>1</v>
      </c>
      <c r="Y436" s="747" t="b">
        <f t="shared" si="87"/>
        <v>1</v>
      </c>
    </row>
    <row r="437" spans="8:26">
      <c r="H437" s="602" t="s">
        <v>940</v>
      </c>
      <c r="N437" s="747"/>
      <c r="O437" s="747"/>
      <c r="P437" s="614"/>
      <c r="Q437" s="614"/>
      <c r="R437" s="614"/>
      <c r="S437" s="614"/>
      <c r="T437" s="618"/>
    </row>
    <row r="438" spans="8:26">
      <c r="H438" s="602" t="s">
        <v>940</v>
      </c>
      <c r="L438" s="556" t="s">
        <v>1247</v>
      </c>
      <c r="N438" s="731"/>
      <c r="O438" s="731"/>
      <c r="P438" s="731"/>
      <c r="Q438" s="731"/>
      <c r="R438" s="731"/>
      <c r="S438" s="731"/>
      <c r="T438" s="731"/>
      <c r="U438" s="731"/>
      <c r="V438" s="731"/>
      <c r="W438" s="731"/>
      <c r="X438" s="731"/>
      <c r="Y438" s="731"/>
      <c r="Z438" s="556" t="s">
        <v>1272</v>
      </c>
    </row>
    <row r="439" spans="8:26">
      <c r="H439" s="602" t="s">
        <v>940</v>
      </c>
      <c r="L439" s="556" t="s">
        <v>908</v>
      </c>
      <c r="N439" s="732">
        <f>$O$373</f>
        <v>0</v>
      </c>
      <c r="O439" s="732">
        <f t="shared" ref="O439:Y439" si="88">$O$373</f>
        <v>0</v>
      </c>
      <c r="P439" s="732">
        <f t="shared" si="88"/>
        <v>0</v>
      </c>
      <c r="Q439" s="732">
        <f t="shared" si="88"/>
        <v>0</v>
      </c>
      <c r="R439" s="732">
        <f t="shared" si="88"/>
        <v>0</v>
      </c>
      <c r="S439" s="732">
        <f t="shared" si="88"/>
        <v>0</v>
      </c>
      <c r="T439" s="732">
        <f t="shared" si="88"/>
        <v>0</v>
      </c>
      <c r="U439" s="732">
        <f t="shared" si="88"/>
        <v>0</v>
      </c>
      <c r="V439" s="732">
        <f t="shared" si="88"/>
        <v>0</v>
      </c>
      <c r="W439" s="732">
        <f t="shared" si="88"/>
        <v>0</v>
      </c>
      <c r="X439" s="732">
        <f t="shared" si="88"/>
        <v>0</v>
      </c>
      <c r="Y439" s="732">
        <f t="shared" si="88"/>
        <v>0</v>
      </c>
    </row>
    <row r="440" spans="8:26">
      <c r="H440" s="602" t="s">
        <v>940</v>
      </c>
      <c r="L440" s="556" t="s">
        <v>909</v>
      </c>
      <c r="N440" s="732">
        <f>$O$374</f>
        <v>0</v>
      </c>
      <c r="O440" s="732">
        <f t="shared" ref="O440:Y440" si="89">$O$374</f>
        <v>0</v>
      </c>
      <c r="P440" s="732">
        <f t="shared" si="89"/>
        <v>0</v>
      </c>
      <c r="Q440" s="732">
        <f t="shared" si="89"/>
        <v>0</v>
      </c>
      <c r="R440" s="732">
        <f t="shared" si="89"/>
        <v>0</v>
      </c>
      <c r="S440" s="732">
        <f t="shared" si="89"/>
        <v>0</v>
      </c>
      <c r="T440" s="732">
        <f t="shared" si="89"/>
        <v>0</v>
      </c>
      <c r="U440" s="732">
        <f t="shared" si="89"/>
        <v>0</v>
      </c>
      <c r="V440" s="732">
        <f t="shared" si="89"/>
        <v>0</v>
      </c>
      <c r="W440" s="732">
        <f t="shared" si="89"/>
        <v>0</v>
      </c>
      <c r="X440" s="732">
        <f t="shared" si="89"/>
        <v>0</v>
      </c>
      <c r="Y440" s="732">
        <f t="shared" si="89"/>
        <v>0</v>
      </c>
    </row>
    <row r="441" spans="8:26">
      <c r="H441" s="602" t="s">
        <v>940</v>
      </c>
      <c r="N441" s="747"/>
      <c r="O441" s="747"/>
      <c r="P441" s="614"/>
      <c r="Q441" s="614"/>
      <c r="R441" s="614"/>
      <c r="S441" s="614"/>
      <c r="T441" s="618"/>
    </row>
    <row r="442" spans="8:26">
      <c r="H442" s="602" t="s">
        <v>940</v>
      </c>
      <c r="L442" s="556" t="s">
        <v>897</v>
      </c>
      <c r="N442" s="614">
        <f>IF(N$436,$O386,$O402)</f>
        <v>9999999</v>
      </c>
      <c r="O442" s="614">
        <f t="shared" ref="O442:Y442" si="90">IF(O$436,$O386,$O402)</f>
        <v>9999999</v>
      </c>
      <c r="P442" s="614">
        <f t="shared" si="90"/>
        <v>9999999</v>
      </c>
      <c r="Q442" s="614">
        <f t="shared" si="90"/>
        <v>9999999</v>
      </c>
      <c r="R442" s="614">
        <f t="shared" si="90"/>
        <v>9999999</v>
      </c>
      <c r="S442" s="614">
        <f t="shared" si="90"/>
        <v>9999999</v>
      </c>
      <c r="T442" s="614">
        <f t="shared" si="90"/>
        <v>9999999</v>
      </c>
      <c r="U442" s="614">
        <f t="shared" si="90"/>
        <v>9999999</v>
      </c>
      <c r="V442" s="614">
        <f t="shared" si="90"/>
        <v>9999999</v>
      </c>
      <c r="W442" s="614">
        <f t="shared" si="90"/>
        <v>9999999</v>
      </c>
      <c r="X442" s="614">
        <f t="shared" si="90"/>
        <v>9999999</v>
      </c>
      <c r="Y442" s="614">
        <f t="shared" si="90"/>
        <v>9999999</v>
      </c>
    </row>
    <row r="443" spans="8:26">
      <c r="H443" s="602" t="s">
        <v>940</v>
      </c>
      <c r="L443" s="556" t="s">
        <v>899</v>
      </c>
      <c r="N443" s="614">
        <f t="shared" ref="N443:Y445" si="91">IF(N$436,$O387,$O403)</f>
        <v>9999999</v>
      </c>
      <c r="O443" s="614">
        <f t="shared" si="91"/>
        <v>9999999</v>
      </c>
      <c r="P443" s="614">
        <f t="shared" si="91"/>
        <v>9999999</v>
      </c>
      <c r="Q443" s="614">
        <f t="shared" si="91"/>
        <v>9999999</v>
      </c>
      <c r="R443" s="614">
        <f t="shared" si="91"/>
        <v>9999999</v>
      </c>
      <c r="S443" s="614">
        <f t="shared" si="91"/>
        <v>9999999</v>
      </c>
      <c r="T443" s="614">
        <f t="shared" si="91"/>
        <v>9999999</v>
      </c>
      <c r="U443" s="614">
        <f t="shared" si="91"/>
        <v>9999999</v>
      </c>
      <c r="V443" s="614">
        <f t="shared" si="91"/>
        <v>9999999</v>
      </c>
      <c r="W443" s="614">
        <f t="shared" si="91"/>
        <v>9999999</v>
      </c>
      <c r="X443" s="614">
        <f t="shared" si="91"/>
        <v>9999999</v>
      </c>
      <c r="Y443" s="614">
        <f t="shared" si="91"/>
        <v>9999999</v>
      </c>
    </row>
    <row r="444" spans="8:26">
      <c r="H444" s="602" t="s">
        <v>940</v>
      </c>
      <c r="L444" s="556" t="s">
        <v>900</v>
      </c>
      <c r="N444" s="614">
        <f t="shared" si="91"/>
        <v>9999999</v>
      </c>
      <c r="O444" s="614">
        <f t="shared" si="91"/>
        <v>9999999</v>
      </c>
      <c r="P444" s="614">
        <f t="shared" si="91"/>
        <v>9999999</v>
      </c>
      <c r="Q444" s="614">
        <f t="shared" si="91"/>
        <v>9999999</v>
      </c>
      <c r="R444" s="614">
        <f t="shared" si="91"/>
        <v>9999999</v>
      </c>
      <c r="S444" s="614">
        <f t="shared" si="91"/>
        <v>9999999</v>
      </c>
      <c r="T444" s="614">
        <f t="shared" si="91"/>
        <v>9999999</v>
      </c>
      <c r="U444" s="614">
        <f t="shared" si="91"/>
        <v>9999999</v>
      </c>
      <c r="V444" s="614">
        <f t="shared" si="91"/>
        <v>9999999</v>
      </c>
      <c r="W444" s="614">
        <f t="shared" si="91"/>
        <v>9999999</v>
      </c>
      <c r="X444" s="614">
        <f t="shared" si="91"/>
        <v>9999999</v>
      </c>
      <c r="Y444" s="614">
        <f t="shared" si="91"/>
        <v>9999999</v>
      </c>
    </row>
    <row r="445" spans="8:26">
      <c r="H445" s="602" t="s">
        <v>940</v>
      </c>
      <c r="L445" s="556" t="s">
        <v>901</v>
      </c>
      <c r="N445" s="614">
        <f t="shared" si="91"/>
        <v>9999999</v>
      </c>
      <c r="O445" s="614">
        <f t="shared" si="91"/>
        <v>9999999</v>
      </c>
      <c r="P445" s="614">
        <f t="shared" si="91"/>
        <v>9999999</v>
      </c>
      <c r="Q445" s="614">
        <f t="shared" si="91"/>
        <v>9999999</v>
      </c>
      <c r="R445" s="614">
        <f t="shared" si="91"/>
        <v>9999999</v>
      </c>
      <c r="S445" s="614">
        <f t="shared" si="91"/>
        <v>9999999</v>
      </c>
      <c r="T445" s="614">
        <f t="shared" si="91"/>
        <v>9999999</v>
      </c>
      <c r="U445" s="614">
        <f t="shared" si="91"/>
        <v>9999999</v>
      </c>
      <c r="V445" s="614">
        <f t="shared" si="91"/>
        <v>9999999</v>
      </c>
      <c r="W445" s="614">
        <f t="shared" si="91"/>
        <v>9999999</v>
      </c>
      <c r="X445" s="614">
        <f t="shared" si="91"/>
        <v>9999999</v>
      </c>
      <c r="Y445" s="614">
        <f t="shared" si="91"/>
        <v>9999999</v>
      </c>
    </row>
    <row r="446" spans="8:26">
      <c r="H446" s="602" t="s">
        <v>940</v>
      </c>
      <c r="N446" s="614"/>
      <c r="O446" s="747"/>
      <c r="P446" s="614"/>
      <c r="Q446" s="614"/>
      <c r="R446" s="614"/>
      <c r="S446" s="614"/>
      <c r="T446" s="618"/>
    </row>
    <row r="447" spans="8:26">
      <c r="H447" s="602" t="s">
        <v>940</v>
      </c>
      <c r="L447" s="556" t="s">
        <v>902</v>
      </c>
      <c r="N447" s="747">
        <f t="shared" ref="N447:Y450" si="92">IF(N$436,$O391,$O407)</f>
        <v>0</v>
      </c>
      <c r="O447" s="747">
        <f t="shared" si="92"/>
        <v>0</v>
      </c>
      <c r="P447" s="747">
        <f t="shared" si="92"/>
        <v>0</v>
      </c>
      <c r="Q447" s="747">
        <f t="shared" si="92"/>
        <v>0</v>
      </c>
      <c r="R447" s="747">
        <f t="shared" si="92"/>
        <v>0</v>
      </c>
      <c r="S447" s="747">
        <f t="shared" si="92"/>
        <v>0</v>
      </c>
      <c r="T447" s="747">
        <f t="shared" si="92"/>
        <v>0</v>
      </c>
      <c r="U447" s="747">
        <f t="shared" si="92"/>
        <v>0</v>
      </c>
      <c r="V447" s="747">
        <f t="shared" si="92"/>
        <v>0</v>
      </c>
      <c r="W447" s="747">
        <f t="shared" si="92"/>
        <v>0</v>
      </c>
      <c r="X447" s="747">
        <f t="shared" si="92"/>
        <v>0</v>
      </c>
      <c r="Y447" s="747">
        <f t="shared" si="92"/>
        <v>0</v>
      </c>
    </row>
    <row r="448" spans="8:26">
      <c r="H448" s="602" t="s">
        <v>940</v>
      </c>
      <c r="L448" s="556" t="s">
        <v>904</v>
      </c>
      <c r="N448" s="747">
        <f t="shared" si="92"/>
        <v>0</v>
      </c>
      <c r="O448" s="747">
        <f t="shared" si="92"/>
        <v>0</v>
      </c>
      <c r="P448" s="747">
        <f t="shared" si="92"/>
        <v>0</v>
      </c>
      <c r="Q448" s="747">
        <f t="shared" si="92"/>
        <v>0</v>
      </c>
      <c r="R448" s="747">
        <f t="shared" si="92"/>
        <v>0</v>
      </c>
      <c r="S448" s="747">
        <f t="shared" si="92"/>
        <v>0</v>
      </c>
      <c r="T448" s="747">
        <f t="shared" si="92"/>
        <v>0</v>
      </c>
      <c r="U448" s="747">
        <f t="shared" si="92"/>
        <v>0</v>
      </c>
      <c r="V448" s="747">
        <f t="shared" si="92"/>
        <v>0</v>
      </c>
      <c r="W448" s="747">
        <f t="shared" si="92"/>
        <v>0</v>
      </c>
      <c r="X448" s="747">
        <f t="shared" si="92"/>
        <v>0</v>
      </c>
      <c r="Y448" s="747">
        <f t="shared" si="92"/>
        <v>0</v>
      </c>
    </row>
    <row r="449" spans="8:27">
      <c r="H449" s="602" t="s">
        <v>940</v>
      </c>
      <c r="L449" s="556" t="s">
        <v>905</v>
      </c>
      <c r="N449" s="747">
        <f t="shared" si="92"/>
        <v>0</v>
      </c>
      <c r="O449" s="747">
        <f t="shared" si="92"/>
        <v>0</v>
      </c>
      <c r="P449" s="747">
        <f t="shared" si="92"/>
        <v>0</v>
      </c>
      <c r="Q449" s="747">
        <f t="shared" si="92"/>
        <v>0</v>
      </c>
      <c r="R449" s="747">
        <f t="shared" si="92"/>
        <v>0</v>
      </c>
      <c r="S449" s="747">
        <f t="shared" si="92"/>
        <v>0</v>
      </c>
      <c r="T449" s="747">
        <f t="shared" si="92"/>
        <v>0</v>
      </c>
      <c r="U449" s="747">
        <f t="shared" si="92"/>
        <v>0</v>
      </c>
      <c r="V449" s="747">
        <f t="shared" si="92"/>
        <v>0</v>
      </c>
      <c r="W449" s="747">
        <f t="shared" si="92"/>
        <v>0</v>
      </c>
      <c r="X449" s="747">
        <f t="shared" si="92"/>
        <v>0</v>
      </c>
      <c r="Y449" s="747">
        <f t="shared" si="92"/>
        <v>0</v>
      </c>
    </row>
    <row r="450" spans="8:27">
      <c r="H450" s="602" t="s">
        <v>940</v>
      </c>
      <c r="L450" s="556" t="s">
        <v>906</v>
      </c>
      <c r="N450" s="747">
        <f t="shared" si="92"/>
        <v>0</v>
      </c>
      <c r="O450" s="747">
        <f t="shared" si="92"/>
        <v>0</v>
      </c>
      <c r="P450" s="747">
        <f t="shared" si="92"/>
        <v>0</v>
      </c>
      <c r="Q450" s="747">
        <f t="shared" si="92"/>
        <v>0</v>
      </c>
      <c r="R450" s="747">
        <f t="shared" si="92"/>
        <v>0</v>
      </c>
      <c r="S450" s="747">
        <f t="shared" si="92"/>
        <v>0</v>
      </c>
      <c r="T450" s="747">
        <f t="shared" si="92"/>
        <v>0</v>
      </c>
      <c r="U450" s="747">
        <f t="shared" si="92"/>
        <v>0</v>
      </c>
      <c r="V450" s="747">
        <f t="shared" si="92"/>
        <v>0</v>
      </c>
      <c r="W450" s="747">
        <f t="shared" si="92"/>
        <v>0</v>
      </c>
      <c r="X450" s="747">
        <f t="shared" si="92"/>
        <v>0</v>
      </c>
      <c r="Y450" s="747">
        <f t="shared" si="92"/>
        <v>0</v>
      </c>
    </row>
    <row r="451" spans="8:27">
      <c r="H451" s="602" t="s">
        <v>940</v>
      </c>
      <c r="N451" s="741"/>
      <c r="O451" s="741"/>
      <c r="P451" s="614"/>
      <c r="Q451" s="614"/>
      <c r="R451" s="614"/>
      <c r="S451" s="614"/>
    </row>
    <row r="452" spans="8:27" ht="18">
      <c r="H452" s="602" t="s">
        <v>940</v>
      </c>
      <c r="L452" s="652" t="s">
        <v>1275</v>
      </c>
      <c r="M452" s="551"/>
      <c r="N452" s="551"/>
      <c r="O452" s="551"/>
      <c r="P452" s="551"/>
      <c r="Q452" s="551"/>
      <c r="R452" s="551"/>
      <c r="S452" s="551"/>
      <c r="T452" s="551"/>
      <c r="U452" s="551"/>
      <c r="V452" s="551"/>
      <c r="W452" s="551"/>
      <c r="X452" s="551"/>
      <c r="Y452" s="551"/>
      <c r="Z452" s="551"/>
    </row>
    <row r="453" spans="8:27">
      <c r="H453" s="602" t="s">
        <v>940</v>
      </c>
      <c r="N453" s="741"/>
      <c r="O453" s="741"/>
      <c r="P453" s="614"/>
      <c r="Q453" s="614"/>
      <c r="R453" s="614"/>
      <c r="S453" s="614"/>
    </row>
    <row r="454" spans="8:27">
      <c r="H454" s="602" t="s">
        <v>940</v>
      </c>
      <c r="L454" s="609" t="s">
        <v>1276</v>
      </c>
      <c r="P454" s="609" t="s">
        <v>1277</v>
      </c>
      <c r="R454" s="614"/>
      <c r="S454" s="614"/>
    </row>
    <row r="455" spans="8:27">
      <c r="H455" s="602" t="s">
        <v>940</v>
      </c>
      <c r="L455" s="556" t="s">
        <v>1278</v>
      </c>
      <c r="P455" s="556" t="e">
        <f>SUM(Location!D14:D25)</f>
        <v>#N/A</v>
      </c>
      <c r="R455" s="614"/>
      <c r="S455" s="614"/>
    </row>
    <row r="456" spans="8:27">
      <c r="H456" s="602" t="s">
        <v>940</v>
      </c>
      <c r="L456" s="556" t="s">
        <v>1279</v>
      </c>
      <c r="P456" s="556" t="e">
        <f>SUM(Location!D27:D38)</f>
        <v>#N/A</v>
      </c>
      <c r="R456" s="614"/>
      <c r="S456" s="614"/>
    </row>
    <row r="457" spans="8:27">
      <c r="H457" s="602" t="s">
        <v>940</v>
      </c>
      <c r="P457" s="616"/>
      <c r="R457" s="614"/>
      <c r="S457" s="614"/>
    </row>
    <row r="458" spans="8:27">
      <c r="H458" s="602" t="s">
        <v>940</v>
      </c>
      <c r="N458" s="704" t="s">
        <v>405</v>
      </c>
      <c r="O458" s="704" t="s">
        <v>1259</v>
      </c>
      <c r="P458" s="750" t="s">
        <v>1260</v>
      </c>
      <c r="Q458" s="704" t="s">
        <v>1261</v>
      </c>
      <c r="R458" s="750" t="s">
        <v>1262</v>
      </c>
      <c r="S458" s="704" t="s">
        <v>947</v>
      </c>
      <c r="T458" s="750" t="s">
        <v>1263</v>
      </c>
      <c r="U458" s="704" t="s">
        <v>1264</v>
      </c>
      <c r="V458" s="750" t="s">
        <v>1265</v>
      </c>
      <c r="W458" s="704" t="s">
        <v>1266</v>
      </c>
      <c r="X458" s="750" t="s">
        <v>1267</v>
      </c>
      <c r="Y458" s="704" t="s">
        <v>1268</v>
      </c>
      <c r="Z458" s="750" t="s">
        <v>1269</v>
      </c>
    </row>
    <row r="459" spans="8:27">
      <c r="H459" s="602" t="s">
        <v>940</v>
      </c>
      <c r="L459" s="556" t="s">
        <v>1280</v>
      </c>
      <c r="N459" s="614" t="e">
        <f>SUM(O459:Z459)</f>
        <v>#N/A</v>
      </c>
      <c r="O459" s="614" t="e">
        <f>Location!D14</f>
        <v>#N/A</v>
      </c>
      <c r="P459" s="614" t="e">
        <f>Location!D15</f>
        <v>#N/A</v>
      </c>
      <c r="Q459" s="614" t="e">
        <f>Location!D16</f>
        <v>#N/A</v>
      </c>
      <c r="R459" s="614" t="e">
        <f>Location!D17</f>
        <v>#N/A</v>
      </c>
      <c r="S459" s="614" t="e">
        <f>Location!D18</f>
        <v>#N/A</v>
      </c>
      <c r="T459" s="614" t="e">
        <f>Location!D19</f>
        <v>#N/A</v>
      </c>
      <c r="U459" s="614" t="e">
        <f>Location!D20</f>
        <v>#N/A</v>
      </c>
      <c r="V459" s="614" t="e">
        <f>Location!D21</f>
        <v>#N/A</v>
      </c>
      <c r="W459" s="614" t="e">
        <f>Location!D22</f>
        <v>#N/A</v>
      </c>
      <c r="X459" s="614" t="e">
        <f>Location!D23</f>
        <v>#N/A</v>
      </c>
      <c r="Y459" s="614" t="e">
        <f>Location!D24</f>
        <v>#N/A</v>
      </c>
      <c r="Z459" s="614" t="e">
        <f>Location!D25</f>
        <v>#N/A</v>
      </c>
    </row>
    <row r="460" spans="8:27">
      <c r="H460" s="602" t="s">
        <v>940</v>
      </c>
      <c r="L460" s="556" t="s">
        <v>1281</v>
      </c>
      <c r="N460" s="614" t="e">
        <f>SUM(O460:Z460)</f>
        <v>#N/A</v>
      </c>
      <c r="O460" s="614" t="e">
        <f>Location!D27</f>
        <v>#N/A</v>
      </c>
      <c r="P460" s="614" t="e">
        <f>Location!D28</f>
        <v>#N/A</v>
      </c>
      <c r="Q460" s="614" t="e">
        <f>Location!D29</f>
        <v>#N/A</v>
      </c>
      <c r="R460" s="614" t="e">
        <f>Location!D30</f>
        <v>#N/A</v>
      </c>
      <c r="S460" s="614" t="e">
        <f>Location!D31</f>
        <v>#N/A</v>
      </c>
      <c r="T460" s="614" t="e">
        <f>Location!D32</f>
        <v>#N/A</v>
      </c>
      <c r="U460" s="614" t="e">
        <f>Location!D33</f>
        <v>#N/A</v>
      </c>
      <c r="V460" s="614" t="e">
        <f>Location!D34</f>
        <v>#N/A</v>
      </c>
      <c r="W460" s="614" t="e">
        <f>Location!D35</f>
        <v>#N/A</v>
      </c>
      <c r="X460" s="614" t="e">
        <f>Location!D36</f>
        <v>#N/A</v>
      </c>
      <c r="Y460" s="614" t="e">
        <f>Location!D37</f>
        <v>#N/A</v>
      </c>
      <c r="Z460" s="614" t="e">
        <f>Location!D38</f>
        <v>#N/A</v>
      </c>
    </row>
    <row r="461" spans="8:27">
      <c r="H461" s="602" t="s">
        <v>940</v>
      </c>
      <c r="N461" s="614"/>
      <c r="O461" s="614"/>
      <c r="P461" s="614"/>
      <c r="Q461" s="614"/>
      <c r="R461" s="614"/>
      <c r="S461" s="614"/>
      <c r="T461" s="614"/>
      <c r="U461" s="614"/>
      <c r="V461" s="614"/>
      <c r="W461" s="614"/>
      <c r="X461" s="614"/>
      <c r="Y461" s="614"/>
      <c r="Z461" s="614"/>
    </row>
    <row r="462" spans="8:27">
      <c r="H462" s="602" t="s">
        <v>940</v>
      </c>
      <c r="L462" s="556" t="s">
        <v>1282</v>
      </c>
      <c r="N462" s="724" t="e">
        <f>SUM(O462:Z462)</f>
        <v>#N/A</v>
      </c>
      <c r="O462" s="735" t="e">
        <f>IF($N459&gt;0, O459/$N459, 0)</f>
        <v>#N/A</v>
      </c>
      <c r="P462" s="735" t="e">
        <f t="shared" ref="P462:Z462" si="93">IF($N459&gt;0, P459/$N459, 0)</f>
        <v>#N/A</v>
      </c>
      <c r="Q462" s="735" t="e">
        <f t="shared" si="93"/>
        <v>#N/A</v>
      </c>
      <c r="R462" s="735" t="e">
        <f t="shared" si="93"/>
        <v>#N/A</v>
      </c>
      <c r="S462" s="735" t="e">
        <f t="shared" si="93"/>
        <v>#N/A</v>
      </c>
      <c r="T462" s="735" t="e">
        <f t="shared" si="93"/>
        <v>#N/A</v>
      </c>
      <c r="U462" s="735" t="e">
        <f t="shared" si="93"/>
        <v>#N/A</v>
      </c>
      <c r="V462" s="735" t="e">
        <f t="shared" si="93"/>
        <v>#N/A</v>
      </c>
      <c r="W462" s="735" t="e">
        <f t="shared" si="93"/>
        <v>#N/A</v>
      </c>
      <c r="X462" s="735" t="e">
        <f t="shared" si="93"/>
        <v>#N/A</v>
      </c>
      <c r="Y462" s="735" t="e">
        <f t="shared" si="93"/>
        <v>#N/A</v>
      </c>
      <c r="Z462" s="735" t="e">
        <f t="shared" si="93"/>
        <v>#N/A</v>
      </c>
      <c r="AA462" s="706" t="s">
        <v>1283</v>
      </c>
    </row>
    <row r="463" spans="8:27">
      <c r="H463" s="602" t="s">
        <v>940</v>
      </c>
      <c r="L463" s="556" t="s">
        <v>1284</v>
      </c>
      <c r="N463" s="724" t="e">
        <f>SUM(O463:Z463)</f>
        <v>#N/A</v>
      </c>
      <c r="O463" s="724" t="e">
        <f>O460/$N460</f>
        <v>#N/A</v>
      </c>
      <c r="P463" s="724" t="e">
        <f t="shared" ref="P463:Z463" si="94">P460/$N460</f>
        <v>#N/A</v>
      </c>
      <c r="Q463" s="724" t="e">
        <f t="shared" si="94"/>
        <v>#N/A</v>
      </c>
      <c r="R463" s="724" t="e">
        <f t="shared" si="94"/>
        <v>#N/A</v>
      </c>
      <c r="S463" s="724" t="e">
        <f t="shared" si="94"/>
        <v>#N/A</v>
      </c>
      <c r="T463" s="724" t="e">
        <f t="shared" si="94"/>
        <v>#N/A</v>
      </c>
      <c r="U463" s="724" t="e">
        <f t="shared" si="94"/>
        <v>#N/A</v>
      </c>
      <c r="V463" s="724" t="e">
        <f t="shared" si="94"/>
        <v>#N/A</v>
      </c>
      <c r="W463" s="724" t="e">
        <f t="shared" si="94"/>
        <v>#N/A</v>
      </c>
      <c r="X463" s="724" t="e">
        <f t="shared" si="94"/>
        <v>#N/A</v>
      </c>
      <c r="Y463" s="724" t="e">
        <f t="shared" si="94"/>
        <v>#N/A</v>
      </c>
      <c r="Z463" s="724" t="e">
        <f t="shared" si="94"/>
        <v>#N/A</v>
      </c>
    </row>
    <row r="464" spans="8:27">
      <c r="H464" s="602" t="s">
        <v>940</v>
      </c>
      <c r="N464" s="724"/>
      <c r="O464" s="724"/>
      <c r="P464" s="724"/>
      <c r="Q464" s="724"/>
      <c r="R464" s="724"/>
      <c r="S464" s="724"/>
      <c r="T464" s="724"/>
      <c r="U464" s="724"/>
      <c r="V464" s="724"/>
      <c r="W464" s="724"/>
      <c r="X464" s="724"/>
      <c r="Y464" s="724"/>
      <c r="Z464" s="724"/>
    </row>
    <row r="465" spans="8:92">
      <c r="H465" s="602" t="s">
        <v>940</v>
      </c>
      <c r="L465" s="556" t="s">
        <v>1285</v>
      </c>
      <c r="N465" s="724" t="e">
        <f>SUM(O465:Z465)</f>
        <v>#N/A</v>
      </c>
      <c r="O465" s="724" t="e">
        <f>O462*12</f>
        <v>#N/A</v>
      </c>
      <c r="P465" s="724" t="e">
        <f t="shared" ref="P465:Z466" si="95">P462*12</f>
        <v>#N/A</v>
      </c>
      <c r="Q465" s="724" t="e">
        <f t="shared" si="95"/>
        <v>#N/A</v>
      </c>
      <c r="R465" s="724" t="e">
        <f t="shared" si="95"/>
        <v>#N/A</v>
      </c>
      <c r="S465" s="724" t="e">
        <f t="shared" si="95"/>
        <v>#N/A</v>
      </c>
      <c r="T465" s="724" t="e">
        <f t="shared" si="95"/>
        <v>#N/A</v>
      </c>
      <c r="U465" s="724" t="e">
        <f t="shared" si="95"/>
        <v>#N/A</v>
      </c>
      <c r="V465" s="724" t="e">
        <f t="shared" si="95"/>
        <v>#N/A</v>
      </c>
      <c r="W465" s="724" t="e">
        <f t="shared" si="95"/>
        <v>#N/A</v>
      </c>
      <c r="X465" s="724" t="e">
        <f t="shared" si="95"/>
        <v>#N/A</v>
      </c>
      <c r="Y465" s="724" t="e">
        <f t="shared" si="95"/>
        <v>#N/A</v>
      </c>
      <c r="Z465" s="724" t="e">
        <f t="shared" si="95"/>
        <v>#N/A</v>
      </c>
    </row>
    <row r="466" spans="8:92">
      <c r="H466" s="602" t="s">
        <v>940</v>
      </c>
      <c r="L466" s="556" t="s">
        <v>1286</v>
      </c>
      <c r="N466" s="724" t="e">
        <f>SUM(O466:Z466)</f>
        <v>#N/A</v>
      </c>
      <c r="O466" s="724" t="e">
        <f>O463*12</f>
        <v>#N/A</v>
      </c>
      <c r="P466" s="724" t="e">
        <f t="shared" si="95"/>
        <v>#N/A</v>
      </c>
      <c r="Q466" s="724" t="e">
        <f t="shared" si="95"/>
        <v>#N/A</v>
      </c>
      <c r="R466" s="724" t="e">
        <f t="shared" si="95"/>
        <v>#N/A</v>
      </c>
      <c r="S466" s="724" t="e">
        <f t="shared" si="95"/>
        <v>#N/A</v>
      </c>
      <c r="T466" s="724" t="e">
        <f t="shared" si="95"/>
        <v>#N/A</v>
      </c>
      <c r="U466" s="724" t="e">
        <f t="shared" si="95"/>
        <v>#N/A</v>
      </c>
      <c r="V466" s="724" t="e">
        <f t="shared" si="95"/>
        <v>#N/A</v>
      </c>
      <c r="W466" s="724" t="e">
        <f t="shared" si="95"/>
        <v>#N/A</v>
      </c>
      <c r="X466" s="724" t="e">
        <f t="shared" si="95"/>
        <v>#N/A</v>
      </c>
      <c r="Y466" s="724" t="e">
        <f t="shared" si="95"/>
        <v>#N/A</v>
      </c>
      <c r="Z466" s="724" t="e">
        <f t="shared" si="95"/>
        <v>#N/A</v>
      </c>
    </row>
    <row r="467" spans="8:92">
      <c r="H467" s="602" t="s">
        <v>940</v>
      </c>
      <c r="N467" s="615"/>
      <c r="O467" s="615"/>
      <c r="P467" s="615"/>
      <c r="Q467" s="615"/>
      <c r="R467" s="614"/>
      <c r="S467" s="614"/>
      <c r="T467" s="615"/>
      <c r="U467" s="615"/>
      <c r="V467" s="615"/>
      <c r="W467" s="615"/>
      <c r="X467" s="615"/>
      <c r="Y467" s="615"/>
      <c r="Z467" s="615"/>
    </row>
    <row r="468" spans="8:92">
      <c r="H468" s="602" t="s">
        <v>940</v>
      </c>
      <c r="L468" s="556" t="s">
        <v>1287</v>
      </c>
      <c r="N468" s="556" t="e">
        <f>P455-N459</f>
        <v>#N/A</v>
      </c>
      <c r="P468" s="616"/>
      <c r="R468" s="614"/>
      <c r="S468" s="614"/>
    </row>
    <row r="469" spans="8:92">
      <c r="H469" s="602" t="s">
        <v>940</v>
      </c>
      <c r="L469" s="556" t="s">
        <v>1288</v>
      </c>
      <c r="N469" s="615" t="e">
        <f>P456-N460</f>
        <v>#N/A</v>
      </c>
      <c r="P469" s="738"/>
      <c r="Q469" s="738"/>
      <c r="R469" s="614"/>
      <c r="S469" s="614"/>
    </row>
    <row r="470" spans="8:92">
      <c r="H470" s="602" t="s">
        <v>940</v>
      </c>
      <c r="N470" s="615"/>
      <c r="P470" s="738"/>
      <c r="Q470" s="738"/>
      <c r="R470" s="614"/>
      <c r="S470" s="614"/>
    </row>
    <row r="471" spans="8:92" ht="18">
      <c r="H471" s="602" t="s">
        <v>940</v>
      </c>
      <c r="L471" s="652" t="s">
        <v>1289</v>
      </c>
      <c r="M471" s="551"/>
      <c r="N471" s="751"/>
      <c r="O471" s="551"/>
      <c r="P471" s="752"/>
      <c r="Q471" s="752"/>
      <c r="R471" s="749"/>
      <c r="S471" s="749"/>
      <c r="T471" s="551"/>
      <c r="U471" s="551"/>
      <c r="V471" s="551"/>
      <c r="W471" s="551"/>
      <c r="X471" s="551"/>
      <c r="Y471" s="551"/>
      <c r="Z471" s="551"/>
      <c r="AA471" s="551"/>
      <c r="AB471" s="551"/>
      <c r="AC471" s="551"/>
      <c r="AD471" s="551"/>
      <c r="AE471" s="551"/>
      <c r="AF471" s="551"/>
      <c r="AG471" s="551"/>
      <c r="AH471" s="551"/>
      <c r="AI471" s="551"/>
      <c r="AJ471" s="551"/>
      <c r="AK471" s="551"/>
      <c r="AL471" s="551"/>
      <c r="AM471" s="551"/>
      <c r="AN471" s="551"/>
      <c r="AO471" s="551"/>
      <c r="AP471" s="551"/>
      <c r="AQ471" s="551"/>
      <c r="AR471" s="551"/>
      <c r="AS471" s="551"/>
      <c r="AT471" s="551"/>
      <c r="AU471" s="551"/>
      <c r="AV471" s="551"/>
      <c r="AW471" s="551"/>
      <c r="AX471" s="551"/>
      <c r="AY471" s="551"/>
      <c r="AZ471" s="551"/>
      <c r="BA471" s="551"/>
      <c r="BB471" s="551"/>
      <c r="BC471" s="551"/>
      <c r="BD471" s="551"/>
      <c r="BE471" s="551"/>
      <c r="BF471" s="551"/>
      <c r="BG471" s="551"/>
      <c r="BH471" s="551"/>
      <c r="BI471" s="551"/>
      <c r="BJ471" s="551"/>
      <c r="BK471" s="551"/>
      <c r="BL471" s="551"/>
      <c r="BM471" s="551"/>
      <c r="BN471" s="551"/>
      <c r="BO471" s="551"/>
      <c r="BP471" s="551"/>
      <c r="BQ471" s="551"/>
      <c r="BR471" s="551"/>
      <c r="BS471" s="551"/>
      <c r="BT471" s="551"/>
      <c r="BU471" s="551"/>
      <c r="BV471" s="551"/>
      <c r="BW471" s="551"/>
      <c r="BX471" s="551"/>
      <c r="BY471" s="551"/>
      <c r="BZ471" s="551"/>
      <c r="CA471" s="551"/>
      <c r="CB471" s="551"/>
      <c r="CC471" s="551"/>
      <c r="CD471" s="551"/>
      <c r="CE471" s="551"/>
      <c r="CF471" s="551"/>
      <c r="CG471" s="551"/>
      <c r="CH471" s="551"/>
      <c r="CI471" s="551"/>
      <c r="CJ471" s="551"/>
      <c r="CK471" s="551"/>
      <c r="CL471" s="551"/>
      <c r="CM471" s="551"/>
      <c r="CN471" s="551"/>
    </row>
    <row r="472" spans="8:92">
      <c r="H472" s="602" t="s">
        <v>940</v>
      </c>
      <c r="N472" s="615"/>
      <c r="P472" s="738"/>
      <c r="Q472" s="738"/>
      <c r="R472" s="614"/>
      <c r="S472" s="614"/>
    </row>
    <row r="473" spans="8:92">
      <c r="H473" s="602" t="s">
        <v>940</v>
      </c>
      <c r="L473" s="609" t="s">
        <v>1290</v>
      </c>
      <c r="M473" s="609" t="s">
        <v>359</v>
      </c>
      <c r="N473" s="704" t="s">
        <v>929</v>
      </c>
      <c r="O473" s="704" t="s">
        <v>1193</v>
      </c>
      <c r="P473" s="704" t="s">
        <v>1194</v>
      </c>
      <c r="Q473" s="704" t="s">
        <v>1195</v>
      </c>
      <c r="R473" s="704" t="s">
        <v>1196</v>
      </c>
      <c r="S473" s="704" t="s">
        <v>1197</v>
      </c>
      <c r="T473" s="753"/>
      <c r="U473" s="692" t="s">
        <v>929</v>
      </c>
      <c r="AF473" s="753"/>
      <c r="AG473" s="704" t="s">
        <v>1193</v>
      </c>
      <c r="AR473" s="753"/>
      <c r="AS473" s="704" t="s">
        <v>1194</v>
      </c>
      <c r="BD473" s="753"/>
      <c r="BE473" s="704" t="s">
        <v>1195</v>
      </c>
      <c r="BP473" s="753"/>
      <c r="BQ473" s="704" t="s">
        <v>1196</v>
      </c>
      <c r="CB473" s="753"/>
      <c r="CC473" s="704" t="s">
        <v>1197</v>
      </c>
    </row>
    <row r="474" spans="8:92">
      <c r="H474" s="602" t="s">
        <v>940</v>
      </c>
      <c r="L474" s="611"/>
      <c r="M474" s="611"/>
      <c r="N474" s="754" t="s">
        <v>405</v>
      </c>
      <c r="O474" s="754" t="s">
        <v>405</v>
      </c>
      <c r="P474" s="754" t="s">
        <v>405</v>
      </c>
      <c r="Q474" s="754" t="s">
        <v>405</v>
      </c>
      <c r="R474" s="754" t="s">
        <v>405</v>
      </c>
      <c r="S474" s="754" t="s">
        <v>405</v>
      </c>
      <c r="T474" s="755"/>
      <c r="U474" s="754" t="s">
        <v>1259</v>
      </c>
      <c r="V474" s="754" t="s">
        <v>1260</v>
      </c>
      <c r="W474" s="754" t="s">
        <v>1261</v>
      </c>
      <c r="X474" s="754" t="s">
        <v>1262</v>
      </c>
      <c r="Y474" s="754" t="s">
        <v>947</v>
      </c>
      <c r="Z474" s="754" t="s">
        <v>1263</v>
      </c>
      <c r="AA474" s="754" t="s">
        <v>1264</v>
      </c>
      <c r="AB474" s="754" t="s">
        <v>1265</v>
      </c>
      <c r="AC474" s="754" t="s">
        <v>1266</v>
      </c>
      <c r="AD474" s="754" t="s">
        <v>1267</v>
      </c>
      <c r="AE474" s="754" t="s">
        <v>1268</v>
      </c>
      <c r="AF474" s="756" t="s">
        <v>1269</v>
      </c>
      <c r="AG474" s="754" t="s">
        <v>1259</v>
      </c>
      <c r="AH474" s="754" t="s">
        <v>1260</v>
      </c>
      <c r="AI474" s="754" t="s">
        <v>1261</v>
      </c>
      <c r="AJ474" s="754" t="s">
        <v>1262</v>
      </c>
      <c r="AK474" s="754" t="s">
        <v>947</v>
      </c>
      <c r="AL474" s="754" t="s">
        <v>1263</v>
      </c>
      <c r="AM474" s="754" t="s">
        <v>1264</v>
      </c>
      <c r="AN474" s="754" t="s">
        <v>1265</v>
      </c>
      <c r="AO474" s="754" t="s">
        <v>1266</v>
      </c>
      <c r="AP474" s="754" t="s">
        <v>1267</v>
      </c>
      <c r="AQ474" s="754" t="s">
        <v>1268</v>
      </c>
      <c r="AR474" s="756" t="s">
        <v>1269</v>
      </c>
      <c r="AS474" s="754" t="s">
        <v>1259</v>
      </c>
      <c r="AT474" s="754" t="s">
        <v>1260</v>
      </c>
      <c r="AU474" s="754" t="s">
        <v>1261</v>
      </c>
      <c r="AV474" s="754" t="s">
        <v>1262</v>
      </c>
      <c r="AW474" s="754" t="s">
        <v>947</v>
      </c>
      <c r="AX474" s="754" t="s">
        <v>1263</v>
      </c>
      <c r="AY474" s="754" t="s">
        <v>1264</v>
      </c>
      <c r="AZ474" s="754" t="s">
        <v>1265</v>
      </c>
      <c r="BA474" s="754" t="s">
        <v>1266</v>
      </c>
      <c r="BB474" s="754" t="s">
        <v>1267</v>
      </c>
      <c r="BC474" s="754" t="s">
        <v>1268</v>
      </c>
      <c r="BD474" s="756" t="s">
        <v>1269</v>
      </c>
      <c r="BE474" s="754" t="s">
        <v>1259</v>
      </c>
      <c r="BF474" s="754" t="s">
        <v>1260</v>
      </c>
      <c r="BG474" s="754" t="s">
        <v>1261</v>
      </c>
      <c r="BH474" s="754" t="s">
        <v>1262</v>
      </c>
      <c r="BI474" s="754" t="s">
        <v>947</v>
      </c>
      <c r="BJ474" s="754" t="s">
        <v>1263</v>
      </c>
      <c r="BK474" s="754" t="s">
        <v>1264</v>
      </c>
      <c r="BL474" s="754" t="s">
        <v>1265</v>
      </c>
      <c r="BM474" s="754" t="s">
        <v>1266</v>
      </c>
      <c r="BN474" s="754" t="s">
        <v>1267</v>
      </c>
      <c r="BO474" s="754" t="s">
        <v>1268</v>
      </c>
      <c r="BP474" s="756" t="s">
        <v>1269</v>
      </c>
      <c r="BQ474" s="754" t="s">
        <v>1259</v>
      </c>
      <c r="BR474" s="754" t="s">
        <v>1260</v>
      </c>
      <c r="BS474" s="754" t="s">
        <v>1261</v>
      </c>
      <c r="BT474" s="754" t="s">
        <v>1262</v>
      </c>
      <c r="BU474" s="754" t="s">
        <v>947</v>
      </c>
      <c r="BV474" s="754" t="s">
        <v>1263</v>
      </c>
      <c r="BW474" s="754" t="s">
        <v>1264</v>
      </c>
      <c r="BX474" s="754" t="s">
        <v>1265</v>
      </c>
      <c r="BY474" s="754" t="s">
        <v>1266</v>
      </c>
      <c r="BZ474" s="754" t="s">
        <v>1267</v>
      </c>
      <c r="CA474" s="754" t="s">
        <v>1268</v>
      </c>
      <c r="CB474" s="756" t="s">
        <v>1269</v>
      </c>
      <c r="CC474" s="754" t="s">
        <v>1259</v>
      </c>
      <c r="CD474" s="754" t="s">
        <v>1260</v>
      </c>
      <c r="CE474" s="754" t="s">
        <v>1261</v>
      </c>
      <c r="CF474" s="754" t="s">
        <v>1262</v>
      </c>
      <c r="CG474" s="754" t="s">
        <v>947</v>
      </c>
      <c r="CH474" s="754" t="s">
        <v>1263</v>
      </c>
      <c r="CI474" s="754" t="s">
        <v>1264</v>
      </c>
      <c r="CJ474" s="754" t="s">
        <v>1265</v>
      </c>
      <c r="CK474" s="754" t="s">
        <v>1266</v>
      </c>
      <c r="CL474" s="754" t="s">
        <v>1267</v>
      </c>
      <c r="CM474" s="754" t="s">
        <v>1268</v>
      </c>
      <c r="CN474" s="754" t="s">
        <v>1269</v>
      </c>
    </row>
    <row r="475" spans="8:92">
      <c r="H475" s="602" t="s">
        <v>940</v>
      </c>
      <c r="L475" s="556" t="s">
        <v>1119</v>
      </c>
      <c r="M475" s="556" t="str">
        <f>P308</f>
        <v>Therms</v>
      </c>
      <c r="N475" s="615" t="e">
        <f>SUM(U475:AF475)</f>
        <v>#N/A</v>
      </c>
      <c r="O475" s="615" t="e">
        <f>SUM(AG475:AR475)</f>
        <v>#N/A</v>
      </c>
      <c r="P475" s="615" t="e">
        <f>SUM(AS475:BD475)</f>
        <v>#N/A</v>
      </c>
      <c r="Q475" s="615" t="e">
        <f>SUM(BE475:BP475)</f>
        <v>#N/A</v>
      </c>
      <c r="R475" s="615" t="e">
        <f>SUM(BQ475:CB475)</f>
        <v>#N/A</v>
      </c>
      <c r="S475" s="615" t="e">
        <f>SUM(CC475:CN475)</f>
        <v>#N/A</v>
      </c>
      <c r="U475" s="695" t="e">
        <f>$N$350*O465</f>
        <v>#N/A</v>
      </c>
      <c r="V475" s="695" t="e">
        <f t="shared" ref="V475:AF475" si="96">$N$350*P465</f>
        <v>#N/A</v>
      </c>
      <c r="W475" s="695" t="e">
        <f t="shared" si="96"/>
        <v>#N/A</v>
      </c>
      <c r="X475" s="695" t="e">
        <f t="shared" si="96"/>
        <v>#N/A</v>
      </c>
      <c r="Y475" s="695" t="e">
        <f t="shared" si="96"/>
        <v>#N/A</v>
      </c>
      <c r="Z475" s="695" t="e">
        <f t="shared" si="96"/>
        <v>#N/A</v>
      </c>
      <c r="AA475" s="695" t="e">
        <f t="shared" si="96"/>
        <v>#N/A</v>
      </c>
      <c r="AB475" s="695" t="e">
        <f t="shared" si="96"/>
        <v>#N/A</v>
      </c>
      <c r="AC475" s="695" t="e">
        <f t="shared" si="96"/>
        <v>#N/A</v>
      </c>
      <c r="AD475" s="695" t="e">
        <f t="shared" si="96"/>
        <v>#N/A</v>
      </c>
      <c r="AE475" s="695" t="e">
        <f t="shared" si="96"/>
        <v>#N/A</v>
      </c>
      <c r="AF475" s="695" t="e">
        <f t="shared" si="96"/>
        <v>#N/A</v>
      </c>
      <c r="AG475" s="695" t="e">
        <f>$O$350*O465</f>
        <v>#N/A</v>
      </c>
      <c r="AH475" s="695" t="e">
        <f t="shared" ref="AH475:AR475" si="97">$O$350*P465</f>
        <v>#N/A</v>
      </c>
      <c r="AI475" s="695" t="e">
        <f t="shared" si="97"/>
        <v>#N/A</v>
      </c>
      <c r="AJ475" s="695" t="e">
        <f t="shared" si="97"/>
        <v>#N/A</v>
      </c>
      <c r="AK475" s="695" t="e">
        <f t="shared" si="97"/>
        <v>#N/A</v>
      </c>
      <c r="AL475" s="695" t="e">
        <f t="shared" si="97"/>
        <v>#N/A</v>
      </c>
      <c r="AM475" s="695" t="e">
        <f t="shared" si="97"/>
        <v>#N/A</v>
      </c>
      <c r="AN475" s="695" t="e">
        <f t="shared" si="97"/>
        <v>#N/A</v>
      </c>
      <c r="AO475" s="695" t="e">
        <f t="shared" si="97"/>
        <v>#N/A</v>
      </c>
      <c r="AP475" s="695" t="e">
        <f t="shared" si="97"/>
        <v>#N/A</v>
      </c>
      <c r="AQ475" s="695" t="e">
        <f t="shared" si="97"/>
        <v>#N/A</v>
      </c>
      <c r="AR475" s="695" t="e">
        <f t="shared" si="97"/>
        <v>#N/A</v>
      </c>
      <c r="AS475" s="695" t="e">
        <f>$P$350*O465</f>
        <v>#N/A</v>
      </c>
      <c r="AT475" s="695" t="e">
        <f t="shared" ref="AT475:BD475" si="98">$P$350*P465</f>
        <v>#N/A</v>
      </c>
      <c r="AU475" s="695" t="e">
        <f t="shared" si="98"/>
        <v>#N/A</v>
      </c>
      <c r="AV475" s="695" t="e">
        <f t="shared" si="98"/>
        <v>#N/A</v>
      </c>
      <c r="AW475" s="695" t="e">
        <f t="shared" si="98"/>
        <v>#N/A</v>
      </c>
      <c r="AX475" s="695" t="e">
        <f t="shared" si="98"/>
        <v>#N/A</v>
      </c>
      <c r="AY475" s="695" t="e">
        <f t="shared" si="98"/>
        <v>#N/A</v>
      </c>
      <c r="AZ475" s="695" t="e">
        <f t="shared" si="98"/>
        <v>#N/A</v>
      </c>
      <c r="BA475" s="695" t="e">
        <f t="shared" si="98"/>
        <v>#N/A</v>
      </c>
      <c r="BB475" s="695" t="e">
        <f t="shared" si="98"/>
        <v>#N/A</v>
      </c>
      <c r="BC475" s="695" t="e">
        <f t="shared" si="98"/>
        <v>#N/A</v>
      </c>
      <c r="BD475" s="695" t="e">
        <f t="shared" si="98"/>
        <v>#N/A</v>
      </c>
      <c r="BE475" s="695" t="e">
        <f>$Q$350*O465</f>
        <v>#N/A</v>
      </c>
      <c r="BF475" s="695" t="e">
        <f t="shared" ref="BF475:BP475" si="99">$Q$350*P465</f>
        <v>#N/A</v>
      </c>
      <c r="BG475" s="695" t="e">
        <f t="shared" si="99"/>
        <v>#N/A</v>
      </c>
      <c r="BH475" s="695" t="e">
        <f t="shared" si="99"/>
        <v>#N/A</v>
      </c>
      <c r="BI475" s="695" t="e">
        <f t="shared" si="99"/>
        <v>#N/A</v>
      </c>
      <c r="BJ475" s="695" t="e">
        <f t="shared" si="99"/>
        <v>#N/A</v>
      </c>
      <c r="BK475" s="695" t="e">
        <f t="shared" si="99"/>
        <v>#N/A</v>
      </c>
      <c r="BL475" s="695" t="e">
        <f t="shared" si="99"/>
        <v>#N/A</v>
      </c>
      <c r="BM475" s="695" t="e">
        <f t="shared" si="99"/>
        <v>#N/A</v>
      </c>
      <c r="BN475" s="695" t="e">
        <f t="shared" si="99"/>
        <v>#N/A</v>
      </c>
      <c r="BO475" s="695" t="e">
        <f t="shared" si="99"/>
        <v>#N/A</v>
      </c>
      <c r="BP475" s="695" t="e">
        <f t="shared" si="99"/>
        <v>#N/A</v>
      </c>
      <c r="BQ475" s="695" t="e">
        <f>$R$350*O465</f>
        <v>#N/A</v>
      </c>
      <c r="BR475" s="695" t="e">
        <f t="shared" ref="BR475:CB475" si="100">$R$350*P465</f>
        <v>#N/A</v>
      </c>
      <c r="BS475" s="695" t="e">
        <f t="shared" si="100"/>
        <v>#N/A</v>
      </c>
      <c r="BT475" s="695" t="e">
        <f t="shared" si="100"/>
        <v>#N/A</v>
      </c>
      <c r="BU475" s="695" t="e">
        <f t="shared" si="100"/>
        <v>#N/A</v>
      </c>
      <c r="BV475" s="695" t="e">
        <f t="shared" si="100"/>
        <v>#N/A</v>
      </c>
      <c r="BW475" s="695" t="e">
        <f t="shared" si="100"/>
        <v>#N/A</v>
      </c>
      <c r="BX475" s="695" t="e">
        <f t="shared" si="100"/>
        <v>#N/A</v>
      </c>
      <c r="BY475" s="695" t="e">
        <f t="shared" si="100"/>
        <v>#N/A</v>
      </c>
      <c r="BZ475" s="695" t="e">
        <f t="shared" si="100"/>
        <v>#N/A</v>
      </c>
      <c r="CA475" s="695" t="e">
        <f t="shared" si="100"/>
        <v>#N/A</v>
      </c>
      <c r="CB475" s="695" t="e">
        <f t="shared" si="100"/>
        <v>#N/A</v>
      </c>
      <c r="CC475" s="695" t="e">
        <f>$S$350*O465</f>
        <v>#N/A</v>
      </c>
      <c r="CD475" s="695" t="e">
        <f t="shared" ref="CD475:CN475" si="101">$S$350*P465</f>
        <v>#N/A</v>
      </c>
      <c r="CE475" s="695" t="e">
        <f t="shared" si="101"/>
        <v>#N/A</v>
      </c>
      <c r="CF475" s="695" t="e">
        <f t="shared" si="101"/>
        <v>#N/A</v>
      </c>
      <c r="CG475" s="695" t="e">
        <f t="shared" si="101"/>
        <v>#N/A</v>
      </c>
      <c r="CH475" s="695" t="e">
        <f t="shared" si="101"/>
        <v>#N/A</v>
      </c>
      <c r="CI475" s="695" t="e">
        <f t="shared" si="101"/>
        <v>#N/A</v>
      </c>
      <c r="CJ475" s="695" t="e">
        <f t="shared" si="101"/>
        <v>#N/A</v>
      </c>
      <c r="CK475" s="695" t="e">
        <f t="shared" si="101"/>
        <v>#N/A</v>
      </c>
      <c r="CL475" s="695" t="e">
        <f t="shared" si="101"/>
        <v>#N/A</v>
      </c>
      <c r="CM475" s="695" t="e">
        <f t="shared" si="101"/>
        <v>#N/A</v>
      </c>
      <c r="CN475" s="695" t="e">
        <f t="shared" si="101"/>
        <v>#N/A</v>
      </c>
    </row>
    <row r="476" spans="8:92">
      <c r="H476" s="602" t="s">
        <v>940</v>
      </c>
      <c r="L476" s="556" t="s">
        <v>1127</v>
      </c>
      <c r="M476" s="556" t="s">
        <v>898</v>
      </c>
      <c r="N476" s="615" t="e">
        <f>SUM(U476:AF476)</f>
        <v>#N/A</v>
      </c>
      <c r="O476" s="615" t="e">
        <f>SUM(AG476:AR476)</f>
        <v>#N/A</v>
      </c>
      <c r="P476" s="615" t="e">
        <f>SUM(AS476:BD476)</f>
        <v>#N/A</v>
      </c>
      <c r="Q476" s="615" t="e">
        <f>SUM(BE476:BP476)</f>
        <v>#N/A</v>
      </c>
      <c r="R476" s="615" t="e">
        <f>SUM(BQ476:CB476)</f>
        <v>#N/A</v>
      </c>
      <c r="S476" s="615" t="e">
        <f>SUM(CC476:CN476)</f>
        <v>#N/A</v>
      </c>
      <c r="U476" s="695" t="e">
        <f>$N$342*O465</f>
        <v>#N/A</v>
      </c>
      <c r="V476" s="695" t="e">
        <f t="shared" ref="V476:AF476" si="102">$N$342*P465</f>
        <v>#N/A</v>
      </c>
      <c r="W476" s="695" t="e">
        <f t="shared" si="102"/>
        <v>#N/A</v>
      </c>
      <c r="X476" s="695" t="e">
        <f t="shared" si="102"/>
        <v>#N/A</v>
      </c>
      <c r="Y476" s="695" t="e">
        <f t="shared" si="102"/>
        <v>#N/A</v>
      </c>
      <c r="Z476" s="695" t="e">
        <f t="shared" si="102"/>
        <v>#N/A</v>
      </c>
      <c r="AA476" s="695" t="e">
        <f t="shared" si="102"/>
        <v>#N/A</v>
      </c>
      <c r="AB476" s="695" t="e">
        <f t="shared" si="102"/>
        <v>#N/A</v>
      </c>
      <c r="AC476" s="695" t="e">
        <f t="shared" si="102"/>
        <v>#N/A</v>
      </c>
      <c r="AD476" s="695" t="e">
        <f t="shared" si="102"/>
        <v>#N/A</v>
      </c>
      <c r="AE476" s="695" t="e">
        <f t="shared" si="102"/>
        <v>#N/A</v>
      </c>
      <c r="AF476" s="695" t="e">
        <f t="shared" si="102"/>
        <v>#N/A</v>
      </c>
      <c r="AG476" s="695" t="e">
        <f>$O$342*O465</f>
        <v>#N/A</v>
      </c>
      <c r="AH476" s="695" t="e">
        <f t="shared" ref="AH476:AR476" si="103">$O$342*P465</f>
        <v>#N/A</v>
      </c>
      <c r="AI476" s="695" t="e">
        <f t="shared" si="103"/>
        <v>#N/A</v>
      </c>
      <c r="AJ476" s="695" t="e">
        <f t="shared" si="103"/>
        <v>#N/A</v>
      </c>
      <c r="AK476" s="695" t="e">
        <f t="shared" si="103"/>
        <v>#N/A</v>
      </c>
      <c r="AL476" s="695" t="e">
        <f t="shared" si="103"/>
        <v>#N/A</v>
      </c>
      <c r="AM476" s="695" t="e">
        <f t="shared" si="103"/>
        <v>#N/A</v>
      </c>
      <c r="AN476" s="695" t="e">
        <f t="shared" si="103"/>
        <v>#N/A</v>
      </c>
      <c r="AO476" s="695" t="e">
        <f t="shared" si="103"/>
        <v>#N/A</v>
      </c>
      <c r="AP476" s="695" t="e">
        <f t="shared" si="103"/>
        <v>#N/A</v>
      </c>
      <c r="AQ476" s="695" t="e">
        <f t="shared" si="103"/>
        <v>#N/A</v>
      </c>
      <c r="AR476" s="695" t="e">
        <f t="shared" si="103"/>
        <v>#N/A</v>
      </c>
      <c r="AS476" s="695" t="e">
        <f>$P$342*O465</f>
        <v>#N/A</v>
      </c>
      <c r="AT476" s="695" t="e">
        <f t="shared" ref="AT476:BD476" si="104">$P$342*P465</f>
        <v>#N/A</v>
      </c>
      <c r="AU476" s="695" t="e">
        <f t="shared" si="104"/>
        <v>#N/A</v>
      </c>
      <c r="AV476" s="695" t="e">
        <f t="shared" si="104"/>
        <v>#N/A</v>
      </c>
      <c r="AW476" s="695" t="e">
        <f t="shared" si="104"/>
        <v>#N/A</v>
      </c>
      <c r="AX476" s="695" t="e">
        <f t="shared" si="104"/>
        <v>#N/A</v>
      </c>
      <c r="AY476" s="695" t="e">
        <f t="shared" si="104"/>
        <v>#N/A</v>
      </c>
      <c r="AZ476" s="695" t="e">
        <f t="shared" si="104"/>
        <v>#N/A</v>
      </c>
      <c r="BA476" s="695" t="e">
        <f t="shared" si="104"/>
        <v>#N/A</v>
      </c>
      <c r="BB476" s="695" t="e">
        <f t="shared" si="104"/>
        <v>#N/A</v>
      </c>
      <c r="BC476" s="695" t="e">
        <f t="shared" si="104"/>
        <v>#N/A</v>
      </c>
      <c r="BD476" s="695" t="e">
        <f t="shared" si="104"/>
        <v>#N/A</v>
      </c>
      <c r="BE476" s="695" t="e">
        <f>$Q$342*O465</f>
        <v>#N/A</v>
      </c>
      <c r="BF476" s="695" t="e">
        <f t="shared" ref="BF476:BP476" si="105">$Q$342*P465</f>
        <v>#N/A</v>
      </c>
      <c r="BG476" s="695" t="e">
        <f t="shared" si="105"/>
        <v>#N/A</v>
      </c>
      <c r="BH476" s="695" t="e">
        <f t="shared" si="105"/>
        <v>#N/A</v>
      </c>
      <c r="BI476" s="695" t="e">
        <f t="shared" si="105"/>
        <v>#N/A</v>
      </c>
      <c r="BJ476" s="695" t="e">
        <f t="shared" si="105"/>
        <v>#N/A</v>
      </c>
      <c r="BK476" s="695" t="e">
        <f t="shared" si="105"/>
        <v>#N/A</v>
      </c>
      <c r="BL476" s="695" t="e">
        <f t="shared" si="105"/>
        <v>#N/A</v>
      </c>
      <c r="BM476" s="695" t="e">
        <f t="shared" si="105"/>
        <v>#N/A</v>
      </c>
      <c r="BN476" s="695" t="e">
        <f t="shared" si="105"/>
        <v>#N/A</v>
      </c>
      <c r="BO476" s="695" t="e">
        <f t="shared" si="105"/>
        <v>#N/A</v>
      </c>
      <c r="BP476" s="695" t="e">
        <f t="shared" si="105"/>
        <v>#N/A</v>
      </c>
      <c r="BQ476" s="695" t="e">
        <f>$R$342*O465</f>
        <v>#N/A</v>
      </c>
      <c r="BR476" s="695" t="e">
        <f t="shared" ref="BR476:CB476" si="106">$R$342*P465</f>
        <v>#N/A</v>
      </c>
      <c r="BS476" s="695" t="e">
        <f t="shared" si="106"/>
        <v>#N/A</v>
      </c>
      <c r="BT476" s="695" t="e">
        <f t="shared" si="106"/>
        <v>#N/A</v>
      </c>
      <c r="BU476" s="695" t="e">
        <f t="shared" si="106"/>
        <v>#N/A</v>
      </c>
      <c r="BV476" s="695" t="e">
        <f t="shared" si="106"/>
        <v>#N/A</v>
      </c>
      <c r="BW476" s="695" t="e">
        <f t="shared" si="106"/>
        <v>#N/A</v>
      </c>
      <c r="BX476" s="695" t="e">
        <f t="shared" si="106"/>
        <v>#N/A</v>
      </c>
      <c r="BY476" s="695" t="e">
        <f t="shared" si="106"/>
        <v>#N/A</v>
      </c>
      <c r="BZ476" s="695" t="e">
        <f t="shared" si="106"/>
        <v>#N/A</v>
      </c>
      <c r="CA476" s="695" t="e">
        <f t="shared" si="106"/>
        <v>#N/A</v>
      </c>
      <c r="CB476" s="695" t="e">
        <f t="shared" si="106"/>
        <v>#N/A</v>
      </c>
      <c r="CC476" s="695" t="e">
        <f>$S$342*O465</f>
        <v>#N/A</v>
      </c>
      <c r="CD476" s="695" t="e">
        <f t="shared" ref="CD476:CN476" si="107">$S$342*P465</f>
        <v>#N/A</v>
      </c>
      <c r="CE476" s="695" t="e">
        <f t="shared" si="107"/>
        <v>#N/A</v>
      </c>
      <c r="CF476" s="695" t="e">
        <f t="shared" si="107"/>
        <v>#N/A</v>
      </c>
      <c r="CG476" s="695" t="e">
        <f t="shared" si="107"/>
        <v>#N/A</v>
      </c>
      <c r="CH476" s="695" t="e">
        <f t="shared" si="107"/>
        <v>#N/A</v>
      </c>
      <c r="CI476" s="695" t="e">
        <f t="shared" si="107"/>
        <v>#N/A</v>
      </c>
      <c r="CJ476" s="695" t="e">
        <f t="shared" si="107"/>
        <v>#N/A</v>
      </c>
      <c r="CK476" s="695" t="e">
        <f t="shared" si="107"/>
        <v>#N/A</v>
      </c>
      <c r="CL476" s="695" t="e">
        <f t="shared" si="107"/>
        <v>#N/A</v>
      </c>
      <c r="CM476" s="695" t="e">
        <f t="shared" si="107"/>
        <v>#N/A</v>
      </c>
      <c r="CN476" s="695" t="e">
        <f t="shared" si="107"/>
        <v>#N/A</v>
      </c>
    </row>
    <row r="477" spans="8:92">
      <c r="H477" s="602" t="s">
        <v>940</v>
      </c>
      <c r="L477" s="556" t="s">
        <v>1129</v>
      </c>
      <c r="M477" s="556" t="s">
        <v>898</v>
      </c>
      <c r="N477" s="615" t="e">
        <f>SUM(U477:AF477)</f>
        <v>#N/A</v>
      </c>
      <c r="O477" s="615" t="e">
        <f>SUM(AG477:AR477)</f>
        <v>#N/A</v>
      </c>
      <c r="P477" s="615" t="e">
        <f>SUM(AS477:BD477)</f>
        <v>#N/A</v>
      </c>
      <c r="Q477" s="615" t="e">
        <f>SUM(BE477:BP477)</f>
        <v>#N/A</v>
      </c>
      <c r="R477" s="615" t="e">
        <f>SUM(BQ477:CB477)</f>
        <v>#N/A</v>
      </c>
      <c r="S477" s="615" t="e">
        <f>SUM(CC477:CN477)</f>
        <v>#N/A</v>
      </c>
      <c r="U477" s="695" t="e">
        <f>$N$343*O465</f>
        <v>#N/A</v>
      </c>
      <c r="V477" s="695" t="e">
        <f t="shared" ref="V477:AF477" si="108">$N$343*P465</f>
        <v>#N/A</v>
      </c>
      <c r="W477" s="695" t="e">
        <f t="shared" si="108"/>
        <v>#N/A</v>
      </c>
      <c r="X477" s="695" t="e">
        <f t="shared" si="108"/>
        <v>#N/A</v>
      </c>
      <c r="Y477" s="695" t="e">
        <f t="shared" si="108"/>
        <v>#N/A</v>
      </c>
      <c r="Z477" s="695" t="e">
        <f t="shared" si="108"/>
        <v>#N/A</v>
      </c>
      <c r="AA477" s="695" t="e">
        <f t="shared" si="108"/>
        <v>#N/A</v>
      </c>
      <c r="AB477" s="695" t="e">
        <f t="shared" si="108"/>
        <v>#N/A</v>
      </c>
      <c r="AC477" s="695" t="e">
        <f t="shared" si="108"/>
        <v>#N/A</v>
      </c>
      <c r="AD477" s="695" t="e">
        <f t="shared" si="108"/>
        <v>#N/A</v>
      </c>
      <c r="AE477" s="695" t="e">
        <f t="shared" si="108"/>
        <v>#N/A</v>
      </c>
      <c r="AF477" s="695" t="e">
        <f t="shared" si="108"/>
        <v>#N/A</v>
      </c>
      <c r="AG477" s="695" t="e">
        <f>$O$343*O465</f>
        <v>#N/A</v>
      </c>
      <c r="AH477" s="695" t="e">
        <f t="shared" ref="AH477:AR477" si="109">$O$343*P465</f>
        <v>#N/A</v>
      </c>
      <c r="AI477" s="695" t="e">
        <f t="shared" si="109"/>
        <v>#N/A</v>
      </c>
      <c r="AJ477" s="695" t="e">
        <f t="shared" si="109"/>
        <v>#N/A</v>
      </c>
      <c r="AK477" s="695" t="e">
        <f t="shared" si="109"/>
        <v>#N/A</v>
      </c>
      <c r="AL477" s="695" t="e">
        <f t="shared" si="109"/>
        <v>#N/A</v>
      </c>
      <c r="AM477" s="695" t="e">
        <f t="shared" si="109"/>
        <v>#N/A</v>
      </c>
      <c r="AN477" s="695" t="e">
        <f t="shared" si="109"/>
        <v>#N/A</v>
      </c>
      <c r="AO477" s="695" t="e">
        <f t="shared" si="109"/>
        <v>#N/A</v>
      </c>
      <c r="AP477" s="695" t="e">
        <f t="shared" si="109"/>
        <v>#N/A</v>
      </c>
      <c r="AQ477" s="695" t="e">
        <f t="shared" si="109"/>
        <v>#N/A</v>
      </c>
      <c r="AR477" s="695" t="e">
        <f t="shared" si="109"/>
        <v>#N/A</v>
      </c>
      <c r="AS477" s="695" t="e">
        <f>$P$343*O465</f>
        <v>#N/A</v>
      </c>
      <c r="AT477" s="695" t="e">
        <f t="shared" ref="AT477:BC477" si="110">$P$343*P465</f>
        <v>#N/A</v>
      </c>
      <c r="AU477" s="695" t="e">
        <f t="shared" si="110"/>
        <v>#N/A</v>
      </c>
      <c r="AV477" s="695" t="e">
        <f t="shared" si="110"/>
        <v>#N/A</v>
      </c>
      <c r="AW477" s="695" t="e">
        <f t="shared" si="110"/>
        <v>#N/A</v>
      </c>
      <c r="AX477" s="695" t="e">
        <f t="shared" si="110"/>
        <v>#N/A</v>
      </c>
      <c r="AY477" s="695" t="e">
        <f t="shared" si="110"/>
        <v>#N/A</v>
      </c>
      <c r="AZ477" s="695" t="e">
        <f t="shared" si="110"/>
        <v>#N/A</v>
      </c>
      <c r="BA477" s="695" t="e">
        <f t="shared" si="110"/>
        <v>#N/A</v>
      </c>
      <c r="BB477" s="695" t="e">
        <f t="shared" si="110"/>
        <v>#N/A</v>
      </c>
      <c r="BC477" s="695" t="e">
        <f t="shared" si="110"/>
        <v>#N/A</v>
      </c>
      <c r="BD477" s="695" t="e">
        <f>$P$343*Z465</f>
        <v>#N/A</v>
      </c>
      <c r="BE477" s="695" t="e">
        <f>$Q$343*O465</f>
        <v>#N/A</v>
      </c>
      <c r="BF477" s="695" t="e">
        <f t="shared" ref="BF477:BP477" si="111">$Q$343*P465</f>
        <v>#N/A</v>
      </c>
      <c r="BG477" s="695" t="e">
        <f t="shared" si="111"/>
        <v>#N/A</v>
      </c>
      <c r="BH477" s="695" t="e">
        <f t="shared" si="111"/>
        <v>#N/A</v>
      </c>
      <c r="BI477" s="695" t="e">
        <f t="shared" si="111"/>
        <v>#N/A</v>
      </c>
      <c r="BJ477" s="695" t="e">
        <f t="shared" si="111"/>
        <v>#N/A</v>
      </c>
      <c r="BK477" s="695" t="e">
        <f t="shared" si="111"/>
        <v>#N/A</v>
      </c>
      <c r="BL477" s="695" t="e">
        <f t="shared" si="111"/>
        <v>#N/A</v>
      </c>
      <c r="BM477" s="695" t="e">
        <f t="shared" si="111"/>
        <v>#N/A</v>
      </c>
      <c r="BN477" s="695" t="e">
        <f t="shared" si="111"/>
        <v>#N/A</v>
      </c>
      <c r="BO477" s="695" t="e">
        <f t="shared" si="111"/>
        <v>#N/A</v>
      </c>
      <c r="BP477" s="695" t="e">
        <f t="shared" si="111"/>
        <v>#N/A</v>
      </c>
      <c r="BQ477" s="695" t="e">
        <f>$R$343*O465</f>
        <v>#N/A</v>
      </c>
      <c r="BR477" s="695" t="e">
        <f t="shared" ref="BR477:CB477" si="112">$R$343*P465</f>
        <v>#N/A</v>
      </c>
      <c r="BS477" s="695" t="e">
        <f t="shared" si="112"/>
        <v>#N/A</v>
      </c>
      <c r="BT477" s="695" t="e">
        <f t="shared" si="112"/>
        <v>#N/A</v>
      </c>
      <c r="BU477" s="695" t="e">
        <f t="shared" si="112"/>
        <v>#N/A</v>
      </c>
      <c r="BV477" s="695" t="e">
        <f t="shared" si="112"/>
        <v>#N/A</v>
      </c>
      <c r="BW477" s="695" t="e">
        <f t="shared" si="112"/>
        <v>#N/A</v>
      </c>
      <c r="BX477" s="695" t="e">
        <f t="shared" si="112"/>
        <v>#N/A</v>
      </c>
      <c r="BY477" s="695" t="e">
        <f t="shared" si="112"/>
        <v>#N/A</v>
      </c>
      <c r="BZ477" s="695" t="e">
        <f t="shared" si="112"/>
        <v>#N/A</v>
      </c>
      <c r="CA477" s="695" t="e">
        <f t="shared" si="112"/>
        <v>#N/A</v>
      </c>
      <c r="CB477" s="695" t="e">
        <f t="shared" si="112"/>
        <v>#N/A</v>
      </c>
      <c r="CC477" s="695" t="e">
        <f>$S$343*O465</f>
        <v>#N/A</v>
      </c>
      <c r="CD477" s="695" t="e">
        <f t="shared" ref="CD477:CN477" si="113">$S$343*P465</f>
        <v>#N/A</v>
      </c>
      <c r="CE477" s="695" t="e">
        <f t="shared" si="113"/>
        <v>#N/A</v>
      </c>
      <c r="CF477" s="695" t="e">
        <f t="shared" si="113"/>
        <v>#N/A</v>
      </c>
      <c r="CG477" s="695" t="e">
        <f t="shared" si="113"/>
        <v>#N/A</v>
      </c>
      <c r="CH477" s="695" t="e">
        <f t="shared" si="113"/>
        <v>#N/A</v>
      </c>
      <c r="CI477" s="695" t="e">
        <f t="shared" si="113"/>
        <v>#N/A</v>
      </c>
      <c r="CJ477" s="695" t="e">
        <f t="shared" si="113"/>
        <v>#N/A</v>
      </c>
      <c r="CK477" s="695" t="e">
        <f t="shared" si="113"/>
        <v>#N/A</v>
      </c>
      <c r="CL477" s="695" t="e">
        <f t="shared" si="113"/>
        <v>#N/A</v>
      </c>
      <c r="CM477" s="695" t="e">
        <f t="shared" si="113"/>
        <v>#N/A</v>
      </c>
      <c r="CN477" s="695" t="e">
        <f t="shared" si="113"/>
        <v>#N/A</v>
      </c>
    </row>
    <row r="478" spans="8:92">
      <c r="H478" s="602" t="s">
        <v>940</v>
      </c>
      <c r="L478" s="556" t="s">
        <v>1291</v>
      </c>
      <c r="M478" s="556" t="s">
        <v>1292</v>
      </c>
      <c r="N478" s="615" t="e">
        <f>SUM(U478:AF478)</f>
        <v>#N/A</v>
      </c>
      <c r="O478" s="615" t="e">
        <f>SUM(AG478:AR478)</f>
        <v>#N/A</v>
      </c>
      <c r="P478" s="615" t="e">
        <f>SUM(AS478:BD478)</f>
        <v>#N/A</v>
      </c>
      <c r="Q478" s="615" t="e">
        <f>SUM(BE478:BP478)</f>
        <v>#N/A</v>
      </c>
      <c r="R478" s="615" t="e">
        <f>SUM(BQ478:CB478)</f>
        <v>#N/A</v>
      </c>
      <c r="S478" s="615" t="e">
        <f>SUM(CC478:CN478)</f>
        <v>#N/A</v>
      </c>
      <c r="U478" s="695" t="e">
        <f>$N$356*O465</f>
        <v>#N/A</v>
      </c>
      <c r="V478" s="695" t="e">
        <f t="shared" ref="V478:AF478" si="114">$N$356*P465</f>
        <v>#N/A</v>
      </c>
      <c r="W478" s="695" t="e">
        <f t="shared" si="114"/>
        <v>#N/A</v>
      </c>
      <c r="X478" s="695" t="e">
        <f t="shared" si="114"/>
        <v>#N/A</v>
      </c>
      <c r="Y478" s="695" t="e">
        <f t="shared" si="114"/>
        <v>#N/A</v>
      </c>
      <c r="Z478" s="695" t="e">
        <f t="shared" si="114"/>
        <v>#N/A</v>
      </c>
      <c r="AA478" s="695" t="e">
        <f t="shared" si="114"/>
        <v>#N/A</v>
      </c>
      <c r="AB478" s="695" t="e">
        <f t="shared" si="114"/>
        <v>#N/A</v>
      </c>
      <c r="AC478" s="695" t="e">
        <f t="shared" si="114"/>
        <v>#N/A</v>
      </c>
      <c r="AD478" s="695" t="e">
        <f t="shared" si="114"/>
        <v>#N/A</v>
      </c>
      <c r="AE478" s="695" t="e">
        <f t="shared" si="114"/>
        <v>#N/A</v>
      </c>
      <c r="AF478" s="695" t="e">
        <f t="shared" si="114"/>
        <v>#N/A</v>
      </c>
      <c r="AG478" s="695" t="e">
        <f>$O$356*O465</f>
        <v>#N/A</v>
      </c>
      <c r="AH478" s="695" t="e">
        <f t="shared" ref="AH478:AR478" si="115">$O$356*P465</f>
        <v>#N/A</v>
      </c>
      <c r="AI478" s="695" t="e">
        <f t="shared" si="115"/>
        <v>#N/A</v>
      </c>
      <c r="AJ478" s="695" t="e">
        <f t="shared" si="115"/>
        <v>#N/A</v>
      </c>
      <c r="AK478" s="695" t="e">
        <f t="shared" si="115"/>
        <v>#N/A</v>
      </c>
      <c r="AL478" s="695" t="e">
        <f t="shared" si="115"/>
        <v>#N/A</v>
      </c>
      <c r="AM478" s="695" t="e">
        <f t="shared" si="115"/>
        <v>#N/A</v>
      </c>
      <c r="AN478" s="695" t="e">
        <f t="shared" si="115"/>
        <v>#N/A</v>
      </c>
      <c r="AO478" s="695" t="e">
        <f t="shared" si="115"/>
        <v>#N/A</v>
      </c>
      <c r="AP478" s="695" t="e">
        <f t="shared" si="115"/>
        <v>#N/A</v>
      </c>
      <c r="AQ478" s="695" t="e">
        <f t="shared" si="115"/>
        <v>#N/A</v>
      </c>
      <c r="AR478" s="695" t="e">
        <f t="shared" si="115"/>
        <v>#N/A</v>
      </c>
      <c r="AS478" s="695" t="e">
        <f>$P$356*O465</f>
        <v>#N/A</v>
      </c>
      <c r="AT478" s="695" t="e">
        <f t="shared" ref="AT478:BD478" si="116">$P$356*P465</f>
        <v>#N/A</v>
      </c>
      <c r="AU478" s="695" t="e">
        <f t="shared" si="116"/>
        <v>#N/A</v>
      </c>
      <c r="AV478" s="695" t="e">
        <f t="shared" si="116"/>
        <v>#N/A</v>
      </c>
      <c r="AW478" s="695" t="e">
        <f t="shared" si="116"/>
        <v>#N/A</v>
      </c>
      <c r="AX478" s="695" t="e">
        <f t="shared" si="116"/>
        <v>#N/A</v>
      </c>
      <c r="AY478" s="695" t="e">
        <f t="shared" si="116"/>
        <v>#N/A</v>
      </c>
      <c r="AZ478" s="695" t="e">
        <f t="shared" si="116"/>
        <v>#N/A</v>
      </c>
      <c r="BA478" s="695" t="e">
        <f t="shared" si="116"/>
        <v>#N/A</v>
      </c>
      <c r="BB478" s="695" t="e">
        <f t="shared" si="116"/>
        <v>#N/A</v>
      </c>
      <c r="BC478" s="695" t="e">
        <f t="shared" si="116"/>
        <v>#N/A</v>
      </c>
      <c r="BD478" s="695" t="e">
        <f t="shared" si="116"/>
        <v>#N/A</v>
      </c>
      <c r="BE478" s="695" t="e">
        <f>$Q$356*O465</f>
        <v>#N/A</v>
      </c>
      <c r="BF478" s="695" t="e">
        <f t="shared" ref="BF478:BP478" si="117">$Q$356*P465</f>
        <v>#N/A</v>
      </c>
      <c r="BG478" s="695" t="e">
        <f t="shared" si="117"/>
        <v>#N/A</v>
      </c>
      <c r="BH478" s="695" t="e">
        <f t="shared" si="117"/>
        <v>#N/A</v>
      </c>
      <c r="BI478" s="695" t="e">
        <f t="shared" si="117"/>
        <v>#N/A</v>
      </c>
      <c r="BJ478" s="695" t="e">
        <f t="shared" si="117"/>
        <v>#N/A</v>
      </c>
      <c r="BK478" s="695" t="e">
        <f t="shared" si="117"/>
        <v>#N/A</v>
      </c>
      <c r="BL478" s="695" t="e">
        <f t="shared" si="117"/>
        <v>#N/A</v>
      </c>
      <c r="BM478" s="695" t="e">
        <f t="shared" si="117"/>
        <v>#N/A</v>
      </c>
      <c r="BN478" s="695" t="e">
        <f t="shared" si="117"/>
        <v>#N/A</v>
      </c>
      <c r="BO478" s="695" t="e">
        <f t="shared" si="117"/>
        <v>#N/A</v>
      </c>
      <c r="BP478" s="695" t="e">
        <f t="shared" si="117"/>
        <v>#N/A</v>
      </c>
      <c r="BQ478" s="695" t="e">
        <f>$R$356*O465</f>
        <v>#N/A</v>
      </c>
      <c r="BR478" s="695" t="e">
        <f t="shared" ref="BR478:CB478" si="118">$R$356*P465</f>
        <v>#N/A</v>
      </c>
      <c r="BS478" s="695" t="e">
        <f t="shared" si="118"/>
        <v>#N/A</v>
      </c>
      <c r="BT478" s="695" t="e">
        <f t="shared" si="118"/>
        <v>#N/A</v>
      </c>
      <c r="BU478" s="695" t="e">
        <f t="shared" si="118"/>
        <v>#N/A</v>
      </c>
      <c r="BV478" s="695" t="e">
        <f t="shared" si="118"/>
        <v>#N/A</v>
      </c>
      <c r="BW478" s="695" t="e">
        <f t="shared" si="118"/>
        <v>#N/A</v>
      </c>
      <c r="BX478" s="695" t="e">
        <f t="shared" si="118"/>
        <v>#N/A</v>
      </c>
      <c r="BY478" s="695" t="e">
        <f t="shared" si="118"/>
        <v>#N/A</v>
      </c>
      <c r="BZ478" s="695" t="e">
        <f t="shared" si="118"/>
        <v>#N/A</v>
      </c>
      <c r="CA478" s="695" t="e">
        <f t="shared" si="118"/>
        <v>#N/A</v>
      </c>
      <c r="CB478" s="695" t="e">
        <f t="shared" si="118"/>
        <v>#N/A</v>
      </c>
      <c r="CC478" s="695" t="e">
        <f>$S$356*O465</f>
        <v>#N/A</v>
      </c>
      <c r="CD478" s="695" t="e">
        <f t="shared" ref="CD478:CN478" si="119">$S$356*P465</f>
        <v>#N/A</v>
      </c>
      <c r="CE478" s="695" t="e">
        <f t="shared" si="119"/>
        <v>#N/A</v>
      </c>
      <c r="CF478" s="695" t="e">
        <f t="shared" si="119"/>
        <v>#N/A</v>
      </c>
      <c r="CG478" s="695" t="e">
        <f t="shared" si="119"/>
        <v>#N/A</v>
      </c>
      <c r="CH478" s="695" t="e">
        <f t="shared" si="119"/>
        <v>#N/A</v>
      </c>
      <c r="CI478" s="695" t="e">
        <f t="shared" si="119"/>
        <v>#N/A</v>
      </c>
      <c r="CJ478" s="695" t="e">
        <f t="shared" si="119"/>
        <v>#N/A</v>
      </c>
      <c r="CK478" s="695" t="e">
        <f t="shared" si="119"/>
        <v>#N/A</v>
      </c>
      <c r="CL478" s="695" t="e">
        <f t="shared" si="119"/>
        <v>#N/A</v>
      </c>
      <c r="CM478" s="695" t="e">
        <f t="shared" si="119"/>
        <v>#N/A</v>
      </c>
      <c r="CN478" s="695" t="e">
        <f t="shared" si="119"/>
        <v>#N/A</v>
      </c>
    </row>
    <row r="479" spans="8:92">
      <c r="H479" s="602" t="s">
        <v>940</v>
      </c>
      <c r="L479" s="556" t="s">
        <v>1132</v>
      </c>
      <c r="M479" s="556" t="s">
        <v>1204</v>
      </c>
      <c r="N479" s="615" t="e">
        <f>SUM(U479:AF479)</f>
        <v>#N/A</v>
      </c>
      <c r="O479" s="615" t="e">
        <f>SUM(AG479:AR479)</f>
        <v>#N/A</v>
      </c>
      <c r="P479" s="615" t="e">
        <f>SUM(AS479:BD479)</f>
        <v>#N/A</v>
      </c>
      <c r="Q479" s="615" t="e">
        <f>SUM(BE479:BP479)</f>
        <v>#N/A</v>
      </c>
      <c r="R479" s="615" t="e">
        <f>SUM(BQ479:CB479)</f>
        <v>#N/A</v>
      </c>
      <c r="S479" s="615" t="e">
        <f>SUM(CC479:CN479)</f>
        <v>#N/A</v>
      </c>
      <c r="U479" s="695" t="e">
        <f>$N$361*O465</f>
        <v>#N/A</v>
      </c>
      <c r="V479" s="695" t="e">
        <f t="shared" ref="V479:AF479" si="120">$N$361*P465</f>
        <v>#N/A</v>
      </c>
      <c r="W479" s="695" t="e">
        <f t="shared" si="120"/>
        <v>#N/A</v>
      </c>
      <c r="X479" s="695" t="e">
        <f t="shared" si="120"/>
        <v>#N/A</v>
      </c>
      <c r="Y479" s="695" t="e">
        <f t="shared" si="120"/>
        <v>#N/A</v>
      </c>
      <c r="Z479" s="695" t="e">
        <f t="shared" si="120"/>
        <v>#N/A</v>
      </c>
      <c r="AA479" s="695" t="e">
        <f t="shared" si="120"/>
        <v>#N/A</v>
      </c>
      <c r="AB479" s="695" t="e">
        <f t="shared" si="120"/>
        <v>#N/A</v>
      </c>
      <c r="AC479" s="695" t="e">
        <f t="shared" si="120"/>
        <v>#N/A</v>
      </c>
      <c r="AD479" s="695" t="e">
        <f t="shared" si="120"/>
        <v>#N/A</v>
      </c>
      <c r="AE479" s="695" t="e">
        <f t="shared" si="120"/>
        <v>#N/A</v>
      </c>
      <c r="AF479" s="695" t="e">
        <f t="shared" si="120"/>
        <v>#N/A</v>
      </c>
      <c r="AG479" s="695" t="e">
        <f>$O$361*O465</f>
        <v>#N/A</v>
      </c>
      <c r="AH479" s="695" t="e">
        <f t="shared" ref="AH479:AR479" si="121">$O$361*P465</f>
        <v>#N/A</v>
      </c>
      <c r="AI479" s="695" t="e">
        <f t="shared" si="121"/>
        <v>#N/A</v>
      </c>
      <c r="AJ479" s="695" t="e">
        <f t="shared" si="121"/>
        <v>#N/A</v>
      </c>
      <c r="AK479" s="695" t="e">
        <f t="shared" si="121"/>
        <v>#N/A</v>
      </c>
      <c r="AL479" s="695" t="e">
        <f t="shared" si="121"/>
        <v>#N/A</v>
      </c>
      <c r="AM479" s="695" t="e">
        <f t="shared" si="121"/>
        <v>#N/A</v>
      </c>
      <c r="AN479" s="695" t="e">
        <f t="shared" si="121"/>
        <v>#N/A</v>
      </c>
      <c r="AO479" s="695" t="e">
        <f t="shared" si="121"/>
        <v>#N/A</v>
      </c>
      <c r="AP479" s="695" t="e">
        <f t="shared" si="121"/>
        <v>#N/A</v>
      </c>
      <c r="AQ479" s="695" t="e">
        <f t="shared" si="121"/>
        <v>#N/A</v>
      </c>
      <c r="AR479" s="695" t="e">
        <f t="shared" si="121"/>
        <v>#N/A</v>
      </c>
      <c r="AS479" s="695" t="e">
        <f>$P$361*O465</f>
        <v>#N/A</v>
      </c>
      <c r="AT479" s="695" t="e">
        <f t="shared" ref="AT479:BD479" si="122">$P$361*P465</f>
        <v>#N/A</v>
      </c>
      <c r="AU479" s="695" t="e">
        <f t="shared" si="122"/>
        <v>#N/A</v>
      </c>
      <c r="AV479" s="695" t="e">
        <f t="shared" si="122"/>
        <v>#N/A</v>
      </c>
      <c r="AW479" s="695" t="e">
        <f t="shared" si="122"/>
        <v>#N/A</v>
      </c>
      <c r="AX479" s="695" t="e">
        <f t="shared" si="122"/>
        <v>#N/A</v>
      </c>
      <c r="AY479" s="695" t="e">
        <f t="shared" si="122"/>
        <v>#N/A</v>
      </c>
      <c r="AZ479" s="695" t="e">
        <f t="shared" si="122"/>
        <v>#N/A</v>
      </c>
      <c r="BA479" s="695" t="e">
        <f t="shared" si="122"/>
        <v>#N/A</v>
      </c>
      <c r="BB479" s="695" t="e">
        <f t="shared" si="122"/>
        <v>#N/A</v>
      </c>
      <c r="BC479" s="695" t="e">
        <f t="shared" si="122"/>
        <v>#N/A</v>
      </c>
      <c r="BD479" s="695" t="e">
        <f t="shared" si="122"/>
        <v>#N/A</v>
      </c>
      <c r="BE479" s="695" t="e">
        <f>$Q$361*O465</f>
        <v>#N/A</v>
      </c>
      <c r="BF479" s="695" t="e">
        <f t="shared" ref="BF479:BP479" si="123">$Q$361*P465</f>
        <v>#N/A</v>
      </c>
      <c r="BG479" s="695" t="e">
        <f t="shared" si="123"/>
        <v>#N/A</v>
      </c>
      <c r="BH479" s="695" t="e">
        <f t="shared" si="123"/>
        <v>#N/A</v>
      </c>
      <c r="BI479" s="695" t="e">
        <f t="shared" si="123"/>
        <v>#N/A</v>
      </c>
      <c r="BJ479" s="695" t="e">
        <f t="shared" si="123"/>
        <v>#N/A</v>
      </c>
      <c r="BK479" s="695" t="e">
        <f t="shared" si="123"/>
        <v>#N/A</v>
      </c>
      <c r="BL479" s="695" t="e">
        <f t="shared" si="123"/>
        <v>#N/A</v>
      </c>
      <c r="BM479" s="695" t="e">
        <f t="shared" si="123"/>
        <v>#N/A</v>
      </c>
      <c r="BN479" s="695" t="e">
        <f t="shared" si="123"/>
        <v>#N/A</v>
      </c>
      <c r="BO479" s="695" t="e">
        <f t="shared" si="123"/>
        <v>#N/A</v>
      </c>
      <c r="BP479" s="695" t="e">
        <f t="shared" si="123"/>
        <v>#N/A</v>
      </c>
      <c r="BQ479" s="695" t="e">
        <f>$R$361*O465</f>
        <v>#N/A</v>
      </c>
      <c r="BR479" s="695" t="e">
        <f t="shared" ref="BR479:CB479" si="124">$R$361*P465</f>
        <v>#N/A</v>
      </c>
      <c r="BS479" s="695" t="e">
        <f t="shared" si="124"/>
        <v>#N/A</v>
      </c>
      <c r="BT479" s="695" t="e">
        <f t="shared" si="124"/>
        <v>#N/A</v>
      </c>
      <c r="BU479" s="695" t="e">
        <f t="shared" si="124"/>
        <v>#N/A</v>
      </c>
      <c r="BV479" s="695" t="e">
        <f t="shared" si="124"/>
        <v>#N/A</v>
      </c>
      <c r="BW479" s="695" t="e">
        <f t="shared" si="124"/>
        <v>#N/A</v>
      </c>
      <c r="BX479" s="695" t="e">
        <f t="shared" si="124"/>
        <v>#N/A</v>
      </c>
      <c r="BY479" s="695" t="e">
        <f t="shared" si="124"/>
        <v>#N/A</v>
      </c>
      <c r="BZ479" s="695" t="e">
        <f t="shared" si="124"/>
        <v>#N/A</v>
      </c>
      <c r="CA479" s="695" t="e">
        <f t="shared" si="124"/>
        <v>#N/A</v>
      </c>
      <c r="CB479" s="695" t="e">
        <f t="shared" si="124"/>
        <v>#N/A</v>
      </c>
      <c r="CC479" s="695" t="e">
        <f>$S$361*O465</f>
        <v>#N/A</v>
      </c>
      <c r="CD479" s="695" t="e">
        <f t="shared" ref="CD479:CN479" si="125">$S$361*P465</f>
        <v>#N/A</v>
      </c>
      <c r="CE479" s="695" t="e">
        <f t="shared" si="125"/>
        <v>#N/A</v>
      </c>
      <c r="CF479" s="695" t="e">
        <f t="shared" si="125"/>
        <v>#N/A</v>
      </c>
      <c r="CG479" s="695" t="e">
        <f t="shared" si="125"/>
        <v>#N/A</v>
      </c>
      <c r="CH479" s="695" t="e">
        <f t="shared" si="125"/>
        <v>#N/A</v>
      </c>
      <c r="CI479" s="695" t="e">
        <f t="shared" si="125"/>
        <v>#N/A</v>
      </c>
      <c r="CJ479" s="695" t="e">
        <f t="shared" si="125"/>
        <v>#N/A</v>
      </c>
      <c r="CK479" s="695" t="e">
        <f t="shared" si="125"/>
        <v>#N/A</v>
      </c>
      <c r="CL479" s="695" t="e">
        <f t="shared" si="125"/>
        <v>#N/A</v>
      </c>
      <c r="CM479" s="695" t="e">
        <f t="shared" si="125"/>
        <v>#N/A</v>
      </c>
      <c r="CN479" s="695" t="e">
        <f t="shared" si="125"/>
        <v>#N/A</v>
      </c>
    </row>
    <row r="480" spans="8:92">
      <c r="H480" s="602" t="s">
        <v>940</v>
      </c>
      <c r="N480" s="615"/>
      <c r="O480" s="615"/>
      <c r="P480" s="615"/>
      <c r="Q480" s="615"/>
      <c r="R480" s="615"/>
      <c r="S480" s="615"/>
      <c r="U480" s="695"/>
      <c r="V480" s="695"/>
      <c r="W480" s="695"/>
      <c r="X480" s="695"/>
      <c r="Y480" s="695"/>
      <c r="Z480" s="695"/>
      <c r="AA480" s="695"/>
      <c r="AB480" s="695"/>
      <c r="AC480" s="695"/>
      <c r="AD480" s="695"/>
      <c r="AE480" s="695"/>
      <c r="AF480" s="695"/>
      <c r="AG480" s="695"/>
      <c r="AH480" s="695"/>
      <c r="AI480" s="695"/>
      <c r="AJ480" s="695"/>
      <c r="AK480" s="695"/>
      <c r="AL480" s="695"/>
      <c r="AM480" s="695"/>
      <c r="AN480" s="695"/>
      <c r="AO480" s="695"/>
      <c r="AP480" s="695"/>
      <c r="AQ480" s="695"/>
      <c r="AR480" s="695"/>
      <c r="AS480" s="695"/>
      <c r="AT480" s="695"/>
      <c r="AU480" s="695"/>
      <c r="AV480" s="695"/>
      <c r="AW480" s="695"/>
      <c r="AX480" s="695"/>
      <c r="AY480" s="695"/>
      <c r="AZ480" s="695"/>
      <c r="BA480" s="695"/>
      <c r="BB480" s="695"/>
      <c r="BC480" s="695"/>
      <c r="BD480" s="695"/>
      <c r="BE480" s="695"/>
      <c r="BF480" s="695"/>
      <c r="BG480" s="695"/>
      <c r="BH480" s="695"/>
      <c r="BI480" s="695"/>
      <c r="BJ480" s="695"/>
      <c r="BK480" s="695"/>
      <c r="BL480" s="695"/>
      <c r="BM480" s="695"/>
      <c r="BN480" s="695"/>
      <c r="BO480" s="695"/>
      <c r="BP480" s="695"/>
      <c r="BQ480" s="695"/>
      <c r="BR480" s="695"/>
      <c r="BS480" s="695"/>
      <c r="BT480" s="695"/>
      <c r="BU480" s="695"/>
      <c r="BV480" s="695"/>
      <c r="BW480" s="695"/>
      <c r="BX480" s="695"/>
      <c r="BY480" s="695"/>
      <c r="BZ480" s="695"/>
      <c r="CA480" s="695"/>
      <c r="CB480" s="695"/>
      <c r="CC480" s="695"/>
      <c r="CD480" s="695"/>
      <c r="CE480" s="695"/>
      <c r="CF480" s="695"/>
      <c r="CG480" s="695"/>
      <c r="CH480" s="695"/>
      <c r="CI480" s="695"/>
      <c r="CJ480" s="695"/>
      <c r="CK480" s="695"/>
      <c r="CL480" s="695"/>
      <c r="CM480" s="695"/>
      <c r="CN480" s="695"/>
    </row>
    <row r="481" spans="8:92">
      <c r="H481" s="602" t="s">
        <v>940</v>
      </c>
      <c r="L481" s="556" t="s">
        <v>1037</v>
      </c>
      <c r="M481" s="556" t="s">
        <v>898</v>
      </c>
      <c r="N481" s="615" t="e">
        <f>SUM(U481:AF481)</f>
        <v>#N/A</v>
      </c>
      <c r="O481" s="615" t="e">
        <f>SUM(AG481:AR481)</f>
        <v>#N/A</v>
      </c>
      <c r="P481" s="615" t="e">
        <f>SUM(AS481:BD481)</f>
        <v>#N/A</v>
      </c>
      <c r="Q481" s="615" t="e">
        <f>SUM(BE481:BP481)</f>
        <v>#N/A</v>
      </c>
      <c r="R481" s="615" t="e">
        <f>SUM(BQ481:CB481)</f>
        <v>#N/A</v>
      </c>
      <c r="S481" s="615" t="e">
        <f>SUM(CC481:CN481)</f>
        <v>#N/A</v>
      </c>
      <c r="U481" s="695" t="e">
        <f>$N$344*O466</f>
        <v>#N/A</v>
      </c>
      <c r="V481" s="695" t="e">
        <f t="shared" ref="V481:AF481" si="126">$N$344*P466</f>
        <v>#N/A</v>
      </c>
      <c r="W481" s="695" t="e">
        <f t="shared" si="126"/>
        <v>#N/A</v>
      </c>
      <c r="X481" s="695" t="e">
        <f t="shared" si="126"/>
        <v>#N/A</v>
      </c>
      <c r="Y481" s="695" t="e">
        <f t="shared" si="126"/>
        <v>#N/A</v>
      </c>
      <c r="Z481" s="695" t="e">
        <f t="shared" si="126"/>
        <v>#N/A</v>
      </c>
      <c r="AA481" s="695" t="e">
        <f t="shared" si="126"/>
        <v>#N/A</v>
      </c>
      <c r="AB481" s="695" t="e">
        <f t="shared" si="126"/>
        <v>#N/A</v>
      </c>
      <c r="AC481" s="695" t="e">
        <f t="shared" si="126"/>
        <v>#N/A</v>
      </c>
      <c r="AD481" s="695" t="e">
        <f t="shared" si="126"/>
        <v>#N/A</v>
      </c>
      <c r="AE481" s="695" t="e">
        <f t="shared" si="126"/>
        <v>#N/A</v>
      </c>
      <c r="AF481" s="695" t="e">
        <f t="shared" si="126"/>
        <v>#N/A</v>
      </c>
      <c r="AG481" s="695" t="e">
        <f>$O$344*O466</f>
        <v>#N/A</v>
      </c>
      <c r="AH481" s="695" t="e">
        <f t="shared" ref="AH481:AR481" si="127">$O$344*P466</f>
        <v>#N/A</v>
      </c>
      <c r="AI481" s="695" t="e">
        <f t="shared" si="127"/>
        <v>#N/A</v>
      </c>
      <c r="AJ481" s="695" t="e">
        <f t="shared" si="127"/>
        <v>#N/A</v>
      </c>
      <c r="AK481" s="695" t="e">
        <f t="shared" si="127"/>
        <v>#N/A</v>
      </c>
      <c r="AL481" s="695" t="e">
        <f t="shared" si="127"/>
        <v>#N/A</v>
      </c>
      <c r="AM481" s="695" t="e">
        <f t="shared" si="127"/>
        <v>#N/A</v>
      </c>
      <c r="AN481" s="695" t="e">
        <f t="shared" si="127"/>
        <v>#N/A</v>
      </c>
      <c r="AO481" s="695" t="e">
        <f t="shared" si="127"/>
        <v>#N/A</v>
      </c>
      <c r="AP481" s="695" t="e">
        <f t="shared" si="127"/>
        <v>#N/A</v>
      </c>
      <c r="AQ481" s="695" t="e">
        <f t="shared" si="127"/>
        <v>#N/A</v>
      </c>
      <c r="AR481" s="695" t="e">
        <f t="shared" si="127"/>
        <v>#N/A</v>
      </c>
      <c r="AS481" s="695" t="e">
        <f>$P$344*O466</f>
        <v>#N/A</v>
      </c>
      <c r="AT481" s="695" t="e">
        <f t="shared" ref="AT481:BD481" si="128">$P$344*P466</f>
        <v>#N/A</v>
      </c>
      <c r="AU481" s="695" t="e">
        <f t="shared" si="128"/>
        <v>#N/A</v>
      </c>
      <c r="AV481" s="695" t="e">
        <f t="shared" si="128"/>
        <v>#N/A</v>
      </c>
      <c r="AW481" s="695" t="e">
        <f t="shared" si="128"/>
        <v>#N/A</v>
      </c>
      <c r="AX481" s="695" t="e">
        <f t="shared" si="128"/>
        <v>#N/A</v>
      </c>
      <c r="AY481" s="695" t="e">
        <f t="shared" si="128"/>
        <v>#N/A</v>
      </c>
      <c r="AZ481" s="695" t="e">
        <f t="shared" si="128"/>
        <v>#N/A</v>
      </c>
      <c r="BA481" s="695" t="e">
        <f t="shared" si="128"/>
        <v>#N/A</v>
      </c>
      <c r="BB481" s="695" t="e">
        <f t="shared" si="128"/>
        <v>#N/A</v>
      </c>
      <c r="BC481" s="695" t="e">
        <f t="shared" si="128"/>
        <v>#N/A</v>
      </c>
      <c r="BD481" s="695" t="e">
        <f t="shared" si="128"/>
        <v>#N/A</v>
      </c>
      <c r="BE481" s="695" t="e">
        <f>$Q$344*O466</f>
        <v>#N/A</v>
      </c>
      <c r="BF481" s="695" t="e">
        <f t="shared" ref="BF481:BP481" si="129">$Q$344*P466</f>
        <v>#N/A</v>
      </c>
      <c r="BG481" s="695" t="e">
        <f t="shared" si="129"/>
        <v>#N/A</v>
      </c>
      <c r="BH481" s="695" t="e">
        <f t="shared" si="129"/>
        <v>#N/A</v>
      </c>
      <c r="BI481" s="695" t="e">
        <f t="shared" si="129"/>
        <v>#N/A</v>
      </c>
      <c r="BJ481" s="695" t="e">
        <f t="shared" si="129"/>
        <v>#N/A</v>
      </c>
      <c r="BK481" s="695" t="e">
        <f t="shared" si="129"/>
        <v>#N/A</v>
      </c>
      <c r="BL481" s="695" t="e">
        <f t="shared" si="129"/>
        <v>#N/A</v>
      </c>
      <c r="BM481" s="695" t="e">
        <f t="shared" si="129"/>
        <v>#N/A</v>
      </c>
      <c r="BN481" s="695" t="e">
        <f t="shared" si="129"/>
        <v>#N/A</v>
      </c>
      <c r="BO481" s="695" t="e">
        <f t="shared" si="129"/>
        <v>#N/A</v>
      </c>
      <c r="BP481" s="695" t="e">
        <f t="shared" si="129"/>
        <v>#N/A</v>
      </c>
      <c r="BQ481" s="695" t="e">
        <f>$R$344*O466</f>
        <v>#N/A</v>
      </c>
      <c r="BR481" s="695" t="e">
        <f t="shared" ref="BR481:CB481" si="130">$R$344*P466</f>
        <v>#N/A</v>
      </c>
      <c r="BS481" s="695" t="e">
        <f t="shared" si="130"/>
        <v>#N/A</v>
      </c>
      <c r="BT481" s="695" t="e">
        <f t="shared" si="130"/>
        <v>#N/A</v>
      </c>
      <c r="BU481" s="695" t="e">
        <f t="shared" si="130"/>
        <v>#N/A</v>
      </c>
      <c r="BV481" s="695" t="e">
        <f t="shared" si="130"/>
        <v>#N/A</v>
      </c>
      <c r="BW481" s="695" t="e">
        <f t="shared" si="130"/>
        <v>#N/A</v>
      </c>
      <c r="BX481" s="695" t="e">
        <f t="shared" si="130"/>
        <v>#N/A</v>
      </c>
      <c r="BY481" s="695" t="e">
        <f t="shared" si="130"/>
        <v>#N/A</v>
      </c>
      <c r="BZ481" s="695" t="e">
        <f t="shared" si="130"/>
        <v>#N/A</v>
      </c>
      <c r="CA481" s="695" t="e">
        <f t="shared" si="130"/>
        <v>#N/A</v>
      </c>
      <c r="CB481" s="695" t="e">
        <f t="shared" si="130"/>
        <v>#N/A</v>
      </c>
      <c r="CC481" s="695" t="e">
        <f>$S$344*O466</f>
        <v>#N/A</v>
      </c>
      <c r="CD481" s="695" t="e">
        <f t="shared" ref="CD481:CN481" si="131">$S$344*P466</f>
        <v>#N/A</v>
      </c>
      <c r="CE481" s="695" t="e">
        <f t="shared" si="131"/>
        <v>#N/A</v>
      </c>
      <c r="CF481" s="695" t="e">
        <f t="shared" si="131"/>
        <v>#N/A</v>
      </c>
      <c r="CG481" s="695" t="e">
        <f t="shared" si="131"/>
        <v>#N/A</v>
      </c>
      <c r="CH481" s="695" t="e">
        <f t="shared" si="131"/>
        <v>#N/A</v>
      </c>
      <c r="CI481" s="695" t="e">
        <f t="shared" si="131"/>
        <v>#N/A</v>
      </c>
      <c r="CJ481" s="695" t="e">
        <f t="shared" si="131"/>
        <v>#N/A</v>
      </c>
      <c r="CK481" s="695" t="e">
        <f t="shared" si="131"/>
        <v>#N/A</v>
      </c>
      <c r="CL481" s="695" t="e">
        <f t="shared" si="131"/>
        <v>#N/A</v>
      </c>
      <c r="CM481" s="695" t="e">
        <f t="shared" si="131"/>
        <v>#N/A</v>
      </c>
      <c r="CN481" s="695" t="e">
        <f t="shared" si="131"/>
        <v>#N/A</v>
      </c>
    </row>
    <row r="482" spans="8:92">
      <c r="H482" s="602" t="s">
        <v>940</v>
      </c>
      <c r="N482" s="615"/>
      <c r="P482" s="738"/>
      <c r="Q482" s="738"/>
      <c r="R482" s="614"/>
      <c r="S482" s="614"/>
    </row>
    <row r="483" spans="8:92" ht="18">
      <c r="H483" s="602" t="s">
        <v>940</v>
      </c>
      <c r="L483" s="652" t="s">
        <v>1293</v>
      </c>
      <c r="M483" s="551"/>
      <c r="N483" s="551"/>
      <c r="O483" s="551"/>
      <c r="P483" s="551"/>
      <c r="Q483" s="551"/>
      <c r="R483" s="551"/>
      <c r="S483" s="551"/>
      <c r="T483" s="551"/>
      <c r="U483" s="551"/>
      <c r="V483" s="551"/>
      <c r="W483" s="551"/>
      <c r="X483" s="551"/>
      <c r="Y483" s="551"/>
      <c r="Z483" s="551"/>
      <c r="AA483" s="551"/>
      <c r="AB483" s="551"/>
      <c r="AC483" s="551"/>
      <c r="AD483" s="551"/>
      <c r="AE483" s="551"/>
      <c r="AF483" s="551"/>
      <c r="AG483" s="551"/>
      <c r="AH483" s="551"/>
      <c r="AI483" s="551"/>
      <c r="AJ483" s="551"/>
      <c r="AK483" s="551"/>
      <c r="AL483" s="551"/>
      <c r="AM483" s="551"/>
      <c r="AN483" s="551"/>
      <c r="AO483" s="551"/>
      <c r="AP483" s="551"/>
      <c r="AQ483" s="551"/>
      <c r="AR483" s="551"/>
      <c r="AS483" s="551"/>
      <c r="AT483" s="551"/>
      <c r="AU483" s="551"/>
      <c r="AV483" s="551"/>
      <c r="AW483" s="551"/>
      <c r="AX483" s="551"/>
      <c r="AY483" s="551"/>
      <c r="AZ483" s="551"/>
      <c r="BA483" s="551"/>
      <c r="BB483" s="551"/>
      <c r="BC483" s="551"/>
      <c r="BD483" s="551"/>
      <c r="BE483" s="551"/>
      <c r="BF483" s="551"/>
      <c r="BG483" s="551"/>
      <c r="BH483" s="551"/>
      <c r="BI483" s="551"/>
      <c r="BJ483" s="551"/>
      <c r="BK483" s="551"/>
      <c r="BL483" s="551"/>
      <c r="BM483" s="551"/>
      <c r="BN483" s="551"/>
      <c r="BO483" s="551"/>
      <c r="BP483" s="551"/>
      <c r="BQ483" s="551"/>
      <c r="BR483" s="551"/>
      <c r="BS483" s="551"/>
      <c r="BT483" s="551"/>
      <c r="BU483" s="551"/>
      <c r="BV483" s="551"/>
      <c r="BW483" s="551"/>
      <c r="BX483" s="551"/>
      <c r="BY483" s="551"/>
      <c r="BZ483" s="551"/>
      <c r="CA483" s="551"/>
      <c r="CB483" s="551"/>
      <c r="CC483" s="551"/>
      <c r="CD483" s="551"/>
      <c r="CE483" s="551"/>
      <c r="CF483" s="551"/>
      <c r="CG483" s="551"/>
      <c r="CH483" s="551"/>
      <c r="CI483" s="551"/>
      <c r="CJ483" s="551"/>
      <c r="CK483" s="551"/>
      <c r="CL483" s="551"/>
      <c r="CM483" s="551"/>
      <c r="CN483" s="551"/>
    </row>
    <row r="484" spans="8:92" ht="18">
      <c r="H484" s="602" t="s">
        <v>940</v>
      </c>
      <c r="L484" s="688"/>
    </row>
    <row r="485" spans="8:92">
      <c r="H485" s="602" t="s">
        <v>940</v>
      </c>
      <c r="L485" s="609" t="s">
        <v>1206</v>
      </c>
      <c r="M485" s="609" t="s">
        <v>359</v>
      </c>
      <c r="N485" s="704" t="s">
        <v>929</v>
      </c>
      <c r="O485" s="704" t="s">
        <v>1193</v>
      </c>
      <c r="P485" s="704" t="s">
        <v>1194</v>
      </c>
      <c r="Q485" s="704" t="s">
        <v>1195</v>
      </c>
      <c r="R485" s="704" t="s">
        <v>1196</v>
      </c>
      <c r="S485" s="704" t="s">
        <v>1197</v>
      </c>
      <c r="T485" s="753"/>
      <c r="U485" s="692" t="s">
        <v>929</v>
      </c>
      <c r="AF485" s="753"/>
      <c r="AG485" s="704" t="s">
        <v>1193</v>
      </c>
      <c r="AR485" s="753"/>
      <c r="AS485" s="704" t="s">
        <v>1194</v>
      </c>
      <c r="BD485" s="753"/>
      <c r="BE485" s="704" t="s">
        <v>1195</v>
      </c>
      <c r="BP485" s="753"/>
      <c r="BQ485" s="704" t="s">
        <v>1196</v>
      </c>
      <c r="CB485" s="753"/>
      <c r="CC485" s="704" t="s">
        <v>1197</v>
      </c>
    </row>
    <row r="486" spans="8:92">
      <c r="H486" s="602" t="s">
        <v>940</v>
      </c>
      <c r="L486" s="611"/>
      <c r="M486" s="611"/>
      <c r="N486" s="754" t="s">
        <v>405</v>
      </c>
      <c r="O486" s="754" t="s">
        <v>405</v>
      </c>
      <c r="P486" s="754" t="s">
        <v>405</v>
      </c>
      <c r="Q486" s="754" t="s">
        <v>405</v>
      </c>
      <c r="R486" s="754" t="s">
        <v>405</v>
      </c>
      <c r="S486" s="754" t="s">
        <v>405</v>
      </c>
      <c r="T486" s="755"/>
      <c r="U486" s="754" t="s">
        <v>1259</v>
      </c>
      <c r="V486" s="754" t="s">
        <v>1260</v>
      </c>
      <c r="W486" s="754" t="s">
        <v>1261</v>
      </c>
      <c r="X486" s="754" t="s">
        <v>1262</v>
      </c>
      <c r="Y486" s="754" t="s">
        <v>947</v>
      </c>
      <c r="Z486" s="754" t="s">
        <v>1263</v>
      </c>
      <c r="AA486" s="754" t="s">
        <v>1264</v>
      </c>
      <c r="AB486" s="754" t="s">
        <v>1265</v>
      </c>
      <c r="AC486" s="754" t="s">
        <v>1266</v>
      </c>
      <c r="AD486" s="754" t="s">
        <v>1267</v>
      </c>
      <c r="AE486" s="754" t="s">
        <v>1268</v>
      </c>
      <c r="AF486" s="756" t="s">
        <v>1269</v>
      </c>
      <c r="AG486" s="754" t="s">
        <v>1259</v>
      </c>
      <c r="AH486" s="754" t="s">
        <v>1260</v>
      </c>
      <c r="AI486" s="754" t="s">
        <v>1261</v>
      </c>
      <c r="AJ486" s="754" t="s">
        <v>1262</v>
      </c>
      <c r="AK486" s="754" t="s">
        <v>947</v>
      </c>
      <c r="AL486" s="754" t="s">
        <v>1263</v>
      </c>
      <c r="AM486" s="754" t="s">
        <v>1264</v>
      </c>
      <c r="AN486" s="754" t="s">
        <v>1265</v>
      </c>
      <c r="AO486" s="754" t="s">
        <v>1266</v>
      </c>
      <c r="AP486" s="754" t="s">
        <v>1267</v>
      </c>
      <c r="AQ486" s="754" t="s">
        <v>1268</v>
      </c>
      <c r="AR486" s="756" t="s">
        <v>1269</v>
      </c>
      <c r="AS486" s="754" t="s">
        <v>1259</v>
      </c>
      <c r="AT486" s="754" t="s">
        <v>1260</v>
      </c>
      <c r="AU486" s="754" t="s">
        <v>1261</v>
      </c>
      <c r="AV486" s="754" t="s">
        <v>1262</v>
      </c>
      <c r="AW486" s="754" t="s">
        <v>947</v>
      </c>
      <c r="AX486" s="754" t="s">
        <v>1263</v>
      </c>
      <c r="AY486" s="754" t="s">
        <v>1264</v>
      </c>
      <c r="AZ486" s="754" t="s">
        <v>1265</v>
      </c>
      <c r="BA486" s="754" t="s">
        <v>1266</v>
      </c>
      <c r="BB486" s="754" t="s">
        <v>1267</v>
      </c>
      <c r="BC486" s="754" t="s">
        <v>1268</v>
      </c>
      <c r="BD486" s="756" t="s">
        <v>1269</v>
      </c>
      <c r="BE486" s="754" t="s">
        <v>1259</v>
      </c>
      <c r="BF486" s="754" t="s">
        <v>1260</v>
      </c>
      <c r="BG486" s="754" t="s">
        <v>1261</v>
      </c>
      <c r="BH486" s="754" t="s">
        <v>1262</v>
      </c>
      <c r="BI486" s="754" t="s">
        <v>947</v>
      </c>
      <c r="BJ486" s="754" t="s">
        <v>1263</v>
      </c>
      <c r="BK486" s="754" t="s">
        <v>1264</v>
      </c>
      <c r="BL486" s="754" t="s">
        <v>1265</v>
      </c>
      <c r="BM486" s="754" t="s">
        <v>1266</v>
      </c>
      <c r="BN486" s="754" t="s">
        <v>1267</v>
      </c>
      <c r="BO486" s="754" t="s">
        <v>1268</v>
      </c>
      <c r="BP486" s="756" t="s">
        <v>1269</v>
      </c>
      <c r="BQ486" s="754" t="s">
        <v>1259</v>
      </c>
      <c r="BR486" s="754" t="s">
        <v>1260</v>
      </c>
      <c r="BS486" s="754" t="s">
        <v>1261</v>
      </c>
      <c r="BT486" s="754" t="s">
        <v>1262</v>
      </c>
      <c r="BU486" s="754" t="s">
        <v>947</v>
      </c>
      <c r="BV486" s="754" t="s">
        <v>1263</v>
      </c>
      <c r="BW486" s="754" t="s">
        <v>1264</v>
      </c>
      <c r="BX486" s="754" t="s">
        <v>1265</v>
      </c>
      <c r="BY486" s="754" t="s">
        <v>1266</v>
      </c>
      <c r="BZ486" s="754" t="s">
        <v>1267</v>
      </c>
      <c r="CA486" s="754" t="s">
        <v>1268</v>
      </c>
      <c r="CB486" s="756" t="s">
        <v>1269</v>
      </c>
      <c r="CC486" s="754" t="s">
        <v>1259</v>
      </c>
      <c r="CD486" s="754" t="s">
        <v>1260</v>
      </c>
      <c r="CE486" s="754" t="s">
        <v>1261</v>
      </c>
      <c r="CF486" s="754" t="s">
        <v>1262</v>
      </c>
      <c r="CG486" s="754" t="s">
        <v>947</v>
      </c>
      <c r="CH486" s="754" t="s">
        <v>1263</v>
      </c>
      <c r="CI486" s="754" t="s">
        <v>1264</v>
      </c>
      <c r="CJ486" s="754" t="s">
        <v>1265</v>
      </c>
      <c r="CK486" s="754" t="s">
        <v>1266</v>
      </c>
      <c r="CL486" s="754" t="s">
        <v>1267</v>
      </c>
      <c r="CM486" s="754" t="s">
        <v>1268</v>
      </c>
      <c r="CN486" s="754" t="s">
        <v>1269</v>
      </c>
    </row>
    <row r="487" spans="8:92">
      <c r="H487" s="602" t="s">
        <v>940</v>
      </c>
      <c r="L487" s="556" t="s">
        <v>1035</v>
      </c>
      <c r="M487" s="556" t="s">
        <v>898</v>
      </c>
      <c r="N487" s="615">
        <f>SUM(U487:AF487)</f>
        <v>2722.8391444477002</v>
      </c>
      <c r="O487" s="615">
        <f>SUM(AG487:AR487)</f>
        <v>3203.3401699384717</v>
      </c>
      <c r="P487" s="615">
        <f>SUM(AS487:BD487)</f>
        <v>4456.7828889540006</v>
      </c>
      <c r="Q487" s="615">
        <f>SUM(BE487:BP487)</f>
        <v>5710.225607969528</v>
      </c>
      <c r="R487" s="615">
        <f>SUM(BQ487:CB487)</f>
        <v>6963.6683269850555</v>
      </c>
      <c r="S487" s="615">
        <f>SUM(CC487:CN487)</f>
        <v>8217.1110460005857</v>
      </c>
      <c r="T487" s="753"/>
      <c r="U487" s="615">
        <f>$N$335</f>
        <v>226.90326203730834</v>
      </c>
      <c r="V487" s="615">
        <f>$N$335</f>
        <v>226.90326203730834</v>
      </c>
      <c r="W487" s="615">
        <f t="shared" ref="W487:AF487" si="132">$N$335</f>
        <v>226.90326203730834</v>
      </c>
      <c r="X487" s="615">
        <f t="shared" si="132"/>
        <v>226.90326203730834</v>
      </c>
      <c r="Y487" s="615">
        <f t="shared" si="132"/>
        <v>226.90326203730834</v>
      </c>
      <c r="Z487" s="615">
        <f t="shared" si="132"/>
        <v>226.90326203730834</v>
      </c>
      <c r="AA487" s="615">
        <f t="shared" si="132"/>
        <v>226.90326203730834</v>
      </c>
      <c r="AB487" s="615">
        <f t="shared" si="132"/>
        <v>226.90326203730834</v>
      </c>
      <c r="AC487" s="615">
        <f t="shared" si="132"/>
        <v>226.90326203730834</v>
      </c>
      <c r="AD487" s="615">
        <f t="shared" si="132"/>
        <v>226.90326203730834</v>
      </c>
      <c r="AE487" s="615">
        <f t="shared" si="132"/>
        <v>226.90326203730834</v>
      </c>
      <c r="AF487" s="615">
        <f t="shared" si="132"/>
        <v>226.90326203730834</v>
      </c>
      <c r="AG487" s="615">
        <f>$O$335</f>
        <v>266.94501416153923</v>
      </c>
      <c r="AH487" s="615">
        <f t="shared" ref="AH487:AR487" si="133">$O$335</f>
        <v>266.94501416153923</v>
      </c>
      <c r="AI487" s="615">
        <f t="shared" si="133"/>
        <v>266.94501416153923</v>
      </c>
      <c r="AJ487" s="615">
        <f t="shared" si="133"/>
        <v>266.94501416153923</v>
      </c>
      <c r="AK487" s="615">
        <f t="shared" si="133"/>
        <v>266.94501416153923</v>
      </c>
      <c r="AL487" s="615">
        <f t="shared" si="133"/>
        <v>266.94501416153923</v>
      </c>
      <c r="AM487" s="615">
        <f t="shared" si="133"/>
        <v>266.94501416153923</v>
      </c>
      <c r="AN487" s="615">
        <f t="shared" si="133"/>
        <v>266.94501416153923</v>
      </c>
      <c r="AO487" s="615">
        <f t="shared" si="133"/>
        <v>266.94501416153923</v>
      </c>
      <c r="AP487" s="615">
        <f t="shared" si="133"/>
        <v>266.94501416153923</v>
      </c>
      <c r="AQ487" s="615">
        <f t="shared" si="133"/>
        <v>266.94501416153923</v>
      </c>
      <c r="AR487" s="615">
        <f t="shared" si="133"/>
        <v>266.94501416153923</v>
      </c>
      <c r="AS487" s="615">
        <f>$P$335</f>
        <v>371.39857407950001</v>
      </c>
      <c r="AT487" s="615">
        <f t="shared" ref="AT487:BD487" si="134">$P$335</f>
        <v>371.39857407950001</v>
      </c>
      <c r="AU487" s="615">
        <f t="shared" si="134"/>
        <v>371.39857407950001</v>
      </c>
      <c r="AV487" s="615">
        <f t="shared" si="134"/>
        <v>371.39857407950001</v>
      </c>
      <c r="AW487" s="615">
        <f t="shared" si="134"/>
        <v>371.39857407950001</v>
      </c>
      <c r="AX487" s="615">
        <f t="shared" si="134"/>
        <v>371.39857407950001</v>
      </c>
      <c r="AY487" s="615">
        <f t="shared" si="134"/>
        <v>371.39857407950001</v>
      </c>
      <c r="AZ487" s="615">
        <f t="shared" si="134"/>
        <v>371.39857407950001</v>
      </c>
      <c r="BA487" s="615">
        <f t="shared" si="134"/>
        <v>371.39857407950001</v>
      </c>
      <c r="BB487" s="615">
        <f t="shared" si="134"/>
        <v>371.39857407950001</v>
      </c>
      <c r="BC487" s="615">
        <f t="shared" si="134"/>
        <v>371.39857407950001</v>
      </c>
      <c r="BD487" s="615">
        <f t="shared" si="134"/>
        <v>371.39857407950001</v>
      </c>
      <c r="BE487" s="615">
        <f>$Q$335</f>
        <v>475.85213399746073</v>
      </c>
      <c r="BF487" s="615">
        <f t="shared" ref="BF487:BP487" si="135">$Q$335</f>
        <v>475.85213399746073</v>
      </c>
      <c r="BG487" s="615">
        <f t="shared" si="135"/>
        <v>475.85213399746073</v>
      </c>
      <c r="BH487" s="615">
        <f t="shared" si="135"/>
        <v>475.85213399746073</v>
      </c>
      <c r="BI487" s="615">
        <f t="shared" si="135"/>
        <v>475.85213399746073</v>
      </c>
      <c r="BJ487" s="615">
        <f t="shared" si="135"/>
        <v>475.85213399746073</v>
      </c>
      <c r="BK487" s="615">
        <f t="shared" si="135"/>
        <v>475.85213399746073</v>
      </c>
      <c r="BL487" s="615">
        <f t="shared" si="135"/>
        <v>475.85213399746073</v>
      </c>
      <c r="BM487" s="615">
        <f t="shared" si="135"/>
        <v>475.85213399746073</v>
      </c>
      <c r="BN487" s="615">
        <f t="shared" si="135"/>
        <v>475.85213399746073</v>
      </c>
      <c r="BO487" s="615">
        <f t="shared" si="135"/>
        <v>475.85213399746073</v>
      </c>
      <c r="BP487" s="615">
        <f t="shared" si="135"/>
        <v>475.85213399746073</v>
      </c>
      <c r="BQ487" s="615">
        <f>$R$335</f>
        <v>580.30569391542144</v>
      </c>
      <c r="BR487" s="615">
        <f t="shared" ref="BR487:CB487" si="136">$R$335</f>
        <v>580.30569391542144</v>
      </c>
      <c r="BS487" s="615">
        <f t="shared" si="136"/>
        <v>580.30569391542144</v>
      </c>
      <c r="BT487" s="615">
        <f t="shared" si="136"/>
        <v>580.30569391542144</v>
      </c>
      <c r="BU487" s="615">
        <f t="shared" si="136"/>
        <v>580.30569391542144</v>
      </c>
      <c r="BV487" s="615">
        <f t="shared" si="136"/>
        <v>580.30569391542144</v>
      </c>
      <c r="BW487" s="615">
        <f t="shared" si="136"/>
        <v>580.30569391542144</v>
      </c>
      <c r="BX487" s="615">
        <f t="shared" si="136"/>
        <v>580.30569391542144</v>
      </c>
      <c r="BY487" s="615">
        <f t="shared" si="136"/>
        <v>580.30569391542144</v>
      </c>
      <c r="BZ487" s="615">
        <f t="shared" si="136"/>
        <v>580.30569391542144</v>
      </c>
      <c r="CA487" s="615">
        <f t="shared" si="136"/>
        <v>580.30569391542144</v>
      </c>
      <c r="CB487" s="615">
        <f t="shared" si="136"/>
        <v>580.30569391542144</v>
      </c>
      <c r="CC487" s="615">
        <f>$S$335</f>
        <v>684.75925383338222</v>
      </c>
      <c r="CD487" s="615">
        <f t="shared" ref="CD487:CN487" si="137">$S$335</f>
        <v>684.75925383338222</v>
      </c>
      <c r="CE487" s="615">
        <f t="shared" si="137"/>
        <v>684.75925383338222</v>
      </c>
      <c r="CF487" s="615">
        <f t="shared" si="137"/>
        <v>684.75925383338222</v>
      </c>
      <c r="CG487" s="615">
        <f t="shared" si="137"/>
        <v>684.75925383338222</v>
      </c>
      <c r="CH487" s="615">
        <f t="shared" si="137"/>
        <v>684.75925383338222</v>
      </c>
      <c r="CI487" s="615">
        <f t="shared" si="137"/>
        <v>684.75925383338222</v>
      </c>
      <c r="CJ487" s="615">
        <f t="shared" si="137"/>
        <v>684.75925383338222</v>
      </c>
      <c r="CK487" s="615">
        <f t="shared" si="137"/>
        <v>684.75925383338222</v>
      </c>
      <c r="CL487" s="615">
        <f t="shared" si="137"/>
        <v>684.75925383338222</v>
      </c>
      <c r="CM487" s="615">
        <f t="shared" si="137"/>
        <v>684.75925383338222</v>
      </c>
      <c r="CN487" s="615">
        <f t="shared" si="137"/>
        <v>684.75925383338222</v>
      </c>
    </row>
    <row r="488" spans="8:92">
      <c r="H488" s="602" t="s">
        <v>940</v>
      </c>
      <c r="L488" s="556" t="s">
        <v>1207</v>
      </c>
      <c r="M488" s="556" t="s">
        <v>898</v>
      </c>
      <c r="N488" s="615">
        <f t="shared" ref="N488:N510" si="138">SUM(U488:AF488)</f>
        <v>3213.2888953999422</v>
      </c>
      <c r="O488" s="615">
        <f t="shared" ref="O488:O510" si="139">SUM(AG488:AR488)</f>
        <v>3780.3398769411083</v>
      </c>
      <c r="P488" s="615">
        <f t="shared" ref="P488:P510" si="140">SUM(AS488:BD488)</f>
        <v>5291.7521242308831</v>
      </c>
      <c r="Q488" s="615">
        <f t="shared" ref="Q488:Q510" si="141">SUM(BE488:BP488)</f>
        <v>6803.1643715206583</v>
      </c>
      <c r="R488" s="615">
        <f t="shared" ref="R488:R510" si="142">SUM(BQ488:CB488)</f>
        <v>8314.5766188104317</v>
      </c>
      <c r="S488" s="615">
        <f t="shared" ref="S488:S510" si="143">SUM(CC488:CN488)</f>
        <v>9825.988866100206</v>
      </c>
      <c r="T488" s="753"/>
      <c r="U488" s="615">
        <f>$N$336</f>
        <v>267.77407461666178</v>
      </c>
      <c r="V488" s="615">
        <f>$N$336</f>
        <v>267.77407461666178</v>
      </c>
      <c r="W488" s="615">
        <f t="shared" ref="W488:AF488" si="144">$N$336</f>
        <v>267.77407461666178</v>
      </c>
      <c r="X488" s="615">
        <f t="shared" si="144"/>
        <v>267.77407461666178</v>
      </c>
      <c r="Y488" s="615">
        <f t="shared" si="144"/>
        <v>267.77407461666178</v>
      </c>
      <c r="Z488" s="615">
        <f t="shared" si="144"/>
        <v>267.77407461666178</v>
      </c>
      <c r="AA488" s="615">
        <f t="shared" si="144"/>
        <v>267.77407461666178</v>
      </c>
      <c r="AB488" s="615">
        <f t="shared" si="144"/>
        <v>267.77407461666178</v>
      </c>
      <c r="AC488" s="615">
        <f t="shared" si="144"/>
        <v>267.77407461666178</v>
      </c>
      <c r="AD488" s="615">
        <f t="shared" si="144"/>
        <v>267.77407461666178</v>
      </c>
      <c r="AE488" s="615">
        <f t="shared" si="144"/>
        <v>267.77407461666178</v>
      </c>
      <c r="AF488" s="615">
        <f t="shared" si="144"/>
        <v>267.77407461666178</v>
      </c>
      <c r="AG488" s="615">
        <f>$O$336</f>
        <v>315.02832307842567</v>
      </c>
      <c r="AH488" s="615">
        <f t="shared" ref="AH488:AR488" si="145">$O$336</f>
        <v>315.02832307842567</v>
      </c>
      <c r="AI488" s="615">
        <f t="shared" si="145"/>
        <v>315.02832307842567</v>
      </c>
      <c r="AJ488" s="615">
        <f t="shared" si="145"/>
        <v>315.02832307842567</v>
      </c>
      <c r="AK488" s="615">
        <f t="shared" si="145"/>
        <v>315.02832307842567</v>
      </c>
      <c r="AL488" s="615">
        <f t="shared" si="145"/>
        <v>315.02832307842567</v>
      </c>
      <c r="AM488" s="615">
        <f t="shared" si="145"/>
        <v>315.02832307842567</v>
      </c>
      <c r="AN488" s="615">
        <f t="shared" si="145"/>
        <v>315.02832307842567</v>
      </c>
      <c r="AO488" s="615">
        <f t="shared" si="145"/>
        <v>315.02832307842567</v>
      </c>
      <c r="AP488" s="615">
        <f t="shared" si="145"/>
        <v>315.02832307842567</v>
      </c>
      <c r="AQ488" s="615">
        <f t="shared" si="145"/>
        <v>315.02832307842567</v>
      </c>
      <c r="AR488" s="615">
        <f t="shared" si="145"/>
        <v>315.02832307842567</v>
      </c>
      <c r="AS488" s="615">
        <f>$P$336</f>
        <v>440.97934368590688</v>
      </c>
      <c r="AT488" s="615">
        <f t="shared" ref="AT488:BD488" si="146">$P$336</f>
        <v>440.97934368590688</v>
      </c>
      <c r="AU488" s="615">
        <f t="shared" si="146"/>
        <v>440.97934368590688</v>
      </c>
      <c r="AV488" s="615">
        <f t="shared" si="146"/>
        <v>440.97934368590688</v>
      </c>
      <c r="AW488" s="615">
        <f t="shared" si="146"/>
        <v>440.97934368590688</v>
      </c>
      <c r="AX488" s="615">
        <f t="shared" si="146"/>
        <v>440.97934368590688</v>
      </c>
      <c r="AY488" s="615">
        <f t="shared" si="146"/>
        <v>440.97934368590688</v>
      </c>
      <c r="AZ488" s="615">
        <f t="shared" si="146"/>
        <v>440.97934368590688</v>
      </c>
      <c r="BA488" s="615">
        <f t="shared" si="146"/>
        <v>440.97934368590688</v>
      </c>
      <c r="BB488" s="615">
        <f t="shared" si="146"/>
        <v>440.97934368590688</v>
      </c>
      <c r="BC488" s="615">
        <f t="shared" si="146"/>
        <v>440.97934368590688</v>
      </c>
      <c r="BD488" s="615">
        <f t="shared" si="146"/>
        <v>440.97934368590688</v>
      </c>
      <c r="BE488" s="615">
        <f>$Q$336</f>
        <v>566.93036429338804</v>
      </c>
      <c r="BF488" s="615">
        <f t="shared" ref="BF488:BP488" si="147">$Q$336</f>
        <v>566.93036429338804</v>
      </c>
      <c r="BG488" s="615">
        <f t="shared" si="147"/>
        <v>566.93036429338804</v>
      </c>
      <c r="BH488" s="615">
        <f t="shared" si="147"/>
        <v>566.93036429338804</v>
      </c>
      <c r="BI488" s="615">
        <f t="shared" si="147"/>
        <v>566.93036429338804</v>
      </c>
      <c r="BJ488" s="615">
        <f t="shared" si="147"/>
        <v>566.93036429338804</v>
      </c>
      <c r="BK488" s="615">
        <f t="shared" si="147"/>
        <v>566.93036429338804</v>
      </c>
      <c r="BL488" s="615">
        <f t="shared" si="147"/>
        <v>566.93036429338804</v>
      </c>
      <c r="BM488" s="615">
        <f t="shared" si="147"/>
        <v>566.93036429338804</v>
      </c>
      <c r="BN488" s="615">
        <f t="shared" si="147"/>
        <v>566.93036429338804</v>
      </c>
      <c r="BO488" s="615">
        <f t="shared" si="147"/>
        <v>566.93036429338804</v>
      </c>
      <c r="BP488" s="615">
        <f t="shared" si="147"/>
        <v>566.93036429338804</v>
      </c>
      <c r="BQ488" s="615">
        <f>$R$336</f>
        <v>692.88138490086931</v>
      </c>
      <c r="BR488" s="615">
        <f t="shared" ref="BR488:CB488" si="148">$R$336</f>
        <v>692.88138490086931</v>
      </c>
      <c r="BS488" s="615">
        <f t="shared" si="148"/>
        <v>692.88138490086931</v>
      </c>
      <c r="BT488" s="615">
        <f t="shared" si="148"/>
        <v>692.88138490086931</v>
      </c>
      <c r="BU488" s="615">
        <f t="shared" si="148"/>
        <v>692.88138490086931</v>
      </c>
      <c r="BV488" s="615">
        <f t="shared" si="148"/>
        <v>692.88138490086931</v>
      </c>
      <c r="BW488" s="615">
        <f t="shared" si="148"/>
        <v>692.88138490086931</v>
      </c>
      <c r="BX488" s="615">
        <f t="shared" si="148"/>
        <v>692.88138490086931</v>
      </c>
      <c r="BY488" s="615">
        <f t="shared" si="148"/>
        <v>692.88138490086931</v>
      </c>
      <c r="BZ488" s="615">
        <f t="shared" si="148"/>
        <v>692.88138490086931</v>
      </c>
      <c r="CA488" s="615">
        <f t="shared" si="148"/>
        <v>692.88138490086931</v>
      </c>
      <c r="CB488" s="615">
        <f t="shared" si="148"/>
        <v>692.88138490086931</v>
      </c>
      <c r="CC488" s="615">
        <f>$S$336</f>
        <v>818.83240550835046</v>
      </c>
      <c r="CD488" s="615">
        <f t="shared" ref="CD488:CN488" si="149">$S$336</f>
        <v>818.83240550835046</v>
      </c>
      <c r="CE488" s="615">
        <f t="shared" si="149"/>
        <v>818.83240550835046</v>
      </c>
      <c r="CF488" s="615">
        <f t="shared" si="149"/>
        <v>818.83240550835046</v>
      </c>
      <c r="CG488" s="615">
        <f t="shared" si="149"/>
        <v>818.83240550835046</v>
      </c>
      <c r="CH488" s="615">
        <f t="shared" si="149"/>
        <v>818.83240550835046</v>
      </c>
      <c r="CI488" s="615">
        <f t="shared" si="149"/>
        <v>818.83240550835046</v>
      </c>
      <c r="CJ488" s="615">
        <f t="shared" si="149"/>
        <v>818.83240550835046</v>
      </c>
      <c r="CK488" s="615">
        <f t="shared" si="149"/>
        <v>818.83240550835046</v>
      </c>
      <c r="CL488" s="615">
        <f t="shared" si="149"/>
        <v>818.83240550835046</v>
      </c>
      <c r="CM488" s="615">
        <f t="shared" si="149"/>
        <v>818.83240550835046</v>
      </c>
      <c r="CN488" s="615">
        <f t="shared" si="149"/>
        <v>818.83240550835046</v>
      </c>
    </row>
    <row r="489" spans="8:92">
      <c r="H489" s="602" t="s">
        <v>940</v>
      </c>
      <c r="L489" s="556" t="s">
        <v>1208</v>
      </c>
      <c r="M489" s="556" t="s">
        <v>898</v>
      </c>
      <c r="N489" s="615" t="e">
        <f t="shared" si="138"/>
        <v>#N/A</v>
      </c>
      <c r="O489" s="615" t="e">
        <f t="shared" si="139"/>
        <v>#N/A</v>
      </c>
      <c r="P489" s="615" t="e">
        <f t="shared" si="140"/>
        <v>#N/A</v>
      </c>
      <c r="Q489" s="615" t="e">
        <f t="shared" si="141"/>
        <v>#N/A</v>
      </c>
      <c r="R489" s="615" t="e">
        <f t="shared" si="142"/>
        <v>#N/A</v>
      </c>
      <c r="S489" s="615" t="e">
        <f t="shared" si="143"/>
        <v>#N/A</v>
      </c>
      <c r="T489" s="753"/>
      <c r="U489" s="615" t="e">
        <f>$N$337</f>
        <v>#N/A</v>
      </c>
      <c r="V489" s="615" t="e">
        <f t="shared" ref="V489:AF489" si="150">$N$337</f>
        <v>#N/A</v>
      </c>
      <c r="W489" s="615" t="e">
        <f t="shared" si="150"/>
        <v>#N/A</v>
      </c>
      <c r="X489" s="615" t="e">
        <f t="shared" si="150"/>
        <v>#N/A</v>
      </c>
      <c r="Y489" s="615" t="e">
        <f t="shared" si="150"/>
        <v>#N/A</v>
      </c>
      <c r="Z489" s="615" t="e">
        <f t="shared" si="150"/>
        <v>#N/A</v>
      </c>
      <c r="AA489" s="615" t="e">
        <f t="shared" si="150"/>
        <v>#N/A</v>
      </c>
      <c r="AB489" s="615" t="e">
        <f t="shared" si="150"/>
        <v>#N/A</v>
      </c>
      <c r="AC489" s="615" t="e">
        <f t="shared" si="150"/>
        <v>#N/A</v>
      </c>
      <c r="AD489" s="615" t="e">
        <f t="shared" si="150"/>
        <v>#N/A</v>
      </c>
      <c r="AE489" s="615" t="e">
        <f t="shared" si="150"/>
        <v>#N/A</v>
      </c>
      <c r="AF489" s="615" t="e">
        <f t="shared" si="150"/>
        <v>#N/A</v>
      </c>
      <c r="AG489" s="615" t="e">
        <f>$O$337</f>
        <v>#N/A</v>
      </c>
      <c r="AH489" s="615" t="e">
        <f t="shared" ref="AH489:AR489" si="151">$O$337</f>
        <v>#N/A</v>
      </c>
      <c r="AI489" s="615" t="e">
        <f t="shared" si="151"/>
        <v>#N/A</v>
      </c>
      <c r="AJ489" s="615" t="e">
        <f t="shared" si="151"/>
        <v>#N/A</v>
      </c>
      <c r="AK489" s="615" t="e">
        <f t="shared" si="151"/>
        <v>#N/A</v>
      </c>
      <c r="AL489" s="615" t="e">
        <f t="shared" si="151"/>
        <v>#N/A</v>
      </c>
      <c r="AM489" s="615" t="e">
        <f t="shared" si="151"/>
        <v>#N/A</v>
      </c>
      <c r="AN489" s="615" t="e">
        <f t="shared" si="151"/>
        <v>#N/A</v>
      </c>
      <c r="AO489" s="615" t="e">
        <f t="shared" si="151"/>
        <v>#N/A</v>
      </c>
      <c r="AP489" s="615" t="e">
        <f t="shared" si="151"/>
        <v>#N/A</v>
      </c>
      <c r="AQ489" s="615" t="e">
        <f t="shared" si="151"/>
        <v>#N/A</v>
      </c>
      <c r="AR489" s="615" t="e">
        <f t="shared" si="151"/>
        <v>#N/A</v>
      </c>
      <c r="AS489" s="615" t="e">
        <f>$P$337</f>
        <v>#N/A</v>
      </c>
      <c r="AT489" s="615" t="e">
        <f t="shared" ref="AT489:BD489" si="152">$P$337</f>
        <v>#N/A</v>
      </c>
      <c r="AU489" s="615" t="e">
        <f t="shared" si="152"/>
        <v>#N/A</v>
      </c>
      <c r="AV489" s="615" t="e">
        <f t="shared" si="152"/>
        <v>#N/A</v>
      </c>
      <c r="AW489" s="615" t="e">
        <f t="shared" si="152"/>
        <v>#N/A</v>
      </c>
      <c r="AX489" s="615" t="e">
        <f t="shared" si="152"/>
        <v>#N/A</v>
      </c>
      <c r="AY489" s="615" t="e">
        <f t="shared" si="152"/>
        <v>#N/A</v>
      </c>
      <c r="AZ489" s="615" t="e">
        <f t="shared" si="152"/>
        <v>#N/A</v>
      </c>
      <c r="BA489" s="615" t="e">
        <f t="shared" si="152"/>
        <v>#N/A</v>
      </c>
      <c r="BB489" s="615" t="e">
        <f t="shared" si="152"/>
        <v>#N/A</v>
      </c>
      <c r="BC489" s="615" t="e">
        <f t="shared" si="152"/>
        <v>#N/A</v>
      </c>
      <c r="BD489" s="615" t="e">
        <f t="shared" si="152"/>
        <v>#N/A</v>
      </c>
      <c r="BE489" s="615" t="e">
        <f>$Q$337</f>
        <v>#N/A</v>
      </c>
      <c r="BF489" s="615" t="e">
        <f t="shared" ref="BF489:BP489" si="153">$Q$337</f>
        <v>#N/A</v>
      </c>
      <c r="BG489" s="615" t="e">
        <f t="shared" si="153"/>
        <v>#N/A</v>
      </c>
      <c r="BH489" s="615" t="e">
        <f t="shared" si="153"/>
        <v>#N/A</v>
      </c>
      <c r="BI489" s="615" t="e">
        <f t="shared" si="153"/>
        <v>#N/A</v>
      </c>
      <c r="BJ489" s="615" t="e">
        <f t="shared" si="153"/>
        <v>#N/A</v>
      </c>
      <c r="BK489" s="615" t="e">
        <f t="shared" si="153"/>
        <v>#N/A</v>
      </c>
      <c r="BL489" s="615" t="e">
        <f t="shared" si="153"/>
        <v>#N/A</v>
      </c>
      <c r="BM489" s="615" t="e">
        <f t="shared" si="153"/>
        <v>#N/A</v>
      </c>
      <c r="BN489" s="615" t="e">
        <f t="shared" si="153"/>
        <v>#N/A</v>
      </c>
      <c r="BO489" s="615" t="e">
        <f t="shared" si="153"/>
        <v>#N/A</v>
      </c>
      <c r="BP489" s="615" t="e">
        <f t="shared" si="153"/>
        <v>#N/A</v>
      </c>
      <c r="BQ489" s="615" t="e">
        <f>$R$337</f>
        <v>#N/A</v>
      </c>
      <c r="BR489" s="615" t="e">
        <f t="shared" ref="BR489:CB489" si="154">$R$337</f>
        <v>#N/A</v>
      </c>
      <c r="BS489" s="615" t="e">
        <f t="shared" si="154"/>
        <v>#N/A</v>
      </c>
      <c r="BT489" s="615" t="e">
        <f t="shared" si="154"/>
        <v>#N/A</v>
      </c>
      <c r="BU489" s="615" t="e">
        <f t="shared" si="154"/>
        <v>#N/A</v>
      </c>
      <c r="BV489" s="615" t="e">
        <f t="shared" si="154"/>
        <v>#N/A</v>
      </c>
      <c r="BW489" s="615" t="e">
        <f t="shared" si="154"/>
        <v>#N/A</v>
      </c>
      <c r="BX489" s="615" t="e">
        <f t="shared" si="154"/>
        <v>#N/A</v>
      </c>
      <c r="BY489" s="615" t="e">
        <f t="shared" si="154"/>
        <v>#N/A</v>
      </c>
      <c r="BZ489" s="615" t="e">
        <f t="shared" si="154"/>
        <v>#N/A</v>
      </c>
      <c r="CA489" s="615" t="e">
        <f t="shared" si="154"/>
        <v>#N/A</v>
      </c>
      <c r="CB489" s="615" t="e">
        <f t="shared" si="154"/>
        <v>#N/A</v>
      </c>
      <c r="CC489" s="615" t="e">
        <f>$S$337</f>
        <v>#N/A</v>
      </c>
      <c r="CD489" s="615" t="e">
        <f t="shared" ref="CD489:CN489" si="155">$S$337</f>
        <v>#N/A</v>
      </c>
      <c r="CE489" s="615" t="e">
        <f t="shared" si="155"/>
        <v>#N/A</v>
      </c>
      <c r="CF489" s="615" t="e">
        <f t="shared" si="155"/>
        <v>#N/A</v>
      </c>
      <c r="CG489" s="615" t="e">
        <f t="shared" si="155"/>
        <v>#N/A</v>
      </c>
      <c r="CH489" s="615" t="e">
        <f t="shared" si="155"/>
        <v>#N/A</v>
      </c>
      <c r="CI489" s="615" t="e">
        <f t="shared" si="155"/>
        <v>#N/A</v>
      </c>
      <c r="CJ489" s="615" t="e">
        <f t="shared" si="155"/>
        <v>#N/A</v>
      </c>
      <c r="CK489" s="615" t="e">
        <f t="shared" si="155"/>
        <v>#N/A</v>
      </c>
      <c r="CL489" s="615" t="e">
        <f t="shared" si="155"/>
        <v>#N/A</v>
      </c>
      <c r="CM489" s="615" t="e">
        <f t="shared" si="155"/>
        <v>#N/A</v>
      </c>
      <c r="CN489" s="615" t="e">
        <f t="shared" si="155"/>
        <v>#N/A</v>
      </c>
    </row>
    <row r="490" spans="8:92">
      <c r="H490" s="602" t="s">
        <v>940</v>
      </c>
      <c r="L490" s="556" t="s">
        <v>1209</v>
      </c>
      <c r="M490" s="556" t="s">
        <v>898</v>
      </c>
      <c r="N490" s="615" t="e">
        <f t="shared" si="138"/>
        <v>#N/A</v>
      </c>
      <c r="O490" s="615" t="e">
        <f t="shared" si="139"/>
        <v>#N/A</v>
      </c>
      <c r="P490" s="615" t="e">
        <f t="shared" si="140"/>
        <v>#N/A</v>
      </c>
      <c r="Q490" s="615" t="e">
        <f t="shared" si="141"/>
        <v>#N/A</v>
      </c>
      <c r="R490" s="615" t="e">
        <f t="shared" si="142"/>
        <v>#N/A</v>
      </c>
      <c r="S490" s="615" t="e">
        <f t="shared" si="143"/>
        <v>#N/A</v>
      </c>
      <c r="T490" s="753"/>
      <c r="U490" s="615" t="e">
        <f>U489+U476</f>
        <v>#N/A</v>
      </c>
      <c r="V490" s="615" t="e">
        <f t="shared" ref="V490:CG490" si="156">V489+V476</f>
        <v>#N/A</v>
      </c>
      <c r="W490" s="615" t="e">
        <f t="shared" si="156"/>
        <v>#N/A</v>
      </c>
      <c r="X490" s="615" t="e">
        <f t="shared" si="156"/>
        <v>#N/A</v>
      </c>
      <c r="Y490" s="615" t="e">
        <f t="shared" si="156"/>
        <v>#N/A</v>
      </c>
      <c r="Z490" s="615" t="e">
        <f t="shared" si="156"/>
        <v>#N/A</v>
      </c>
      <c r="AA490" s="615" t="e">
        <f t="shared" si="156"/>
        <v>#N/A</v>
      </c>
      <c r="AB490" s="615" t="e">
        <f t="shared" si="156"/>
        <v>#N/A</v>
      </c>
      <c r="AC490" s="615" t="e">
        <f t="shared" si="156"/>
        <v>#N/A</v>
      </c>
      <c r="AD490" s="615" t="e">
        <f t="shared" si="156"/>
        <v>#N/A</v>
      </c>
      <c r="AE490" s="615" t="e">
        <f t="shared" si="156"/>
        <v>#N/A</v>
      </c>
      <c r="AF490" s="615" t="e">
        <f t="shared" si="156"/>
        <v>#N/A</v>
      </c>
      <c r="AG490" s="615" t="e">
        <f t="shared" si="156"/>
        <v>#N/A</v>
      </c>
      <c r="AH490" s="615" t="e">
        <f t="shared" si="156"/>
        <v>#N/A</v>
      </c>
      <c r="AI490" s="615" t="e">
        <f t="shared" si="156"/>
        <v>#N/A</v>
      </c>
      <c r="AJ490" s="615" t="e">
        <f t="shared" si="156"/>
        <v>#N/A</v>
      </c>
      <c r="AK490" s="615" t="e">
        <f t="shared" si="156"/>
        <v>#N/A</v>
      </c>
      <c r="AL490" s="615" t="e">
        <f t="shared" si="156"/>
        <v>#N/A</v>
      </c>
      <c r="AM490" s="615" t="e">
        <f t="shared" si="156"/>
        <v>#N/A</v>
      </c>
      <c r="AN490" s="615" t="e">
        <f t="shared" si="156"/>
        <v>#N/A</v>
      </c>
      <c r="AO490" s="615" t="e">
        <f t="shared" si="156"/>
        <v>#N/A</v>
      </c>
      <c r="AP490" s="615" t="e">
        <f t="shared" si="156"/>
        <v>#N/A</v>
      </c>
      <c r="AQ490" s="615" t="e">
        <f t="shared" si="156"/>
        <v>#N/A</v>
      </c>
      <c r="AR490" s="615" t="e">
        <f t="shared" si="156"/>
        <v>#N/A</v>
      </c>
      <c r="AS490" s="615" t="e">
        <f t="shared" si="156"/>
        <v>#N/A</v>
      </c>
      <c r="AT490" s="615" t="e">
        <f t="shared" si="156"/>
        <v>#N/A</v>
      </c>
      <c r="AU490" s="615" t="e">
        <f t="shared" si="156"/>
        <v>#N/A</v>
      </c>
      <c r="AV490" s="615" t="e">
        <f t="shared" si="156"/>
        <v>#N/A</v>
      </c>
      <c r="AW490" s="615" t="e">
        <f t="shared" si="156"/>
        <v>#N/A</v>
      </c>
      <c r="AX490" s="615" t="e">
        <f t="shared" si="156"/>
        <v>#N/A</v>
      </c>
      <c r="AY490" s="615" t="e">
        <f t="shared" si="156"/>
        <v>#N/A</v>
      </c>
      <c r="AZ490" s="615" t="e">
        <f t="shared" si="156"/>
        <v>#N/A</v>
      </c>
      <c r="BA490" s="615" t="e">
        <f t="shared" si="156"/>
        <v>#N/A</v>
      </c>
      <c r="BB490" s="615" t="e">
        <f t="shared" si="156"/>
        <v>#N/A</v>
      </c>
      <c r="BC490" s="615" t="e">
        <f t="shared" si="156"/>
        <v>#N/A</v>
      </c>
      <c r="BD490" s="615" t="e">
        <f t="shared" si="156"/>
        <v>#N/A</v>
      </c>
      <c r="BE490" s="615" t="e">
        <f t="shared" si="156"/>
        <v>#N/A</v>
      </c>
      <c r="BF490" s="615" t="e">
        <f t="shared" si="156"/>
        <v>#N/A</v>
      </c>
      <c r="BG490" s="615" t="e">
        <f t="shared" si="156"/>
        <v>#N/A</v>
      </c>
      <c r="BH490" s="615" t="e">
        <f t="shared" si="156"/>
        <v>#N/A</v>
      </c>
      <c r="BI490" s="615" t="e">
        <f t="shared" si="156"/>
        <v>#N/A</v>
      </c>
      <c r="BJ490" s="615" t="e">
        <f t="shared" si="156"/>
        <v>#N/A</v>
      </c>
      <c r="BK490" s="615" t="e">
        <f t="shared" si="156"/>
        <v>#N/A</v>
      </c>
      <c r="BL490" s="615" t="e">
        <f t="shared" si="156"/>
        <v>#N/A</v>
      </c>
      <c r="BM490" s="615" t="e">
        <f t="shared" si="156"/>
        <v>#N/A</v>
      </c>
      <c r="BN490" s="615" t="e">
        <f t="shared" si="156"/>
        <v>#N/A</v>
      </c>
      <c r="BO490" s="615" t="e">
        <f t="shared" si="156"/>
        <v>#N/A</v>
      </c>
      <c r="BP490" s="615" t="e">
        <f t="shared" si="156"/>
        <v>#N/A</v>
      </c>
      <c r="BQ490" s="615" t="e">
        <f t="shared" si="156"/>
        <v>#N/A</v>
      </c>
      <c r="BR490" s="615" t="e">
        <f t="shared" si="156"/>
        <v>#N/A</v>
      </c>
      <c r="BS490" s="615" t="e">
        <f t="shared" si="156"/>
        <v>#N/A</v>
      </c>
      <c r="BT490" s="615" t="e">
        <f t="shared" si="156"/>
        <v>#N/A</v>
      </c>
      <c r="BU490" s="615" t="e">
        <f t="shared" si="156"/>
        <v>#N/A</v>
      </c>
      <c r="BV490" s="615" t="e">
        <f t="shared" si="156"/>
        <v>#N/A</v>
      </c>
      <c r="BW490" s="615" t="e">
        <f t="shared" si="156"/>
        <v>#N/A</v>
      </c>
      <c r="BX490" s="615" t="e">
        <f t="shared" si="156"/>
        <v>#N/A</v>
      </c>
      <c r="BY490" s="615" t="e">
        <f t="shared" si="156"/>
        <v>#N/A</v>
      </c>
      <c r="BZ490" s="615" t="e">
        <f t="shared" si="156"/>
        <v>#N/A</v>
      </c>
      <c r="CA490" s="615" t="e">
        <f t="shared" si="156"/>
        <v>#N/A</v>
      </c>
      <c r="CB490" s="615" t="e">
        <f t="shared" si="156"/>
        <v>#N/A</v>
      </c>
      <c r="CC490" s="615" t="e">
        <f t="shared" si="156"/>
        <v>#N/A</v>
      </c>
      <c r="CD490" s="615" t="e">
        <f t="shared" si="156"/>
        <v>#N/A</v>
      </c>
      <c r="CE490" s="615" t="e">
        <f t="shared" si="156"/>
        <v>#N/A</v>
      </c>
      <c r="CF490" s="615" t="e">
        <f t="shared" si="156"/>
        <v>#N/A</v>
      </c>
      <c r="CG490" s="615" t="e">
        <f t="shared" si="156"/>
        <v>#N/A</v>
      </c>
      <c r="CH490" s="615" t="e">
        <f t="shared" ref="CH490:CN490" si="157">CH489+CH476</f>
        <v>#N/A</v>
      </c>
      <c r="CI490" s="615" t="e">
        <f t="shared" si="157"/>
        <v>#N/A</v>
      </c>
      <c r="CJ490" s="615" t="e">
        <f t="shared" si="157"/>
        <v>#N/A</v>
      </c>
      <c r="CK490" s="615" t="e">
        <f t="shared" si="157"/>
        <v>#N/A</v>
      </c>
      <c r="CL490" s="615" t="e">
        <f t="shared" si="157"/>
        <v>#N/A</v>
      </c>
      <c r="CM490" s="615" t="e">
        <f t="shared" si="157"/>
        <v>#N/A</v>
      </c>
      <c r="CN490" s="615" t="e">
        <f t="shared" si="157"/>
        <v>#N/A</v>
      </c>
    </row>
    <row r="491" spans="8:92">
      <c r="H491" s="602" t="s">
        <v>940</v>
      </c>
      <c r="L491" s="556" t="s">
        <v>1210</v>
      </c>
      <c r="M491" s="556" t="s">
        <v>898</v>
      </c>
      <c r="N491" s="615" t="e">
        <f t="shared" si="138"/>
        <v>#N/A</v>
      </c>
      <c r="O491" s="615" t="e">
        <f t="shared" si="139"/>
        <v>#N/A</v>
      </c>
      <c r="P491" s="615" t="e">
        <f t="shared" si="140"/>
        <v>#N/A</v>
      </c>
      <c r="Q491" s="615" t="e">
        <f t="shared" si="141"/>
        <v>#N/A</v>
      </c>
      <c r="R491" s="615" t="e">
        <f t="shared" si="142"/>
        <v>#N/A</v>
      </c>
      <c r="S491" s="615" t="e">
        <f t="shared" si="143"/>
        <v>#N/A</v>
      </c>
      <c r="T491" s="753"/>
      <c r="U491" s="615" t="e">
        <f>U490+U481</f>
        <v>#N/A</v>
      </c>
      <c r="V491" s="615" t="e">
        <f t="shared" ref="V491:CG491" si="158">V490+V481</f>
        <v>#N/A</v>
      </c>
      <c r="W491" s="615" t="e">
        <f t="shared" si="158"/>
        <v>#N/A</v>
      </c>
      <c r="X491" s="615" t="e">
        <f t="shared" si="158"/>
        <v>#N/A</v>
      </c>
      <c r="Y491" s="615" t="e">
        <f t="shared" si="158"/>
        <v>#N/A</v>
      </c>
      <c r="Z491" s="615" t="e">
        <f t="shared" si="158"/>
        <v>#N/A</v>
      </c>
      <c r="AA491" s="615" t="e">
        <f t="shared" si="158"/>
        <v>#N/A</v>
      </c>
      <c r="AB491" s="615" t="e">
        <f t="shared" si="158"/>
        <v>#N/A</v>
      </c>
      <c r="AC491" s="615" t="e">
        <f t="shared" si="158"/>
        <v>#N/A</v>
      </c>
      <c r="AD491" s="615" t="e">
        <f t="shared" si="158"/>
        <v>#N/A</v>
      </c>
      <c r="AE491" s="615" t="e">
        <f t="shared" si="158"/>
        <v>#N/A</v>
      </c>
      <c r="AF491" s="615" t="e">
        <f t="shared" si="158"/>
        <v>#N/A</v>
      </c>
      <c r="AG491" s="615" t="e">
        <f t="shared" si="158"/>
        <v>#N/A</v>
      </c>
      <c r="AH491" s="615" t="e">
        <f t="shared" si="158"/>
        <v>#N/A</v>
      </c>
      <c r="AI491" s="615" t="e">
        <f t="shared" si="158"/>
        <v>#N/A</v>
      </c>
      <c r="AJ491" s="615" t="e">
        <f t="shared" si="158"/>
        <v>#N/A</v>
      </c>
      <c r="AK491" s="615" t="e">
        <f t="shared" si="158"/>
        <v>#N/A</v>
      </c>
      <c r="AL491" s="615" t="e">
        <f t="shared" si="158"/>
        <v>#N/A</v>
      </c>
      <c r="AM491" s="615" t="e">
        <f t="shared" si="158"/>
        <v>#N/A</v>
      </c>
      <c r="AN491" s="615" t="e">
        <f t="shared" si="158"/>
        <v>#N/A</v>
      </c>
      <c r="AO491" s="615" t="e">
        <f t="shared" si="158"/>
        <v>#N/A</v>
      </c>
      <c r="AP491" s="615" t="e">
        <f t="shared" si="158"/>
        <v>#N/A</v>
      </c>
      <c r="AQ491" s="615" t="e">
        <f t="shared" si="158"/>
        <v>#N/A</v>
      </c>
      <c r="AR491" s="615" t="e">
        <f t="shared" si="158"/>
        <v>#N/A</v>
      </c>
      <c r="AS491" s="615" t="e">
        <f t="shared" si="158"/>
        <v>#N/A</v>
      </c>
      <c r="AT491" s="615" t="e">
        <f t="shared" si="158"/>
        <v>#N/A</v>
      </c>
      <c r="AU491" s="615" t="e">
        <f t="shared" si="158"/>
        <v>#N/A</v>
      </c>
      <c r="AV491" s="615" t="e">
        <f t="shared" si="158"/>
        <v>#N/A</v>
      </c>
      <c r="AW491" s="615" t="e">
        <f t="shared" si="158"/>
        <v>#N/A</v>
      </c>
      <c r="AX491" s="615" t="e">
        <f t="shared" si="158"/>
        <v>#N/A</v>
      </c>
      <c r="AY491" s="615" t="e">
        <f t="shared" si="158"/>
        <v>#N/A</v>
      </c>
      <c r="AZ491" s="615" t="e">
        <f t="shared" si="158"/>
        <v>#N/A</v>
      </c>
      <c r="BA491" s="615" t="e">
        <f t="shared" si="158"/>
        <v>#N/A</v>
      </c>
      <c r="BB491" s="615" t="e">
        <f t="shared" si="158"/>
        <v>#N/A</v>
      </c>
      <c r="BC491" s="615" t="e">
        <f t="shared" si="158"/>
        <v>#N/A</v>
      </c>
      <c r="BD491" s="615" t="e">
        <f t="shared" si="158"/>
        <v>#N/A</v>
      </c>
      <c r="BE491" s="615" t="e">
        <f t="shared" si="158"/>
        <v>#N/A</v>
      </c>
      <c r="BF491" s="615" t="e">
        <f t="shared" si="158"/>
        <v>#N/A</v>
      </c>
      <c r="BG491" s="615" t="e">
        <f t="shared" si="158"/>
        <v>#N/A</v>
      </c>
      <c r="BH491" s="615" t="e">
        <f t="shared" si="158"/>
        <v>#N/A</v>
      </c>
      <c r="BI491" s="615" t="e">
        <f t="shared" si="158"/>
        <v>#N/A</v>
      </c>
      <c r="BJ491" s="615" t="e">
        <f t="shared" si="158"/>
        <v>#N/A</v>
      </c>
      <c r="BK491" s="615" t="e">
        <f t="shared" si="158"/>
        <v>#N/A</v>
      </c>
      <c r="BL491" s="615" t="e">
        <f t="shared" si="158"/>
        <v>#N/A</v>
      </c>
      <c r="BM491" s="615" t="e">
        <f t="shared" si="158"/>
        <v>#N/A</v>
      </c>
      <c r="BN491" s="615" t="e">
        <f t="shared" si="158"/>
        <v>#N/A</v>
      </c>
      <c r="BO491" s="615" t="e">
        <f t="shared" si="158"/>
        <v>#N/A</v>
      </c>
      <c r="BP491" s="615" t="e">
        <f t="shared" si="158"/>
        <v>#N/A</v>
      </c>
      <c r="BQ491" s="615" t="e">
        <f t="shared" si="158"/>
        <v>#N/A</v>
      </c>
      <c r="BR491" s="615" t="e">
        <f t="shared" si="158"/>
        <v>#N/A</v>
      </c>
      <c r="BS491" s="615" t="e">
        <f t="shared" si="158"/>
        <v>#N/A</v>
      </c>
      <c r="BT491" s="615" t="e">
        <f t="shared" si="158"/>
        <v>#N/A</v>
      </c>
      <c r="BU491" s="615" t="e">
        <f t="shared" si="158"/>
        <v>#N/A</v>
      </c>
      <c r="BV491" s="615" t="e">
        <f t="shared" si="158"/>
        <v>#N/A</v>
      </c>
      <c r="BW491" s="615" t="e">
        <f t="shared" si="158"/>
        <v>#N/A</v>
      </c>
      <c r="BX491" s="615" t="e">
        <f t="shared" si="158"/>
        <v>#N/A</v>
      </c>
      <c r="BY491" s="615" t="e">
        <f t="shared" si="158"/>
        <v>#N/A</v>
      </c>
      <c r="BZ491" s="615" t="e">
        <f t="shared" si="158"/>
        <v>#N/A</v>
      </c>
      <c r="CA491" s="615" t="e">
        <f t="shared" si="158"/>
        <v>#N/A</v>
      </c>
      <c r="CB491" s="615" t="e">
        <f t="shared" si="158"/>
        <v>#N/A</v>
      </c>
      <c r="CC491" s="615" t="e">
        <f t="shared" si="158"/>
        <v>#N/A</v>
      </c>
      <c r="CD491" s="615" t="e">
        <f t="shared" si="158"/>
        <v>#N/A</v>
      </c>
      <c r="CE491" s="615" t="e">
        <f t="shared" si="158"/>
        <v>#N/A</v>
      </c>
      <c r="CF491" s="615" t="e">
        <f t="shared" si="158"/>
        <v>#N/A</v>
      </c>
      <c r="CG491" s="615" t="e">
        <f t="shared" si="158"/>
        <v>#N/A</v>
      </c>
      <c r="CH491" s="615" t="e">
        <f t="shared" ref="CH491:CN491" si="159">CH490+CH481</f>
        <v>#N/A</v>
      </c>
      <c r="CI491" s="615" t="e">
        <f t="shared" si="159"/>
        <v>#N/A</v>
      </c>
      <c r="CJ491" s="615" t="e">
        <f t="shared" si="159"/>
        <v>#N/A</v>
      </c>
      <c r="CK491" s="615" t="e">
        <f t="shared" si="159"/>
        <v>#N/A</v>
      </c>
      <c r="CL491" s="615" t="e">
        <f t="shared" si="159"/>
        <v>#N/A</v>
      </c>
      <c r="CM491" s="615" t="e">
        <f t="shared" si="159"/>
        <v>#N/A</v>
      </c>
      <c r="CN491" s="615" t="e">
        <f t="shared" si="159"/>
        <v>#N/A</v>
      </c>
    </row>
    <row r="492" spans="8:92">
      <c r="H492" s="602" t="s">
        <v>940</v>
      </c>
      <c r="L492" s="556" t="s">
        <v>1211</v>
      </c>
      <c r="M492" s="556" t="s">
        <v>898</v>
      </c>
      <c r="N492" s="615" t="e">
        <f>SUM(U492:AF492)</f>
        <v>#N/A</v>
      </c>
      <c r="O492" s="615" t="e">
        <f>SUM(AG492:AR492)</f>
        <v>#N/A</v>
      </c>
      <c r="P492" s="615" t="e">
        <f>SUM(AS492:BD492)</f>
        <v>#N/A</v>
      </c>
      <c r="Q492" s="615" t="e">
        <f>SUM(BE492:BP492)</f>
        <v>#N/A</v>
      </c>
      <c r="R492" s="615" t="e">
        <f>SUM(BQ492:CB492)</f>
        <v>#N/A</v>
      </c>
      <c r="S492" s="615" t="e">
        <f>SUM(CC492:CN492)</f>
        <v>#N/A</v>
      </c>
      <c r="T492" s="753"/>
      <c r="U492" s="615" t="e">
        <f>U489+U477</f>
        <v>#N/A</v>
      </c>
      <c r="V492" s="615" t="e">
        <f t="shared" ref="V492:CG492" si="160">V489+V477</f>
        <v>#N/A</v>
      </c>
      <c r="W492" s="615" t="e">
        <f t="shared" si="160"/>
        <v>#N/A</v>
      </c>
      <c r="X492" s="615" t="e">
        <f t="shared" si="160"/>
        <v>#N/A</v>
      </c>
      <c r="Y492" s="615" t="e">
        <f t="shared" si="160"/>
        <v>#N/A</v>
      </c>
      <c r="Z492" s="615" t="e">
        <f t="shared" si="160"/>
        <v>#N/A</v>
      </c>
      <c r="AA492" s="615" t="e">
        <f t="shared" si="160"/>
        <v>#N/A</v>
      </c>
      <c r="AB492" s="615" t="e">
        <f t="shared" si="160"/>
        <v>#N/A</v>
      </c>
      <c r="AC492" s="615" t="e">
        <f t="shared" si="160"/>
        <v>#N/A</v>
      </c>
      <c r="AD492" s="615" t="e">
        <f t="shared" si="160"/>
        <v>#N/A</v>
      </c>
      <c r="AE492" s="615" t="e">
        <f t="shared" si="160"/>
        <v>#N/A</v>
      </c>
      <c r="AF492" s="615" t="e">
        <f t="shared" si="160"/>
        <v>#N/A</v>
      </c>
      <c r="AG492" s="615" t="e">
        <f t="shared" si="160"/>
        <v>#N/A</v>
      </c>
      <c r="AH492" s="615" t="e">
        <f t="shared" si="160"/>
        <v>#N/A</v>
      </c>
      <c r="AI492" s="615" t="e">
        <f t="shared" si="160"/>
        <v>#N/A</v>
      </c>
      <c r="AJ492" s="615" t="e">
        <f t="shared" si="160"/>
        <v>#N/A</v>
      </c>
      <c r="AK492" s="615" t="e">
        <f t="shared" si="160"/>
        <v>#N/A</v>
      </c>
      <c r="AL492" s="615" t="e">
        <f t="shared" si="160"/>
        <v>#N/A</v>
      </c>
      <c r="AM492" s="615" t="e">
        <f t="shared" si="160"/>
        <v>#N/A</v>
      </c>
      <c r="AN492" s="615" t="e">
        <f t="shared" si="160"/>
        <v>#N/A</v>
      </c>
      <c r="AO492" s="615" t="e">
        <f t="shared" si="160"/>
        <v>#N/A</v>
      </c>
      <c r="AP492" s="615" t="e">
        <f t="shared" si="160"/>
        <v>#N/A</v>
      </c>
      <c r="AQ492" s="615" t="e">
        <f t="shared" si="160"/>
        <v>#N/A</v>
      </c>
      <c r="AR492" s="615" t="e">
        <f t="shared" si="160"/>
        <v>#N/A</v>
      </c>
      <c r="AS492" s="615" t="e">
        <f t="shared" si="160"/>
        <v>#N/A</v>
      </c>
      <c r="AT492" s="615" t="e">
        <f t="shared" si="160"/>
        <v>#N/A</v>
      </c>
      <c r="AU492" s="615" t="e">
        <f t="shared" si="160"/>
        <v>#N/A</v>
      </c>
      <c r="AV492" s="615" t="e">
        <f t="shared" si="160"/>
        <v>#N/A</v>
      </c>
      <c r="AW492" s="615" t="e">
        <f t="shared" si="160"/>
        <v>#N/A</v>
      </c>
      <c r="AX492" s="615" t="e">
        <f t="shared" si="160"/>
        <v>#N/A</v>
      </c>
      <c r="AY492" s="615" t="e">
        <f t="shared" si="160"/>
        <v>#N/A</v>
      </c>
      <c r="AZ492" s="615" t="e">
        <f t="shared" si="160"/>
        <v>#N/A</v>
      </c>
      <c r="BA492" s="615" t="e">
        <f t="shared" si="160"/>
        <v>#N/A</v>
      </c>
      <c r="BB492" s="615" t="e">
        <f t="shared" si="160"/>
        <v>#N/A</v>
      </c>
      <c r="BC492" s="615" t="e">
        <f t="shared" si="160"/>
        <v>#N/A</v>
      </c>
      <c r="BD492" s="615" t="e">
        <f t="shared" si="160"/>
        <v>#N/A</v>
      </c>
      <c r="BE492" s="615" t="e">
        <f t="shared" si="160"/>
        <v>#N/A</v>
      </c>
      <c r="BF492" s="615" t="e">
        <f t="shared" si="160"/>
        <v>#N/A</v>
      </c>
      <c r="BG492" s="615" t="e">
        <f t="shared" si="160"/>
        <v>#N/A</v>
      </c>
      <c r="BH492" s="615" t="e">
        <f t="shared" si="160"/>
        <v>#N/A</v>
      </c>
      <c r="BI492" s="615" t="e">
        <f t="shared" si="160"/>
        <v>#N/A</v>
      </c>
      <c r="BJ492" s="615" t="e">
        <f t="shared" si="160"/>
        <v>#N/A</v>
      </c>
      <c r="BK492" s="615" t="e">
        <f t="shared" si="160"/>
        <v>#N/A</v>
      </c>
      <c r="BL492" s="615" t="e">
        <f t="shared" si="160"/>
        <v>#N/A</v>
      </c>
      <c r="BM492" s="615" t="e">
        <f t="shared" si="160"/>
        <v>#N/A</v>
      </c>
      <c r="BN492" s="615" t="e">
        <f t="shared" si="160"/>
        <v>#N/A</v>
      </c>
      <c r="BO492" s="615" t="e">
        <f t="shared" si="160"/>
        <v>#N/A</v>
      </c>
      <c r="BP492" s="615" t="e">
        <f t="shared" si="160"/>
        <v>#N/A</v>
      </c>
      <c r="BQ492" s="615" t="e">
        <f t="shared" si="160"/>
        <v>#N/A</v>
      </c>
      <c r="BR492" s="615" t="e">
        <f t="shared" si="160"/>
        <v>#N/A</v>
      </c>
      <c r="BS492" s="615" t="e">
        <f t="shared" si="160"/>
        <v>#N/A</v>
      </c>
      <c r="BT492" s="615" t="e">
        <f t="shared" si="160"/>
        <v>#N/A</v>
      </c>
      <c r="BU492" s="615" t="e">
        <f t="shared" si="160"/>
        <v>#N/A</v>
      </c>
      <c r="BV492" s="615" t="e">
        <f t="shared" si="160"/>
        <v>#N/A</v>
      </c>
      <c r="BW492" s="615" t="e">
        <f t="shared" si="160"/>
        <v>#N/A</v>
      </c>
      <c r="BX492" s="615" t="e">
        <f t="shared" si="160"/>
        <v>#N/A</v>
      </c>
      <c r="BY492" s="615" t="e">
        <f t="shared" si="160"/>
        <v>#N/A</v>
      </c>
      <c r="BZ492" s="615" t="e">
        <f t="shared" si="160"/>
        <v>#N/A</v>
      </c>
      <c r="CA492" s="615" t="e">
        <f t="shared" si="160"/>
        <v>#N/A</v>
      </c>
      <c r="CB492" s="615" t="e">
        <f t="shared" si="160"/>
        <v>#N/A</v>
      </c>
      <c r="CC492" s="615" t="e">
        <f t="shared" si="160"/>
        <v>#N/A</v>
      </c>
      <c r="CD492" s="615" t="e">
        <f t="shared" si="160"/>
        <v>#N/A</v>
      </c>
      <c r="CE492" s="615" t="e">
        <f t="shared" si="160"/>
        <v>#N/A</v>
      </c>
      <c r="CF492" s="615" t="e">
        <f t="shared" si="160"/>
        <v>#N/A</v>
      </c>
      <c r="CG492" s="615" t="e">
        <f t="shared" si="160"/>
        <v>#N/A</v>
      </c>
      <c r="CH492" s="615" t="e">
        <f t="shared" ref="CH492:CN492" si="161">CH489+CH477</f>
        <v>#N/A</v>
      </c>
      <c r="CI492" s="615" t="e">
        <f t="shared" si="161"/>
        <v>#N/A</v>
      </c>
      <c r="CJ492" s="615" t="e">
        <f t="shared" si="161"/>
        <v>#N/A</v>
      </c>
      <c r="CK492" s="615" t="e">
        <f t="shared" si="161"/>
        <v>#N/A</v>
      </c>
      <c r="CL492" s="615" t="e">
        <f t="shared" si="161"/>
        <v>#N/A</v>
      </c>
      <c r="CM492" s="615" t="e">
        <f t="shared" si="161"/>
        <v>#N/A</v>
      </c>
      <c r="CN492" s="615" t="e">
        <f t="shared" si="161"/>
        <v>#N/A</v>
      </c>
    </row>
    <row r="493" spans="8:92">
      <c r="H493" s="602" t="s">
        <v>940</v>
      </c>
      <c r="L493" s="556" t="s">
        <v>1212</v>
      </c>
      <c r="M493" s="556" t="s">
        <v>898</v>
      </c>
      <c r="N493" s="615" t="e">
        <f>SUM(U493:AF493)</f>
        <v>#N/A</v>
      </c>
      <c r="O493" s="615" t="e">
        <f>SUM(AG493:AR493)</f>
        <v>#N/A</v>
      </c>
      <c r="P493" s="615" t="e">
        <f>SUM(AS493:BD493)</f>
        <v>#N/A</v>
      </c>
      <c r="Q493" s="615" t="e">
        <f>SUM(BE493:BP493)</f>
        <v>#N/A</v>
      </c>
      <c r="R493" s="615" t="e">
        <f>SUM(BQ493:CB493)</f>
        <v>#N/A</v>
      </c>
      <c r="S493" s="615" t="e">
        <f>SUM(CC493:CN493)</f>
        <v>#N/A</v>
      </c>
      <c r="T493" s="753"/>
      <c r="U493" s="615" t="e">
        <f>U492+U481</f>
        <v>#N/A</v>
      </c>
      <c r="V493" s="615" t="e">
        <f t="shared" ref="V493:CG493" si="162">V492+V481</f>
        <v>#N/A</v>
      </c>
      <c r="W493" s="615" t="e">
        <f t="shared" si="162"/>
        <v>#N/A</v>
      </c>
      <c r="X493" s="615" t="e">
        <f t="shared" si="162"/>
        <v>#N/A</v>
      </c>
      <c r="Y493" s="615" t="e">
        <f t="shared" si="162"/>
        <v>#N/A</v>
      </c>
      <c r="Z493" s="615" t="e">
        <f t="shared" si="162"/>
        <v>#N/A</v>
      </c>
      <c r="AA493" s="615" t="e">
        <f t="shared" si="162"/>
        <v>#N/A</v>
      </c>
      <c r="AB493" s="615" t="e">
        <f t="shared" si="162"/>
        <v>#N/A</v>
      </c>
      <c r="AC493" s="615" t="e">
        <f t="shared" si="162"/>
        <v>#N/A</v>
      </c>
      <c r="AD493" s="615" t="e">
        <f t="shared" si="162"/>
        <v>#N/A</v>
      </c>
      <c r="AE493" s="615" t="e">
        <f t="shared" si="162"/>
        <v>#N/A</v>
      </c>
      <c r="AF493" s="615" t="e">
        <f t="shared" si="162"/>
        <v>#N/A</v>
      </c>
      <c r="AG493" s="615" t="e">
        <f t="shared" si="162"/>
        <v>#N/A</v>
      </c>
      <c r="AH493" s="615" t="e">
        <f t="shared" si="162"/>
        <v>#N/A</v>
      </c>
      <c r="AI493" s="615" t="e">
        <f t="shared" si="162"/>
        <v>#N/A</v>
      </c>
      <c r="AJ493" s="615" t="e">
        <f t="shared" si="162"/>
        <v>#N/A</v>
      </c>
      <c r="AK493" s="615" t="e">
        <f t="shared" si="162"/>
        <v>#N/A</v>
      </c>
      <c r="AL493" s="615" t="e">
        <f t="shared" si="162"/>
        <v>#N/A</v>
      </c>
      <c r="AM493" s="615" t="e">
        <f t="shared" si="162"/>
        <v>#N/A</v>
      </c>
      <c r="AN493" s="615" t="e">
        <f t="shared" si="162"/>
        <v>#N/A</v>
      </c>
      <c r="AO493" s="615" t="e">
        <f t="shared" si="162"/>
        <v>#N/A</v>
      </c>
      <c r="AP493" s="615" t="e">
        <f t="shared" si="162"/>
        <v>#N/A</v>
      </c>
      <c r="AQ493" s="615" t="e">
        <f t="shared" si="162"/>
        <v>#N/A</v>
      </c>
      <c r="AR493" s="615" t="e">
        <f t="shared" si="162"/>
        <v>#N/A</v>
      </c>
      <c r="AS493" s="615" t="e">
        <f t="shared" si="162"/>
        <v>#N/A</v>
      </c>
      <c r="AT493" s="615" t="e">
        <f t="shared" si="162"/>
        <v>#N/A</v>
      </c>
      <c r="AU493" s="615" t="e">
        <f t="shared" si="162"/>
        <v>#N/A</v>
      </c>
      <c r="AV493" s="615" t="e">
        <f t="shared" si="162"/>
        <v>#N/A</v>
      </c>
      <c r="AW493" s="615" t="e">
        <f t="shared" si="162"/>
        <v>#N/A</v>
      </c>
      <c r="AX493" s="615" t="e">
        <f t="shared" si="162"/>
        <v>#N/A</v>
      </c>
      <c r="AY493" s="615" t="e">
        <f t="shared" si="162"/>
        <v>#N/A</v>
      </c>
      <c r="AZ493" s="615" t="e">
        <f t="shared" si="162"/>
        <v>#N/A</v>
      </c>
      <c r="BA493" s="615" t="e">
        <f t="shared" si="162"/>
        <v>#N/A</v>
      </c>
      <c r="BB493" s="615" t="e">
        <f t="shared" si="162"/>
        <v>#N/A</v>
      </c>
      <c r="BC493" s="615" t="e">
        <f t="shared" si="162"/>
        <v>#N/A</v>
      </c>
      <c r="BD493" s="615" t="e">
        <f t="shared" si="162"/>
        <v>#N/A</v>
      </c>
      <c r="BE493" s="615" t="e">
        <f t="shared" si="162"/>
        <v>#N/A</v>
      </c>
      <c r="BF493" s="615" t="e">
        <f t="shared" si="162"/>
        <v>#N/A</v>
      </c>
      <c r="BG493" s="615" t="e">
        <f t="shared" si="162"/>
        <v>#N/A</v>
      </c>
      <c r="BH493" s="615" t="e">
        <f t="shared" si="162"/>
        <v>#N/A</v>
      </c>
      <c r="BI493" s="615" t="e">
        <f t="shared" si="162"/>
        <v>#N/A</v>
      </c>
      <c r="BJ493" s="615" t="e">
        <f t="shared" si="162"/>
        <v>#N/A</v>
      </c>
      <c r="BK493" s="615" t="e">
        <f t="shared" si="162"/>
        <v>#N/A</v>
      </c>
      <c r="BL493" s="615" t="e">
        <f t="shared" si="162"/>
        <v>#N/A</v>
      </c>
      <c r="BM493" s="615" t="e">
        <f t="shared" si="162"/>
        <v>#N/A</v>
      </c>
      <c r="BN493" s="615" t="e">
        <f t="shared" si="162"/>
        <v>#N/A</v>
      </c>
      <c r="BO493" s="615" t="e">
        <f t="shared" si="162"/>
        <v>#N/A</v>
      </c>
      <c r="BP493" s="615" t="e">
        <f t="shared" si="162"/>
        <v>#N/A</v>
      </c>
      <c r="BQ493" s="615" t="e">
        <f t="shared" si="162"/>
        <v>#N/A</v>
      </c>
      <c r="BR493" s="615" t="e">
        <f t="shared" si="162"/>
        <v>#N/A</v>
      </c>
      <c r="BS493" s="615" t="e">
        <f t="shared" si="162"/>
        <v>#N/A</v>
      </c>
      <c r="BT493" s="615" t="e">
        <f t="shared" si="162"/>
        <v>#N/A</v>
      </c>
      <c r="BU493" s="615" t="e">
        <f t="shared" si="162"/>
        <v>#N/A</v>
      </c>
      <c r="BV493" s="615" t="e">
        <f t="shared" si="162"/>
        <v>#N/A</v>
      </c>
      <c r="BW493" s="615" t="e">
        <f t="shared" si="162"/>
        <v>#N/A</v>
      </c>
      <c r="BX493" s="615" t="e">
        <f t="shared" si="162"/>
        <v>#N/A</v>
      </c>
      <c r="BY493" s="615" t="e">
        <f t="shared" si="162"/>
        <v>#N/A</v>
      </c>
      <c r="BZ493" s="615" t="e">
        <f t="shared" si="162"/>
        <v>#N/A</v>
      </c>
      <c r="CA493" s="615" t="e">
        <f t="shared" si="162"/>
        <v>#N/A</v>
      </c>
      <c r="CB493" s="615" t="e">
        <f t="shared" si="162"/>
        <v>#N/A</v>
      </c>
      <c r="CC493" s="615" t="e">
        <f t="shared" si="162"/>
        <v>#N/A</v>
      </c>
      <c r="CD493" s="615" t="e">
        <f t="shared" si="162"/>
        <v>#N/A</v>
      </c>
      <c r="CE493" s="615" t="e">
        <f t="shared" si="162"/>
        <v>#N/A</v>
      </c>
      <c r="CF493" s="615" t="e">
        <f t="shared" si="162"/>
        <v>#N/A</v>
      </c>
      <c r="CG493" s="615" t="e">
        <f t="shared" si="162"/>
        <v>#N/A</v>
      </c>
      <c r="CH493" s="615" t="e">
        <f t="shared" ref="CH493:CN493" si="163">CH492+CH481</f>
        <v>#N/A</v>
      </c>
      <c r="CI493" s="615" t="e">
        <f t="shared" si="163"/>
        <v>#N/A</v>
      </c>
      <c r="CJ493" s="615" t="e">
        <f t="shared" si="163"/>
        <v>#N/A</v>
      </c>
      <c r="CK493" s="615" t="e">
        <f t="shared" si="163"/>
        <v>#N/A</v>
      </c>
      <c r="CL493" s="615" t="e">
        <f t="shared" si="163"/>
        <v>#N/A</v>
      </c>
      <c r="CM493" s="615" t="e">
        <f t="shared" si="163"/>
        <v>#N/A</v>
      </c>
      <c r="CN493" s="615" t="e">
        <f t="shared" si="163"/>
        <v>#N/A</v>
      </c>
    </row>
    <row r="494" spans="8:92">
      <c r="H494" s="602" t="s">
        <v>940</v>
      </c>
      <c r="N494" s="615"/>
      <c r="O494" s="615"/>
      <c r="P494" s="615"/>
      <c r="Q494" s="615"/>
      <c r="R494" s="615"/>
      <c r="S494" s="615"/>
      <c r="T494" s="753"/>
      <c r="AF494" s="753"/>
      <c r="AR494" s="753"/>
      <c r="BD494" s="753"/>
      <c r="BP494" s="753"/>
      <c r="CB494" s="753"/>
    </row>
    <row r="495" spans="8:92">
      <c r="H495" s="602" t="s">
        <v>940</v>
      </c>
      <c r="L495" s="609" t="s">
        <v>1213</v>
      </c>
      <c r="N495" s="615"/>
      <c r="O495" s="615"/>
      <c r="P495" s="615"/>
      <c r="Q495" s="615"/>
      <c r="R495" s="615"/>
      <c r="S495" s="615"/>
      <c r="T495" s="753"/>
      <c r="AF495" s="753"/>
      <c r="AR495" s="753"/>
      <c r="BD495" s="753"/>
      <c r="BP495" s="753"/>
      <c r="CB495" s="753"/>
    </row>
    <row r="496" spans="8:92">
      <c r="H496" s="602" t="s">
        <v>940</v>
      </c>
      <c r="L496" s="556" t="s">
        <v>254</v>
      </c>
      <c r="M496" s="556" t="str">
        <f>M347</f>
        <v>Therms</v>
      </c>
      <c r="N496" s="615">
        <f t="shared" si="138"/>
        <v>33.478100000000005</v>
      </c>
      <c r="O496" s="615">
        <f t="shared" si="139"/>
        <v>39.385999999999996</v>
      </c>
      <c r="P496" s="615">
        <f t="shared" si="140"/>
        <v>56.995000000000005</v>
      </c>
      <c r="Q496" s="615">
        <f t="shared" si="141"/>
        <v>74.603999999999999</v>
      </c>
      <c r="R496" s="615">
        <f t="shared" si="142"/>
        <v>92.21299999999998</v>
      </c>
      <c r="S496" s="615">
        <f t="shared" si="143"/>
        <v>109.82199999999999</v>
      </c>
      <c r="T496" s="753"/>
      <c r="U496" s="616">
        <f>$N$347</f>
        <v>2.7898416666666668</v>
      </c>
      <c r="V496" s="616">
        <f t="shared" ref="V496:AF496" si="164">$N$347</f>
        <v>2.7898416666666668</v>
      </c>
      <c r="W496" s="616">
        <f t="shared" si="164"/>
        <v>2.7898416666666668</v>
      </c>
      <c r="X496" s="616">
        <f t="shared" si="164"/>
        <v>2.7898416666666668</v>
      </c>
      <c r="Y496" s="616">
        <f t="shared" si="164"/>
        <v>2.7898416666666668</v>
      </c>
      <c r="Z496" s="616">
        <f t="shared" si="164"/>
        <v>2.7898416666666668</v>
      </c>
      <c r="AA496" s="616">
        <f t="shared" si="164"/>
        <v>2.7898416666666668</v>
      </c>
      <c r="AB496" s="616">
        <f t="shared" si="164"/>
        <v>2.7898416666666668</v>
      </c>
      <c r="AC496" s="616">
        <f t="shared" si="164"/>
        <v>2.7898416666666668</v>
      </c>
      <c r="AD496" s="616">
        <f t="shared" si="164"/>
        <v>2.7898416666666668</v>
      </c>
      <c r="AE496" s="616">
        <f t="shared" si="164"/>
        <v>2.7898416666666668</v>
      </c>
      <c r="AF496" s="616">
        <f t="shared" si="164"/>
        <v>2.7898416666666668</v>
      </c>
      <c r="AG496" s="616">
        <f>$O$347</f>
        <v>3.2821666666666665</v>
      </c>
      <c r="AH496" s="616">
        <f t="shared" ref="AH496:AR496" si="165">$O$347</f>
        <v>3.2821666666666665</v>
      </c>
      <c r="AI496" s="616">
        <f t="shared" si="165"/>
        <v>3.2821666666666665</v>
      </c>
      <c r="AJ496" s="616">
        <f t="shared" si="165"/>
        <v>3.2821666666666665</v>
      </c>
      <c r="AK496" s="616">
        <f t="shared" si="165"/>
        <v>3.2821666666666665</v>
      </c>
      <c r="AL496" s="616">
        <f t="shared" si="165"/>
        <v>3.2821666666666665</v>
      </c>
      <c r="AM496" s="616">
        <f t="shared" si="165"/>
        <v>3.2821666666666665</v>
      </c>
      <c r="AN496" s="616">
        <f t="shared" si="165"/>
        <v>3.2821666666666665</v>
      </c>
      <c r="AO496" s="616">
        <f t="shared" si="165"/>
        <v>3.2821666666666665</v>
      </c>
      <c r="AP496" s="616">
        <f t="shared" si="165"/>
        <v>3.2821666666666665</v>
      </c>
      <c r="AQ496" s="616">
        <f t="shared" si="165"/>
        <v>3.2821666666666665</v>
      </c>
      <c r="AR496" s="616">
        <f t="shared" si="165"/>
        <v>3.2821666666666665</v>
      </c>
      <c r="AS496" s="616">
        <f>$P$347</f>
        <v>4.7495833333333337</v>
      </c>
      <c r="AT496" s="616">
        <f t="shared" ref="AT496:BD496" si="166">$P$347</f>
        <v>4.7495833333333337</v>
      </c>
      <c r="AU496" s="616">
        <f t="shared" si="166"/>
        <v>4.7495833333333337</v>
      </c>
      <c r="AV496" s="616">
        <f t="shared" si="166"/>
        <v>4.7495833333333337</v>
      </c>
      <c r="AW496" s="616">
        <f t="shared" si="166"/>
        <v>4.7495833333333337</v>
      </c>
      <c r="AX496" s="616">
        <f t="shared" si="166"/>
        <v>4.7495833333333337</v>
      </c>
      <c r="AY496" s="616">
        <f t="shared" si="166"/>
        <v>4.7495833333333337</v>
      </c>
      <c r="AZ496" s="616">
        <f t="shared" si="166"/>
        <v>4.7495833333333337</v>
      </c>
      <c r="BA496" s="616">
        <f t="shared" si="166"/>
        <v>4.7495833333333337</v>
      </c>
      <c r="BB496" s="616">
        <f t="shared" si="166"/>
        <v>4.7495833333333337</v>
      </c>
      <c r="BC496" s="616">
        <f t="shared" si="166"/>
        <v>4.7495833333333337</v>
      </c>
      <c r="BD496" s="616">
        <f t="shared" si="166"/>
        <v>4.7495833333333337</v>
      </c>
      <c r="BE496" s="616">
        <f>$Q$347</f>
        <v>6.2170000000000005</v>
      </c>
      <c r="BF496" s="616">
        <f t="shared" ref="BF496:BP496" si="167">$Q$347</f>
        <v>6.2170000000000005</v>
      </c>
      <c r="BG496" s="616">
        <f t="shared" si="167"/>
        <v>6.2170000000000005</v>
      </c>
      <c r="BH496" s="616">
        <f t="shared" si="167"/>
        <v>6.2170000000000005</v>
      </c>
      <c r="BI496" s="616">
        <f t="shared" si="167"/>
        <v>6.2170000000000005</v>
      </c>
      <c r="BJ496" s="616">
        <f t="shared" si="167"/>
        <v>6.2170000000000005</v>
      </c>
      <c r="BK496" s="616">
        <f t="shared" si="167"/>
        <v>6.2170000000000005</v>
      </c>
      <c r="BL496" s="616">
        <f t="shared" si="167"/>
        <v>6.2170000000000005</v>
      </c>
      <c r="BM496" s="616">
        <f t="shared" si="167"/>
        <v>6.2170000000000005</v>
      </c>
      <c r="BN496" s="616">
        <f t="shared" si="167"/>
        <v>6.2170000000000005</v>
      </c>
      <c r="BO496" s="616">
        <f t="shared" si="167"/>
        <v>6.2170000000000005</v>
      </c>
      <c r="BP496" s="616">
        <f t="shared" si="167"/>
        <v>6.2170000000000005</v>
      </c>
      <c r="BQ496" s="616">
        <f>$R$347</f>
        <v>7.6844166666666665</v>
      </c>
      <c r="BR496" s="616">
        <f t="shared" ref="BR496:CB496" si="168">$R$347</f>
        <v>7.6844166666666665</v>
      </c>
      <c r="BS496" s="616">
        <f t="shared" si="168"/>
        <v>7.6844166666666665</v>
      </c>
      <c r="BT496" s="616">
        <f t="shared" si="168"/>
        <v>7.6844166666666665</v>
      </c>
      <c r="BU496" s="616">
        <f t="shared" si="168"/>
        <v>7.6844166666666665</v>
      </c>
      <c r="BV496" s="616">
        <f t="shared" si="168"/>
        <v>7.6844166666666665</v>
      </c>
      <c r="BW496" s="616">
        <f t="shared" si="168"/>
        <v>7.6844166666666665</v>
      </c>
      <c r="BX496" s="616">
        <f t="shared" si="168"/>
        <v>7.6844166666666665</v>
      </c>
      <c r="BY496" s="616">
        <f t="shared" si="168"/>
        <v>7.6844166666666665</v>
      </c>
      <c r="BZ496" s="616">
        <f t="shared" si="168"/>
        <v>7.6844166666666665</v>
      </c>
      <c r="CA496" s="616">
        <f t="shared" si="168"/>
        <v>7.6844166666666665</v>
      </c>
      <c r="CB496" s="616">
        <f t="shared" si="168"/>
        <v>7.6844166666666665</v>
      </c>
      <c r="CC496" s="616">
        <f>$S$347</f>
        <v>9.1518333333333342</v>
      </c>
      <c r="CD496" s="616">
        <f t="shared" ref="CD496:CN496" si="169">$S$347</f>
        <v>9.1518333333333342</v>
      </c>
      <c r="CE496" s="616">
        <f t="shared" si="169"/>
        <v>9.1518333333333342</v>
      </c>
      <c r="CF496" s="616">
        <f t="shared" si="169"/>
        <v>9.1518333333333342</v>
      </c>
      <c r="CG496" s="616">
        <f t="shared" si="169"/>
        <v>9.1518333333333342</v>
      </c>
      <c r="CH496" s="616">
        <f t="shared" si="169"/>
        <v>9.1518333333333342</v>
      </c>
      <c r="CI496" s="616">
        <f t="shared" si="169"/>
        <v>9.1518333333333342</v>
      </c>
      <c r="CJ496" s="616">
        <f t="shared" si="169"/>
        <v>9.1518333333333342</v>
      </c>
      <c r="CK496" s="616">
        <f t="shared" si="169"/>
        <v>9.1518333333333342</v>
      </c>
      <c r="CL496" s="616">
        <f t="shared" si="169"/>
        <v>9.1518333333333342</v>
      </c>
      <c r="CM496" s="616">
        <f t="shared" si="169"/>
        <v>9.1518333333333342</v>
      </c>
      <c r="CN496" s="616">
        <f t="shared" si="169"/>
        <v>9.1518333333333342</v>
      </c>
    </row>
    <row r="497" spans="8:92">
      <c r="H497" s="602" t="s">
        <v>940</v>
      </c>
      <c r="L497" s="556" t="s">
        <v>1214</v>
      </c>
      <c r="M497" s="556" t="str">
        <f>M496</f>
        <v>Therms</v>
      </c>
      <c r="N497" s="615" t="e">
        <f t="shared" si="138"/>
        <v>#N/A</v>
      </c>
      <c r="O497" s="615" t="e">
        <f t="shared" si="139"/>
        <v>#N/A</v>
      </c>
      <c r="P497" s="615" t="e">
        <f t="shared" si="140"/>
        <v>#N/A</v>
      </c>
      <c r="Q497" s="615" t="e">
        <f t="shared" si="141"/>
        <v>#N/A</v>
      </c>
      <c r="R497" s="615" t="e">
        <f t="shared" si="142"/>
        <v>#N/A</v>
      </c>
      <c r="S497" s="615" t="e">
        <f t="shared" si="143"/>
        <v>#N/A</v>
      </c>
      <c r="T497" s="753"/>
      <c r="U497" s="616" t="e">
        <f>$N$348</f>
        <v>#N/A</v>
      </c>
      <c r="V497" s="616" t="e">
        <f t="shared" ref="V497:AF497" si="170">$N$348</f>
        <v>#N/A</v>
      </c>
      <c r="W497" s="616" t="e">
        <f t="shared" si="170"/>
        <v>#N/A</v>
      </c>
      <c r="X497" s="616" t="e">
        <f t="shared" si="170"/>
        <v>#N/A</v>
      </c>
      <c r="Y497" s="616" t="e">
        <f t="shared" si="170"/>
        <v>#N/A</v>
      </c>
      <c r="Z497" s="616" t="e">
        <f t="shared" si="170"/>
        <v>#N/A</v>
      </c>
      <c r="AA497" s="616" t="e">
        <f t="shared" si="170"/>
        <v>#N/A</v>
      </c>
      <c r="AB497" s="616" t="e">
        <f t="shared" si="170"/>
        <v>#N/A</v>
      </c>
      <c r="AC497" s="616" t="e">
        <f t="shared" si="170"/>
        <v>#N/A</v>
      </c>
      <c r="AD497" s="616" t="e">
        <f t="shared" si="170"/>
        <v>#N/A</v>
      </c>
      <c r="AE497" s="616" t="e">
        <f t="shared" si="170"/>
        <v>#N/A</v>
      </c>
      <c r="AF497" s="616" t="e">
        <f t="shared" si="170"/>
        <v>#N/A</v>
      </c>
      <c r="AG497" s="616" t="e">
        <f>$O$348</f>
        <v>#N/A</v>
      </c>
      <c r="AH497" s="616" t="e">
        <f t="shared" ref="AH497:AR497" si="171">$O$348</f>
        <v>#N/A</v>
      </c>
      <c r="AI497" s="616" t="e">
        <f t="shared" si="171"/>
        <v>#N/A</v>
      </c>
      <c r="AJ497" s="616" t="e">
        <f t="shared" si="171"/>
        <v>#N/A</v>
      </c>
      <c r="AK497" s="616" t="e">
        <f t="shared" si="171"/>
        <v>#N/A</v>
      </c>
      <c r="AL497" s="616" t="e">
        <f t="shared" si="171"/>
        <v>#N/A</v>
      </c>
      <c r="AM497" s="616" t="e">
        <f t="shared" si="171"/>
        <v>#N/A</v>
      </c>
      <c r="AN497" s="616" t="e">
        <f t="shared" si="171"/>
        <v>#N/A</v>
      </c>
      <c r="AO497" s="616" t="e">
        <f t="shared" si="171"/>
        <v>#N/A</v>
      </c>
      <c r="AP497" s="616" t="e">
        <f t="shared" si="171"/>
        <v>#N/A</v>
      </c>
      <c r="AQ497" s="616" t="e">
        <f t="shared" si="171"/>
        <v>#N/A</v>
      </c>
      <c r="AR497" s="616" t="e">
        <f t="shared" si="171"/>
        <v>#N/A</v>
      </c>
      <c r="AS497" s="616" t="e">
        <f>$P$348</f>
        <v>#N/A</v>
      </c>
      <c r="AT497" s="616" t="e">
        <f t="shared" ref="AT497:BD497" si="172">$P$348</f>
        <v>#N/A</v>
      </c>
      <c r="AU497" s="616" t="e">
        <f t="shared" si="172"/>
        <v>#N/A</v>
      </c>
      <c r="AV497" s="616" t="e">
        <f t="shared" si="172"/>
        <v>#N/A</v>
      </c>
      <c r="AW497" s="616" t="e">
        <f t="shared" si="172"/>
        <v>#N/A</v>
      </c>
      <c r="AX497" s="616" t="e">
        <f t="shared" si="172"/>
        <v>#N/A</v>
      </c>
      <c r="AY497" s="616" t="e">
        <f t="shared" si="172"/>
        <v>#N/A</v>
      </c>
      <c r="AZ497" s="616" t="e">
        <f t="shared" si="172"/>
        <v>#N/A</v>
      </c>
      <c r="BA497" s="616" t="e">
        <f t="shared" si="172"/>
        <v>#N/A</v>
      </c>
      <c r="BB497" s="616" t="e">
        <f t="shared" si="172"/>
        <v>#N/A</v>
      </c>
      <c r="BC497" s="616" t="e">
        <f t="shared" si="172"/>
        <v>#N/A</v>
      </c>
      <c r="BD497" s="616" t="e">
        <f t="shared" si="172"/>
        <v>#N/A</v>
      </c>
      <c r="BE497" s="616" t="e">
        <f>$Q$348</f>
        <v>#N/A</v>
      </c>
      <c r="BF497" s="616" t="e">
        <f t="shared" ref="BF497:BP497" si="173">$Q$348</f>
        <v>#N/A</v>
      </c>
      <c r="BG497" s="616" t="e">
        <f t="shared" si="173"/>
        <v>#N/A</v>
      </c>
      <c r="BH497" s="616" t="e">
        <f t="shared" si="173"/>
        <v>#N/A</v>
      </c>
      <c r="BI497" s="616" t="e">
        <f t="shared" si="173"/>
        <v>#N/A</v>
      </c>
      <c r="BJ497" s="616" t="e">
        <f t="shared" si="173"/>
        <v>#N/A</v>
      </c>
      <c r="BK497" s="616" t="e">
        <f t="shared" si="173"/>
        <v>#N/A</v>
      </c>
      <c r="BL497" s="616" t="e">
        <f t="shared" si="173"/>
        <v>#N/A</v>
      </c>
      <c r="BM497" s="616" t="e">
        <f t="shared" si="173"/>
        <v>#N/A</v>
      </c>
      <c r="BN497" s="616" t="e">
        <f t="shared" si="173"/>
        <v>#N/A</v>
      </c>
      <c r="BO497" s="616" t="e">
        <f t="shared" si="173"/>
        <v>#N/A</v>
      </c>
      <c r="BP497" s="616" t="e">
        <f t="shared" si="173"/>
        <v>#N/A</v>
      </c>
      <c r="BQ497" s="616" t="e">
        <f>$R$348</f>
        <v>#N/A</v>
      </c>
      <c r="BR497" s="616" t="e">
        <f t="shared" ref="BR497:CB497" si="174">$R$348</f>
        <v>#N/A</v>
      </c>
      <c r="BS497" s="616" t="e">
        <f t="shared" si="174"/>
        <v>#N/A</v>
      </c>
      <c r="BT497" s="616" t="e">
        <f t="shared" si="174"/>
        <v>#N/A</v>
      </c>
      <c r="BU497" s="616" t="e">
        <f t="shared" si="174"/>
        <v>#N/A</v>
      </c>
      <c r="BV497" s="616" t="e">
        <f t="shared" si="174"/>
        <v>#N/A</v>
      </c>
      <c r="BW497" s="616" t="e">
        <f t="shared" si="174"/>
        <v>#N/A</v>
      </c>
      <c r="BX497" s="616" t="e">
        <f t="shared" si="174"/>
        <v>#N/A</v>
      </c>
      <c r="BY497" s="616" t="e">
        <f t="shared" si="174"/>
        <v>#N/A</v>
      </c>
      <c r="BZ497" s="616" t="e">
        <f t="shared" si="174"/>
        <v>#N/A</v>
      </c>
      <c r="CA497" s="616" t="e">
        <f t="shared" si="174"/>
        <v>#N/A</v>
      </c>
      <c r="CB497" s="616" t="e">
        <f t="shared" si="174"/>
        <v>#N/A</v>
      </c>
      <c r="CC497" s="616" t="e">
        <f>$S$348</f>
        <v>#N/A</v>
      </c>
      <c r="CD497" s="616" t="e">
        <f t="shared" ref="CD497:CN497" si="175">$S$348</f>
        <v>#N/A</v>
      </c>
      <c r="CE497" s="616" t="e">
        <f t="shared" si="175"/>
        <v>#N/A</v>
      </c>
      <c r="CF497" s="616" t="e">
        <f t="shared" si="175"/>
        <v>#N/A</v>
      </c>
      <c r="CG497" s="616" t="e">
        <f t="shared" si="175"/>
        <v>#N/A</v>
      </c>
      <c r="CH497" s="616" t="e">
        <f t="shared" si="175"/>
        <v>#N/A</v>
      </c>
      <c r="CI497" s="616" t="e">
        <f t="shared" si="175"/>
        <v>#N/A</v>
      </c>
      <c r="CJ497" s="616" t="e">
        <f t="shared" si="175"/>
        <v>#N/A</v>
      </c>
      <c r="CK497" s="616" t="e">
        <f t="shared" si="175"/>
        <v>#N/A</v>
      </c>
      <c r="CL497" s="616" t="e">
        <f t="shared" si="175"/>
        <v>#N/A</v>
      </c>
      <c r="CM497" s="616" t="e">
        <f t="shared" si="175"/>
        <v>#N/A</v>
      </c>
      <c r="CN497" s="616" t="e">
        <f t="shared" si="175"/>
        <v>#N/A</v>
      </c>
    </row>
    <row r="498" spans="8:92">
      <c r="H498" s="602" t="s">
        <v>940</v>
      </c>
      <c r="L498" s="556" t="s">
        <v>1215</v>
      </c>
      <c r="M498" s="556" t="str">
        <f>M497</f>
        <v>Therms</v>
      </c>
      <c r="N498" s="615" t="e">
        <f t="shared" si="138"/>
        <v>#N/A</v>
      </c>
      <c r="O498" s="615" t="e">
        <f t="shared" si="139"/>
        <v>#N/A</v>
      </c>
      <c r="P498" s="615" t="e">
        <f t="shared" si="140"/>
        <v>#N/A</v>
      </c>
      <c r="Q498" s="615" t="e">
        <f t="shared" si="141"/>
        <v>#N/A</v>
      </c>
      <c r="R498" s="615" t="e">
        <f t="shared" si="142"/>
        <v>#N/A</v>
      </c>
      <c r="S498" s="615" t="e">
        <f t="shared" si="143"/>
        <v>#N/A</v>
      </c>
      <c r="T498" s="753"/>
      <c r="U498" s="616" t="e">
        <f>U497+U475</f>
        <v>#N/A</v>
      </c>
      <c r="V498" s="616" t="e">
        <f t="shared" ref="V498:CG498" si="176">V497+V475</f>
        <v>#N/A</v>
      </c>
      <c r="W498" s="616" t="e">
        <f t="shared" si="176"/>
        <v>#N/A</v>
      </c>
      <c r="X498" s="616" t="e">
        <f t="shared" si="176"/>
        <v>#N/A</v>
      </c>
      <c r="Y498" s="616" t="e">
        <f t="shared" si="176"/>
        <v>#N/A</v>
      </c>
      <c r="Z498" s="616" t="e">
        <f t="shared" si="176"/>
        <v>#N/A</v>
      </c>
      <c r="AA498" s="616" t="e">
        <f t="shared" si="176"/>
        <v>#N/A</v>
      </c>
      <c r="AB498" s="616" t="e">
        <f t="shared" si="176"/>
        <v>#N/A</v>
      </c>
      <c r="AC498" s="616" t="e">
        <f t="shared" si="176"/>
        <v>#N/A</v>
      </c>
      <c r="AD498" s="616" t="e">
        <f t="shared" si="176"/>
        <v>#N/A</v>
      </c>
      <c r="AE498" s="616" t="e">
        <f t="shared" si="176"/>
        <v>#N/A</v>
      </c>
      <c r="AF498" s="616" t="e">
        <f t="shared" si="176"/>
        <v>#N/A</v>
      </c>
      <c r="AG498" s="616" t="e">
        <f t="shared" si="176"/>
        <v>#N/A</v>
      </c>
      <c r="AH498" s="616" t="e">
        <f t="shared" si="176"/>
        <v>#N/A</v>
      </c>
      <c r="AI498" s="616" t="e">
        <f t="shared" si="176"/>
        <v>#N/A</v>
      </c>
      <c r="AJ498" s="616" t="e">
        <f t="shared" si="176"/>
        <v>#N/A</v>
      </c>
      <c r="AK498" s="616" t="e">
        <f t="shared" si="176"/>
        <v>#N/A</v>
      </c>
      <c r="AL498" s="616" t="e">
        <f t="shared" si="176"/>
        <v>#N/A</v>
      </c>
      <c r="AM498" s="616" t="e">
        <f t="shared" si="176"/>
        <v>#N/A</v>
      </c>
      <c r="AN498" s="616" t="e">
        <f t="shared" si="176"/>
        <v>#N/A</v>
      </c>
      <c r="AO498" s="616" t="e">
        <f t="shared" si="176"/>
        <v>#N/A</v>
      </c>
      <c r="AP498" s="616" t="e">
        <f t="shared" si="176"/>
        <v>#N/A</v>
      </c>
      <c r="AQ498" s="616" t="e">
        <f t="shared" si="176"/>
        <v>#N/A</v>
      </c>
      <c r="AR498" s="616" t="e">
        <f t="shared" si="176"/>
        <v>#N/A</v>
      </c>
      <c r="AS498" s="616" t="e">
        <f t="shared" si="176"/>
        <v>#N/A</v>
      </c>
      <c r="AT498" s="616" t="e">
        <f t="shared" si="176"/>
        <v>#N/A</v>
      </c>
      <c r="AU498" s="616" t="e">
        <f t="shared" si="176"/>
        <v>#N/A</v>
      </c>
      <c r="AV498" s="616" t="e">
        <f t="shared" si="176"/>
        <v>#N/A</v>
      </c>
      <c r="AW498" s="616" t="e">
        <f t="shared" si="176"/>
        <v>#N/A</v>
      </c>
      <c r="AX498" s="616" t="e">
        <f t="shared" si="176"/>
        <v>#N/A</v>
      </c>
      <c r="AY498" s="616" t="e">
        <f t="shared" si="176"/>
        <v>#N/A</v>
      </c>
      <c r="AZ498" s="616" t="e">
        <f t="shared" si="176"/>
        <v>#N/A</v>
      </c>
      <c r="BA498" s="616" t="e">
        <f t="shared" si="176"/>
        <v>#N/A</v>
      </c>
      <c r="BB498" s="616" t="e">
        <f t="shared" si="176"/>
        <v>#N/A</v>
      </c>
      <c r="BC498" s="616" t="e">
        <f t="shared" si="176"/>
        <v>#N/A</v>
      </c>
      <c r="BD498" s="616" t="e">
        <f t="shared" si="176"/>
        <v>#N/A</v>
      </c>
      <c r="BE498" s="616" t="e">
        <f t="shared" si="176"/>
        <v>#N/A</v>
      </c>
      <c r="BF498" s="616" t="e">
        <f t="shared" si="176"/>
        <v>#N/A</v>
      </c>
      <c r="BG498" s="616" t="e">
        <f t="shared" si="176"/>
        <v>#N/A</v>
      </c>
      <c r="BH498" s="616" t="e">
        <f t="shared" si="176"/>
        <v>#N/A</v>
      </c>
      <c r="BI498" s="616" t="e">
        <f t="shared" si="176"/>
        <v>#N/A</v>
      </c>
      <c r="BJ498" s="616" t="e">
        <f t="shared" si="176"/>
        <v>#N/A</v>
      </c>
      <c r="BK498" s="616" t="e">
        <f t="shared" si="176"/>
        <v>#N/A</v>
      </c>
      <c r="BL498" s="616" t="e">
        <f t="shared" si="176"/>
        <v>#N/A</v>
      </c>
      <c r="BM498" s="616" t="e">
        <f t="shared" si="176"/>
        <v>#N/A</v>
      </c>
      <c r="BN498" s="616" t="e">
        <f t="shared" si="176"/>
        <v>#N/A</v>
      </c>
      <c r="BO498" s="616" t="e">
        <f t="shared" si="176"/>
        <v>#N/A</v>
      </c>
      <c r="BP498" s="616" t="e">
        <f t="shared" si="176"/>
        <v>#N/A</v>
      </c>
      <c r="BQ498" s="616" t="e">
        <f t="shared" si="176"/>
        <v>#N/A</v>
      </c>
      <c r="BR498" s="616" t="e">
        <f t="shared" si="176"/>
        <v>#N/A</v>
      </c>
      <c r="BS498" s="616" t="e">
        <f t="shared" si="176"/>
        <v>#N/A</v>
      </c>
      <c r="BT498" s="616" t="e">
        <f t="shared" si="176"/>
        <v>#N/A</v>
      </c>
      <c r="BU498" s="616" t="e">
        <f t="shared" si="176"/>
        <v>#N/A</v>
      </c>
      <c r="BV498" s="616" t="e">
        <f t="shared" si="176"/>
        <v>#N/A</v>
      </c>
      <c r="BW498" s="616" t="e">
        <f t="shared" si="176"/>
        <v>#N/A</v>
      </c>
      <c r="BX498" s="616" t="e">
        <f t="shared" si="176"/>
        <v>#N/A</v>
      </c>
      <c r="BY498" s="616" t="e">
        <f t="shared" si="176"/>
        <v>#N/A</v>
      </c>
      <c r="BZ498" s="616" t="e">
        <f t="shared" si="176"/>
        <v>#N/A</v>
      </c>
      <c r="CA498" s="616" t="e">
        <f t="shared" si="176"/>
        <v>#N/A</v>
      </c>
      <c r="CB498" s="616" t="e">
        <f t="shared" si="176"/>
        <v>#N/A</v>
      </c>
      <c r="CC498" s="616" t="e">
        <f t="shared" si="176"/>
        <v>#N/A</v>
      </c>
      <c r="CD498" s="616" t="e">
        <f t="shared" si="176"/>
        <v>#N/A</v>
      </c>
      <c r="CE498" s="616" t="e">
        <f t="shared" si="176"/>
        <v>#N/A</v>
      </c>
      <c r="CF498" s="616" t="e">
        <f t="shared" si="176"/>
        <v>#N/A</v>
      </c>
      <c r="CG498" s="616" t="e">
        <f t="shared" si="176"/>
        <v>#N/A</v>
      </c>
      <c r="CH498" s="616" t="e">
        <f t="shared" ref="CH498:CN498" si="177">CH497+CH475</f>
        <v>#N/A</v>
      </c>
      <c r="CI498" s="616" t="e">
        <f t="shared" si="177"/>
        <v>#N/A</v>
      </c>
      <c r="CJ498" s="616" t="e">
        <f t="shared" si="177"/>
        <v>#N/A</v>
      </c>
      <c r="CK498" s="616" t="e">
        <f t="shared" si="177"/>
        <v>#N/A</v>
      </c>
      <c r="CL498" s="616" t="e">
        <f t="shared" si="177"/>
        <v>#N/A</v>
      </c>
      <c r="CM498" s="616" t="e">
        <f t="shared" si="177"/>
        <v>#N/A</v>
      </c>
      <c r="CN498" s="616" t="e">
        <f t="shared" si="177"/>
        <v>#N/A</v>
      </c>
    </row>
    <row r="499" spans="8:92">
      <c r="H499" s="602" t="s">
        <v>940</v>
      </c>
      <c r="N499" s="615"/>
      <c r="O499" s="615"/>
      <c r="P499" s="615"/>
      <c r="Q499" s="615"/>
      <c r="R499" s="615"/>
      <c r="S499" s="615"/>
      <c r="T499" s="753"/>
      <c r="AF499" s="753"/>
      <c r="AR499" s="753"/>
      <c r="BD499" s="753"/>
      <c r="BP499" s="753"/>
      <c r="CB499" s="753"/>
    </row>
    <row r="500" spans="8:92">
      <c r="H500" s="602" t="s">
        <v>940</v>
      </c>
      <c r="L500" s="609" t="s">
        <v>1242</v>
      </c>
      <c r="N500" s="615"/>
      <c r="O500" s="615"/>
      <c r="P500" s="615"/>
      <c r="Q500" s="615"/>
      <c r="R500" s="615"/>
      <c r="S500" s="615"/>
      <c r="T500" s="753"/>
      <c r="AF500" s="753"/>
      <c r="AR500" s="753"/>
      <c r="BD500" s="753"/>
      <c r="BP500" s="753"/>
      <c r="CB500" s="753"/>
    </row>
    <row r="501" spans="8:92">
      <c r="H501" s="602" t="s">
        <v>940</v>
      </c>
      <c r="L501" s="556" t="s">
        <v>254</v>
      </c>
      <c r="M501" s="556" t="s">
        <v>922</v>
      </c>
      <c r="N501" s="615">
        <f t="shared" si="138"/>
        <v>154.49766948174809</v>
      </c>
      <c r="O501" s="615">
        <f t="shared" si="139"/>
        <v>181.76196409617424</v>
      </c>
      <c r="P501" s="615">
        <f t="shared" si="140"/>
        <v>263.02552032858</v>
      </c>
      <c r="Q501" s="615">
        <f t="shared" si="141"/>
        <v>344.28907656098568</v>
      </c>
      <c r="R501" s="615">
        <f t="shared" si="142"/>
        <v>425.5526327933913</v>
      </c>
      <c r="S501" s="615">
        <f t="shared" si="143"/>
        <v>506.81618902579709</v>
      </c>
      <c r="T501" s="753"/>
      <c r="U501" s="616">
        <f>$N$353</f>
        <v>12.874805790145677</v>
      </c>
      <c r="V501" s="616">
        <f t="shared" ref="V501:AF501" si="178">$N$353</f>
        <v>12.874805790145677</v>
      </c>
      <c r="W501" s="616">
        <f t="shared" si="178"/>
        <v>12.874805790145677</v>
      </c>
      <c r="X501" s="616">
        <f t="shared" si="178"/>
        <v>12.874805790145677</v>
      </c>
      <c r="Y501" s="616">
        <f t="shared" si="178"/>
        <v>12.874805790145677</v>
      </c>
      <c r="Z501" s="616">
        <f t="shared" si="178"/>
        <v>12.874805790145677</v>
      </c>
      <c r="AA501" s="616">
        <f t="shared" si="178"/>
        <v>12.874805790145677</v>
      </c>
      <c r="AB501" s="616">
        <f t="shared" si="178"/>
        <v>12.874805790145677</v>
      </c>
      <c r="AC501" s="616">
        <f t="shared" si="178"/>
        <v>12.874805790145677</v>
      </c>
      <c r="AD501" s="616">
        <f t="shared" si="178"/>
        <v>12.874805790145677</v>
      </c>
      <c r="AE501" s="616">
        <f t="shared" si="178"/>
        <v>12.874805790145677</v>
      </c>
      <c r="AF501" s="616">
        <f t="shared" si="178"/>
        <v>12.874805790145677</v>
      </c>
      <c r="AG501" s="616">
        <f>$O$353</f>
        <v>15.146830341347853</v>
      </c>
      <c r="AH501" s="616">
        <f t="shared" ref="AH501:AR501" si="179">$O$353</f>
        <v>15.146830341347853</v>
      </c>
      <c r="AI501" s="616">
        <f t="shared" si="179"/>
        <v>15.146830341347853</v>
      </c>
      <c r="AJ501" s="616">
        <f t="shared" si="179"/>
        <v>15.146830341347853</v>
      </c>
      <c r="AK501" s="616">
        <f t="shared" si="179"/>
        <v>15.146830341347853</v>
      </c>
      <c r="AL501" s="616">
        <f t="shared" si="179"/>
        <v>15.146830341347853</v>
      </c>
      <c r="AM501" s="616">
        <f t="shared" si="179"/>
        <v>15.146830341347853</v>
      </c>
      <c r="AN501" s="616">
        <f t="shared" si="179"/>
        <v>15.146830341347853</v>
      </c>
      <c r="AO501" s="616">
        <f t="shared" si="179"/>
        <v>15.146830341347853</v>
      </c>
      <c r="AP501" s="616">
        <f t="shared" si="179"/>
        <v>15.146830341347853</v>
      </c>
      <c r="AQ501" s="616">
        <f t="shared" si="179"/>
        <v>15.146830341347853</v>
      </c>
      <c r="AR501" s="616">
        <f t="shared" si="179"/>
        <v>15.146830341347853</v>
      </c>
      <c r="AS501" s="616">
        <f>$P$353</f>
        <v>21.918793360715</v>
      </c>
      <c r="AT501" s="616">
        <f t="shared" ref="AT501:BD501" si="180">$P$353</f>
        <v>21.918793360715</v>
      </c>
      <c r="AU501" s="616">
        <f t="shared" si="180"/>
        <v>21.918793360715</v>
      </c>
      <c r="AV501" s="616">
        <f t="shared" si="180"/>
        <v>21.918793360715</v>
      </c>
      <c r="AW501" s="616">
        <f t="shared" si="180"/>
        <v>21.918793360715</v>
      </c>
      <c r="AX501" s="616">
        <f t="shared" si="180"/>
        <v>21.918793360715</v>
      </c>
      <c r="AY501" s="616">
        <f t="shared" si="180"/>
        <v>21.918793360715</v>
      </c>
      <c r="AZ501" s="616">
        <f t="shared" si="180"/>
        <v>21.918793360715</v>
      </c>
      <c r="BA501" s="616">
        <f t="shared" si="180"/>
        <v>21.918793360715</v>
      </c>
      <c r="BB501" s="616">
        <f t="shared" si="180"/>
        <v>21.918793360715</v>
      </c>
      <c r="BC501" s="616">
        <f t="shared" si="180"/>
        <v>21.918793360715</v>
      </c>
      <c r="BD501" s="616">
        <f t="shared" si="180"/>
        <v>21.918793360715</v>
      </c>
      <c r="BE501" s="616">
        <f>$Q$353</f>
        <v>28.690756380082146</v>
      </c>
      <c r="BF501" s="616">
        <f t="shared" ref="BF501:BP501" si="181">$Q$353</f>
        <v>28.690756380082146</v>
      </c>
      <c r="BG501" s="616">
        <f t="shared" si="181"/>
        <v>28.690756380082146</v>
      </c>
      <c r="BH501" s="616">
        <f t="shared" si="181"/>
        <v>28.690756380082146</v>
      </c>
      <c r="BI501" s="616">
        <f t="shared" si="181"/>
        <v>28.690756380082146</v>
      </c>
      <c r="BJ501" s="616">
        <f t="shared" si="181"/>
        <v>28.690756380082146</v>
      </c>
      <c r="BK501" s="616">
        <f t="shared" si="181"/>
        <v>28.690756380082146</v>
      </c>
      <c r="BL501" s="616">
        <f t="shared" si="181"/>
        <v>28.690756380082146</v>
      </c>
      <c r="BM501" s="616">
        <f t="shared" si="181"/>
        <v>28.690756380082146</v>
      </c>
      <c r="BN501" s="616">
        <f t="shared" si="181"/>
        <v>28.690756380082146</v>
      </c>
      <c r="BO501" s="616">
        <f t="shared" si="181"/>
        <v>28.690756380082146</v>
      </c>
      <c r="BP501" s="616">
        <f t="shared" si="181"/>
        <v>28.690756380082146</v>
      </c>
      <c r="BQ501" s="616">
        <f>$R$353</f>
        <v>35.462719399449284</v>
      </c>
      <c r="BR501" s="616">
        <f t="shared" ref="BR501:CB501" si="182">$R$353</f>
        <v>35.462719399449284</v>
      </c>
      <c r="BS501" s="616">
        <f t="shared" si="182"/>
        <v>35.462719399449284</v>
      </c>
      <c r="BT501" s="616">
        <f t="shared" si="182"/>
        <v>35.462719399449284</v>
      </c>
      <c r="BU501" s="616">
        <f t="shared" si="182"/>
        <v>35.462719399449284</v>
      </c>
      <c r="BV501" s="616">
        <f t="shared" si="182"/>
        <v>35.462719399449284</v>
      </c>
      <c r="BW501" s="616">
        <f t="shared" si="182"/>
        <v>35.462719399449284</v>
      </c>
      <c r="BX501" s="616">
        <f t="shared" si="182"/>
        <v>35.462719399449284</v>
      </c>
      <c r="BY501" s="616">
        <f t="shared" si="182"/>
        <v>35.462719399449284</v>
      </c>
      <c r="BZ501" s="616">
        <f t="shared" si="182"/>
        <v>35.462719399449284</v>
      </c>
      <c r="CA501" s="616">
        <f t="shared" si="182"/>
        <v>35.462719399449284</v>
      </c>
      <c r="CB501" s="616">
        <f t="shared" si="182"/>
        <v>35.462719399449284</v>
      </c>
      <c r="CC501" s="616">
        <f>$S$353</f>
        <v>42.234682418816433</v>
      </c>
      <c r="CD501" s="616">
        <f t="shared" ref="CD501:CN501" si="183">$S$353</f>
        <v>42.234682418816433</v>
      </c>
      <c r="CE501" s="616">
        <f t="shared" si="183"/>
        <v>42.234682418816433</v>
      </c>
      <c r="CF501" s="616">
        <f t="shared" si="183"/>
        <v>42.234682418816433</v>
      </c>
      <c r="CG501" s="616">
        <f t="shared" si="183"/>
        <v>42.234682418816433</v>
      </c>
      <c r="CH501" s="616">
        <f t="shared" si="183"/>
        <v>42.234682418816433</v>
      </c>
      <c r="CI501" s="616">
        <f t="shared" si="183"/>
        <v>42.234682418816433</v>
      </c>
      <c r="CJ501" s="616">
        <f t="shared" si="183"/>
        <v>42.234682418816433</v>
      </c>
      <c r="CK501" s="616">
        <f t="shared" si="183"/>
        <v>42.234682418816433</v>
      </c>
      <c r="CL501" s="616">
        <f t="shared" si="183"/>
        <v>42.234682418816433</v>
      </c>
      <c r="CM501" s="616">
        <f t="shared" si="183"/>
        <v>42.234682418816433</v>
      </c>
      <c r="CN501" s="616">
        <f t="shared" si="183"/>
        <v>42.234682418816433</v>
      </c>
    </row>
    <row r="502" spans="8:92">
      <c r="H502" s="602" t="s">
        <v>940</v>
      </c>
      <c r="L502" s="556" t="s">
        <v>1214</v>
      </c>
      <c r="M502" s="556" t="s">
        <v>922</v>
      </c>
      <c r="N502" s="615" t="e">
        <f t="shared" si="138"/>
        <v>#N/A</v>
      </c>
      <c r="O502" s="615" t="e">
        <f t="shared" si="139"/>
        <v>#N/A</v>
      </c>
      <c r="P502" s="615" t="e">
        <f t="shared" si="140"/>
        <v>#N/A</v>
      </c>
      <c r="Q502" s="615" t="e">
        <f t="shared" si="141"/>
        <v>#N/A</v>
      </c>
      <c r="R502" s="615" t="e">
        <f t="shared" si="142"/>
        <v>#N/A</v>
      </c>
      <c r="S502" s="615" t="e">
        <f t="shared" si="143"/>
        <v>#N/A</v>
      </c>
      <c r="T502" s="753"/>
      <c r="U502" s="616" t="e">
        <f>$N$354</f>
        <v>#N/A</v>
      </c>
      <c r="V502" s="616" t="e">
        <f t="shared" ref="V502:AF502" si="184">$N$354</f>
        <v>#N/A</v>
      </c>
      <c r="W502" s="616" t="e">
        <f t="shared" si="184"/>
        <v>#N/A</v>
      </c>
      <c r="X502" s="616" t="e">
        <f t="shared" si="184"/>
        <v>#N/A</v>
      </c>
      <c r="Y502" s="616" t="e">
        <f t="shared" si="184"/>
        <v>#N/A</v>
      </c>
      <c r="Z502" s="616" t="e">
        <f t="shared" si="184"/>
        <v>#N/A</v>
      </c>
      <c r="AA502" s="616" t="e">
        <f t="shared" si="184"/>
        <v>#N/A</v>
      </c>
      <c r="AB502" s="616" t="e">
        <f t="shared" si="184"/>
        <v>#N/A</v>
      </c>
      <c r="AC502" s="616" t="e">
        <f t="shared" si="184"/>
        <v>#N/A</v>
      </c>
      <c r="AD502" s="616" t="e">
        <f t="shared" si="184"/>
        <v>#N/A</v>
      </c>
      <c r="AE502" s="616" t="e">
        <f t="shared" si="184"/>
        <v>#N/A</v>
      </c>
      <c r="AF502" s="616" t="e">
        <f t="shared" si="184"/>
        <v>#N/A</v>
      </c>
      <c r="AG502" s="616" t="e">
        <f>$O$354</f>
        <v>#N/A</v>
      </c>
      <c r="AH502" s="616" t="e">
        <f t="shared" ref="AH502:AR502" si="185">$O$354</f>
        <v>#N/A</v>
      </c>
      <c r="AI502" s="616" t="e">
        <f t="shared" si="185"/>
        <v>#N/A</v>
      </c>
      <c r="AJ502" s="616" t="e">
        <f t="shared" si="185"/>
        <v>#N/A</v>
      </c>
      <c r="AK502" s="616" t="e">
        <f t="shared" si="185"/>
        <v>#N/A</v>
      </c>
      <c r="AL502" s="616" t="e">
        <f t="shared" si="185"/>
        <v>#N/A</v>
      </c>
      <c r="AM502" s="616" t="e">
        <f t="shared" si="185"/>
        <v>#N/A</v>
      </c>
      <c r="AN502" s="616" t="e">
        <f t="shared" si="185"/>
        <v>#N/A</v>
      </c>
      <c r="AO502" s="616" t="e">
        <f t="shared" si="185"/>
        <v>#N/A</v>
      </c>
      <c r="AP502" s="616" t="e">
        <f t="shared" si="185"/>
        <v>#N/A</v>
      </c>
      <c r="AQ502" s="616" t="e">
        <f t="shared" si="185"/>
        <v>#N/A</v>
      </c>
      <c r="AR502" s="616" t="e">
        <f t="shared" si="185"/>
        <v>#N/A</v>
      </c>
      <c r="AS502" s="616" t="e">
        <f>$P$354</f>
        <v>#N/A</v>
      </c>
      <c r="AT502" s="616" t="e">
        <f t="shared" ref="AT502:BD502" si="186">$P$354</f>
        <v>#N/A</v>
      </c>
      <c r="AU502" s="616" t="e">
        <f t="shared" si="186"/>
        <v>#N/A</v>
      </c>
      <c r="AV502" s="616" t="e">
        <f t="shared" si="186"/>
        <v>#N/A</v>
      </c>
      <c r="AW502" s="616" t="e">
        <f t="shared" si="186"/>
        <v>#N/A</v>
      </c>
      <c r="AX502" s="616" t="e">
        <f t="shared" si="186"/>
        <v>#N/A</v>
      </c>
      <c r="AY502" s="616" t="e">
        <f t="shared" si="186"/>
        <v>#N/A</v>
      </c>
      <c r="AZ502" s="616" t="e">
        <f t="shared" si="186"/>
        <v>#N/A</v>
      </c>
      <c r="BA502" s="616" t="e">
        <f t="shared" si="186"/>
        <v>#N/A</v>
      </c>
      <c r="BB502" s="616" t="e">
        <f t="shared" si="186"/>
        <v>#N/A</v>
      </c>
      <c r="BC502" s="616" t="e">
        <f t="shared" si="186"/>
        <v>#N/A</v>
      </c>
      <c r="BD502" s="616" t="e">
        <f t="shared" si="186"/>
        <v>#N/A</v>
      </c>
      <c r="BE502" s="616" t="e">
        <f>$Q$354</f>
        <v>#N/A</v>
      </c>
      <c r="BF502" s="616" t="e">
        <f t="shared" ref="BF502:BP502" si="187">$Q$354</f>
        <v>#N/A</v>
      </c>
      <c r="BG502" s="616" t="e">
        <f t="shared" si="187"/>
        <v>#N/A</v>
      </c>
      <c r="BH502" s="616" t="e">
        <f t="shared" si="187"/>
        <v>#N/A</v>
      </c>
      <c r="BI502" s="616" t="e">
        <f t="shared" si="187"/>
        <v>#N/A</v>
      </c>
      <c r="BJ502" s="616" t="e">
        <f t="shared" si="187"/>
        <v>#N/A</v>
      </c>
      <c r="BK502" s="616" t="e">
        <f t="shared" si="187"/>
        <v>#N/A</v>
      </c>
      <c r="BL502" s="616" t="e">
        <f t="shared" si="187"/>
        <v>#N/A</v>
      </c>
      <c r="BM502" s="616" t="e">
        <f t="shared" si="187"/>
        <v>#N/A</v>
      </c>
      <c r="BN502" s="616" t="e">
        <f t="shared" si="187"/>
        <v>#N/A</v>
      </c>
      <c r="BO502" s="616" t="e">
        <f t="shared" si="187"/>
        <v>#N/A</v>
      </c>
      <c r="BP502" s="616" t="e">
        <f t="shared" si="187"/>
        <v>#N/A</v>
      </c>
      <c r="BQ502" s="616" t="e">
        <f>$R$354</f>
        <v>#N/A</v>
      </c>
      <c r="BR502" s="616" t="e">
        <f t="shared" ref="BR502:CB502" si="188">$R$354</f>
        <v>#N/A</v>
      </c>
      <c r="BS502" s="616" t="e">
        <f t="shared" si="188"/>
        <v>#N/A</v>
      </c>
      <c r="BT502" s="616" t="e">
        <f t="shared" si="188"/>
        <v>#N/A</v>
      </c>
      <c r="BU502" s="616" t="e">
        <f t="shared" si="188"/>
        <v>#N/A</v>
      </c>
      <c r="BV502" s="616" t="e">
        <f t="shared" si="188"/>
        <v>#N/A</v>
      </c>
      <c r="BW502" s="616" t="e">
        <f t="shared" si="188"/>
        <v>#N/A</v>
      </c>
      <c r="BX502" s="616" t="e">
        <f t="shared" si="188"/>
        <v>#N/A</v>
      </c>
      <c r="BY502" s="616" t="e">
        <f t="shared" si="188"/>
        <v>#N/A</v>
      </c>
      <c r="BZ502" s="616" t="e">
        <f t="shared" si="188"/>
        <v>#N/A</v>
      </c>
      <c r="CA502" s="616" t="e">
        <f t="shared" si="188"/>
        <v>#N/A</v>
      </c>
      <c r="CB502" s="616" t="e">
        <f t="shared" si="188"/>
        <v>#N/A</v>
      </c>
      <c r="CC502" s="616" t="e">
        <f>$S$354</f>
        <v>#N/A</v>
      </c>
      <c r="CD502" s="616" t="e">
        <f t="shared" ref="CD502:CN502" si="189">$S$354</f>
        <v>#N/A</v>
      </c>
      <c r="CE502" s="616" t="e">
        <f t="shared" si="189"/>
        <v>#N/A</v>
      </c>
      <c r="CF502" s="616" t="e">
        <f t="shared" si="189"/>
        <v>#N/A</v>
      </c>
      <c r="CG502" s="616" t="e">
        <f t="shared" si="189"/>
        <v>#N/A</v>
      </c>
      <c r="CH502" s="616" t="e">
        <f t="shared" si="189"/>
        <v>#N/A</v>
      </c>
      <c r="CI502" s="616" t="e">
        <f t="shared" si="189"/>
        <v>#N/A</v>
      </c>
      <c r="CJ502" s="616" t="e">
        <f t="shared" si="189"/>
        <v>#N/A</v>
      </c>
      <c r="CK502" s="616" t="e">
        <f t="shared" si="189"/>
        <v>#N/A</v>
      </c>
      <c r="CL502" s="616" t="e">
        <f t="shared" si="189"/>
        <v>#N/A</v>
      </c>
      <c r="CM502" s="616" t="e">
        <f t="shared" si="189"/>
        <v>#N/A</v>
      </c>
      <c r="CN502" s="616" t="e">
        <f t="shared" si="189"/>
        <v>#N/A</v>
      </c>
    </row>
    <row r="503" spans="8:92">
      <c r="H503" s="602" t="s">
        <v>940</v>
      </c>
      <c r="L503" s="556" t="s">
        <v>1215</v>
      </c>
      <c r="M503" s="556" t="s">
        <v>922</v>
      </c>
      <c r="N503" s="615" t="e">
        <f t="shared" si="138"/>
        <v>#N/A</v>
      </c>
      <c r="O503" s="615" t="e">
        <f t="shared" si="139"/>
        <v>#N/A</v>
      </c>
      <c r="P503" s="615" t="e">
        <f t="shared" si="140"/>
        <v>#N/A</v>
      </c>
      <c r="Q503" s="615" t="e">
        <f t="shared" si="141"/>
        <v>#N/A</v>
      </c>
      <c r="R503" s="615" t="e">
        <f t="shared" si="142"/>
        <v>#N/A</v>
      </c>
      <c r="S503" s="615" t="e">
        <f t="shared" si="143"/>
        <v>#N/A</v>
      </c>
      <c r="T503" s="753"/>
      <c r="U503" s="616" t="e">
        <f>U502+U478</f>
        <v>#N/A</v>
      </c>
      <c r="V503" s="616" t="e">
        <f t="shared" ref="V503:CG503" si="190">V502+V478</f>
        <v>#N/A</v>
      </c>
      <c r="W503" s="616" t="e">
        <f t="shared" si="190"/>
        <v>#N/A</v>
      </c>
      <c r="X503" s="616" t="e">
        <f t="shared" si="190"/>
        <v>#N/A</v>
      </c>
      <c r="Y503" s="616" t="e">
        <f t="shared" si="190"/>
        <v>#N/A</v>
      </c>
      <c r="Z503" s="616" t="e">
        <f t="shared" si="190"/>
        <v>#N/A</v>
      </c>
      <c r="AA503" s="616" t="e">
        <f t="shared" si="190"/>
        <v>#N/A</v>
      </c>
      <c r="AB503" s="616" t="e">
        <f t="shared" si="190"/>
        <v>#N/A</v>
      </c>
      <c r="AC503" s="616" t="e">
        <f t="shared" si="190"/>
        <v>#N/A</v>
      </c>
      <c r="AD503" s="616" t="e">
        <f t="shared" si="190"/>
        <v>#N/A</v>
      </c>
      <c r="AE503" s="616" t="e">
        <f t="shared" si="190"/>
        <v>#N/A</v>
      </c>
      <c r="AF503" s="616" t="e">
        <f t="shared" si="190"/>
        <v>#N/A</v>
      </c>
      <c r="AG503" s="616" t="e">
        <f t="shared" si="190"/>
        <v>#N/A</v>
      </c>
      <c r="AH503" s="616" t="e">
        <f t="shared" si="190"/>
        <v>#N/A</v>
      </c>
      <c r="AI503" s="616" t="e">
        <f t="shared" si="190"/>
        <v>#N/A</v>
      </c>
      <c r="AJ503" s="616" t="e">
        <f t="shared" si="190"/>
        <v>#N/A</v>
      </c>
      <c r="AK503" s="616" t="e">
        <f t="shared" si="190"/>
        <v>#N/A</v>
      </c>
      <c r="AL503" s="616" t="e">
        <f t="shared" si="190"/>
        <v>#N/A</v>
      </c>
      <c r="AM503" s="616" t="e">
        <f t="shared" si="190"/>
        <v>#N/A</v>
      </c>
      <c r="AN503" s="616" t="e">
        <f t="shared" si="190"/>
        <v>#N/A</v>
      </c>
      <c r="AO503" s="616" t="e">
        <f t="shared" si="190"/>
        <v>#N/A</v>
      </c>
      <c r="AP503" s="616" t="e">
        <f t="shared" si="190"/>
        <v>#N/A</v>
      </c>
      <c r="AQ503" s="616" t="e">
        <f t="shared" si="190"/>
        <v>#N/A</v>
      </c>
      <c r="AR503" s="616" t="e">
        <f t="shared" si="190"/>
        <v>#N/A</v>
      </c>
      <c r="AS503" s="616" t="e">
        <f t="shared" si="190"/>
        <v>#N/A</v>
      </c>
      <c r="AT503" s="616" t="e">
        <f t="shared" si="190"/>
        <v>#N/A</v>
      </c>
      <c r="AU503" s="616" t="e">
        <f t="shared" si="190"/>
        <v>#N/A</v>
      </c>
      <c r="AV503" s="616" t="e">
        <f t="shared" si="190"/>
        <v>#N/A</v>
      </c>
      <c r="AW503" s="616" t="e">
        <f t="shared" si="190"/>
        <v>#N/A</v>
      </c>
      <c r="AX503" s="616" t="e">
        <f t="shared" si="190"/>
        <v>#N/A</v>
      </c>
      <c r="AY503" s="616" t="e">
        <f t="shared" si="190"/>
        <v>#N/A</v>
      </c>
      <c r="AZ503" s="616" t="e">
        <f t="shared" si="190"/>
        <v>#N/A</v>
      </c>
      <c r="BA503" s="616" t="e">
        <f t="shared" si="190"/>
        <v>#N/A</v>
      </c>
      <c r="BB503" s="616" t="e">
        <f t="shared" si="190"/>
        <v>#N/A</v>
      </c>
      <c r="BC503" s="616" t="e">
        <f t="shared" si="190"/>
        <v>#N/A</v>
      </c>
      <c r="BD503" s="616" t="e">
        <f t="shared" si="190"/>
        <v>#N/A</v>
      </c>
      <c r="BE503" s="616" t="e">
        <f t="shared" si="190"/>
        <v>#N/A</v>
      </c>
      <c r="BF503" s="616" t="e">
        <f t="shared" si="190"/>
        <v>#N/A</v>
      </c>
      <c r="BG503" s="616" t="e">
        <f t="shared" si="190"/>
        <v>#N/A</v>
      </c>
      <c r="BH503" s="616" t="e">
        <f t="shared" si="190"/>
        <v>#N/A</v>
      </c>
      <c r="BI503" s="616" t="e">
        <f t="shared" si="190"/>
        <v>#N/A</v>
      </c>
      <c r="BJ503" s="616" t="e">
        <f t="shared" si="190"/>
        <v>#N/A</v>
      </c>
      <c r="BK503" s="616" t="e">
        <f t="shared" si="190"/>
        <v>#N/A</v>
      </c>
      <c r="BL503" s="616" t="e">
        <f t="shared" si="190"/>
        <v>#N/A</v>
      </c>
      <c r="BM503" s="616" t="e">
        <f t="shared" si="190"/>
        <v>#N/A</v>
      </c>
      <c r="BN503" s="616" t="e">
        <f t="shared" si="190"/>
        <v>#N/A</v>
      </c>
      <c r="BO503" s="616" t="e">
        <f t="shared" si="190"/>
        <v>#N/A</v>
      </c>
      <c r="BP503" s="616" t="e">
        <f t="shared" si="190"/>
        <v>#N/A</v>
      </c>
      <c r="BQ503" s="616" t="e">
        <f t="shared" si="190"/>
        <v>#N/A</v>
      </c>
      <c r="BR503" s="616" t="e">
        <f t="shared" si="190"/>
        <v>#N/A</v>
      </c>
      <c r="BS503" s="616" t="e">
        <f t="shared" si="190"/>
        <v>#N/A</v>
      </c>
      <c r="BT503" s="616" t="e">
        <f t="shared" si="190"/>
        <v>#N/A</v>
      </c>
      <c r="BU503" s="616" t="e">
        <f t="shared" si="190"/>
        <v>#N/A</v>
      </c>
      <c r="BV503" s="616" t="e">
        <f t="shared" si="190"/>
        <v>#N/A</v>
      </c>
      <c r="BW503" s="616" t="e">
        <f t="shared" si="190"/>
        <v>#N/A</v>
      </c>
      <c r="BX503" s="616" t="e">
        <f t="shared" si="190"/>
        <v>#N/A</v>
      </c>
      <c r="BY503" s="616" t="e">
        <f t="shared" si="190"/>
        <v>#N/A</v>
      </c>
      <c r="BZ503" s="616" t="e">
        <f t="shared" si="190"/>
        <v>#N/A</v>
      </c>
      <c r="CA503" s="616" t="e">
        <f t="shared" si="190"/>
        <v>#N/A</v>
      </c>
      <c r="CB503" s="616" t="e">
        <f t="shared" si="190"/>
        <v>#N/A</v>
      </c>
      <c r="CC503" s="616" t="e">
        <f t="shared" si="190"/>
        <v>#N/A</v>
      </c>
      <c r="CD503" s="616" t="e">
        <f t="shared" si="190"/>
        <v>#N/A</v>
      </c>
      <c r="CE503" s="616" t="e">
        <f t="shared" si="190"/>
        <v>#N/A</v>
      </c>
      <c r="CF503" s="616" t="e">
        <f t="shared" si="190"/>
        <v>#N/A</v>
      </c>
      <c r="CG503" s="616" t="e">
        <f t="shared" si="190"/>
        <v>#N/A</v>
      </c>
      <c r="CH503" s="616" t="e">
        <f t="shared" ref="CH503:CN503" si="191">CH502+CH478</f>
        <v>#N/A</v>
      </c>
      <c r="CI503" s="616" t="e">
        <f t="shared" si="191"/>
        <v>#N/A</v>
      </c>
      <c r="CJ503" s="616" t="e">
        <f t="shared" si="191"/>
        <v>#N/A</v>
      </c>
      <c r="CK503" s="616" t="e">
        <f t="shared" si="191"/>
        <v>#N/A</v>
      </c>
      <c r="CL503" s="616" t="e">
        <f t="shared" si="191"/>
        <v>#N/A</v>
      </c>
      <c r="CM503" s="616" t="e">
        <f t="shared" si="191"/>
        <v>#N/A</v>
      </c>
      <c r="CN503" s="616" t="e">
        <f t="shared" si="191"/>
        <v>#N/A</v>
      </c>
    </row>
    <row r="504" spans="8:92">
      <c r="H504" s="602" t="s">
        <v>940</v>
      </c>
      <c r="N504" s="615"/>
      <c r="O504" s="615"/>
      <c r="P504" s="615"/>
      <c r="Q504" s="615"/>
      <c r="R504" s="615"/>
      <c r="S504" s="615"/>
      <c r="T504" s="753"/>
      <c r="AF504" s="753"/>
      <c r="AR504" s="753"/>
      <c r="BD504" s="753"/>
      <c r="BP504" s="753"/>
      <c r="CB504" s="753"/>
    </row>
    <row r="505" spans="8:92">
      <c r="H505" s="602" t="s">
        <v>940</v>
      </c>
      <c r="L505" s="609" t="s">
        <v>1216</v>
      </c>
      <c r="N505" s="615"/>
      <c r="O505" s="615"/>
      <c r="P505" s="615"/>
      <c r="Q505" s="615"/>
      <c r="R505" s="615"/>
      <c r="S505" s="615"/>
      <c r="T505" s="753"/>
      <c r="AF505" s="753"/>
      <c r="AR505" s="753"/>
      <c r="BD505" s="753"/>
      <c r="BP505" s="753"/>
      <c r="CB505" s="753"/>
    </row>
    <row r="506" spans="8:92">
      <c r="H506" s="602" t="s">
        <v>940</v>
      </c>
      <c r="L506" s="556" t="s">
        <v>1038</v>
      </c>
      <c r="M506" s="556" t="s">
        <v>1204</v>
      </c>
      <c r="N506" s="615" t="e">
        <f t="shared" si="138"/>
        <v>#N/A</v>
      </c>
      <c r="O506" s="615" t="e">
        <f t="shared" si="139"/>
        <v>#N/A</v>
      </c>
      <c r="P506" s="615" t="e">
        <f t="shared" si="140"/>
        <v>#N/A</v>
      </c>
      <c r="Q506" s="615" t="e">
        <f t="shared" si="141"/>
        <v>#N/A</v>
      </c>
      <c r="R506" s="615" t="e">
        <f t="shared" si="142"/>
        <v>#N/A</v>
      </c>
      <c r="S506" s="615" t="e">
        <f t="shared" si="143"/>
        <v>#N/A</v>
      </c>
      <c r="T506" s="753"/>
      <c r="U506" s="615" t="e">
        <f>$N$359</f>
        <v>#N/A</v>
      </c>
      <c r="V506" s="615" t="e">
        <f t="shared" ref="V506:AF506" si="192">$N$359</f>
        <v>#N/A</v>
      </c>
      <c r="W506" s="615" t="e">
        <f t="shared" si="192"/>
        <v>#N/A</v>
      </c>
      <c r="X506" s="615" t="e">
        <f t="shared" si="192"/>
        <v>#N/A</v>
      </c>
      <c r="Y506" s="615" t="e">
        <f t="shared" si="192"/>
        <v>#N/A</v>
      </c>
      <c r="Z506" s="615" t="e">
        <f t="shared" si="192"/>
        <v>#N/A</v>
      </c>
      <c r="AA506" s="615" t="e">
        <f t="shared" si="192"/>
        <v>#N/A</v>
      </c>
      <c r="AB506" s="615" t="e">
        <f t="shared" si="192"/>
        <v>#N/A</v>
      </c>
      <c r="AC506" s="615" t="e">
        <f t="shared" si="192"/>
        <v>#N/A</v>
      </c>
      <c r="AD506" s="615" t="e">
        <f t="shared" si="192"/>
        <v>#N/A</v>
      </c>
      <c r="AE506" s="615" t="e">
        <f t="shared" si="192"/>
        <v>#N/A</v>
      </c>
      <c r="AF506" s="615" t="e">
        <f t="shared" si="192"/>
        <v>#N/A</v>
      </c>
      <c r="AG506" s="615" t="e">
        <f>$O$359</f>
        <v>#N/A</v>
      </c>
      <c r="AH506" s="615" t="e">
        <f t="shared" ref="AH506:AR506" si="193">$O$359</f>
        <v>#N/A</v>
      </c>
      <c r="AI506" s="615" t="e">
        <f t="shared" si="193"/>
        <v>#N/A</v>
      </c>
      <c r="AJ506" s="615" t="e">
        <f t="shared" si="193"/>
        <v>#N/A</v>
      </c>
      <c r="AK506" s="615" t="e">
        <f t="shared" si="193"/>
        <v>#N/A</v>
      </c>
      <c r="AL506" s="615" t="e">
        <f t="shared" si="193"/>
        <v>#N/A</v>
      </c>
      <c r="AM506" s="615" t="e">
        <f t="shared" si="193"/>
        <v>#N/A</v>
      </c>
      <c r="AN506" s="615" t="e">
        <f t="shared" si="193"/>
        <v>#N/A</v>
      </c>
      <c r="AO506" s="615" t="e">
        <f t="shared" si="193"/>
        <v>#N/A</v>
      </c>
      <c r="AP506" s="615" t="e">
        <f t="shared" si="193"/>
        <v>#N/A</v>
      </c>
      <c r="AQ506" s="615" t="e">
        <f t="shared" si="193"/>
        <v>#N/A</v>
      </c>
      <c r="AR506" s="615" t="e">
        <f t="shared" si="193"/>
        <v>#N/A</v>
      </c>
      <c r="AS506" s="615" t="e">
        <f>$P$359</f>
        <v>#N/A</v>
      </c>
      <c r="AT506" s="615" t="e">
        <f t="shared" ref="AT506:BD506" si="194">$P$359</f>
        <v>#N/A</v>
      </c>
      <c r="AU506" s="615" t="e">
        <f t="shared" si="194"/>
        <v>#N/A</v>
      </c>
      <c r="AV506" s="615" t="e">
        <f t="shared" si="194"/>
        <v>#N/A</v>
      </c>
      <c r="AW506" s="615" t="e">
        <f t="shared" si="194"/>
        <v>#N/A</v>
      </c>
      <c r="AX506" s="615" t="e">
        <f t="shared" si="194"/>
        <v>#N/A</v>
      </c>
      <c r="AY506" s="615" t="e">
        <f t="shared" si="194"/>
        <v>#N/A</v>
      </c>
      <c r="AZ506" s="615" t="e">
        <f t="shared" si="194"/>
        <v>#N/A</v>
      </c>
      <c r="BA506" s="615" t="e">
        <f t="shared" si="194"/>
        <v>#N/A</v>
      </c>
      <c r="BB506" s="615" t="e">
        <f t="shared" si="194"/>
        <v>#N/A</v>
      </c>
      <c r="BC506" s="615" t="e">
        <f t="shared" si="194"/>
        <v>#N/A</v>
      </c>
      <c r="BD506" s="615" t="e">
        <f t="shared" si="194"/>
        <v>#N/A</v>
      </c>
      <c r="BE506" s="615" t="e">
        <f>$Q$359</f>
        <v>#N/A</v>
      </c>
      <c r="BF506" s="615" t="e">
        <f t="shared" ref="BF506:BP506" si="195">$Q$359</f>
        <v>#N/A</v>
      </c>
      <c r="BG506" s="615" t="e">
        <f t="shared" si="195"/>
        <v>#N/A</v>
      </c>
      <c r="BH506" s="615" t="e">
        <f t="shared" si="195"/>
        <v>#N/A</v>
      </c>
      <c r="BI506" s="615" t="e">
        <f t="shared" si="195"/>
        <v>#N/A</v>
      </c>
      <c r="BJ506" s="615" t="e">
        <f t="shared" si="195"/>
        <v>#N/A</v>
      </c>
      <c r="BK506" s="615" t="e">
        <f t="shared" si="195"/>
        <v>#N/A</v>
      </c>
      <c r="BL506" s="615" t="e">
        <f t="shared" si="195"/>
        <v>#N/A</v>
      </c>
      <c r="BM506" s="615" t="e">
        <f t="shared" si="195"/>
        <v>#N/A</v>
      </c>
      <c r="BN506" s="615" t="e">
        <f t="shared" si="195"/>
        <v>#N/A</v>
      </c>
      <c r="BO506" s="615" t="e">
        <f t="shared" si="195"/>
        <v>#N/A</v>
      </c>
      <c r="BP506" s="615" t="e">
        <f t="shared" si="195"/>
        <v>#N/A</v>
      </c>
      <c r="BQ506" s="615" t="e">
        <f>$R$359</f>
        <v>#N/A</v>
      </c>
      <c r="BR506" s="615" t="e">
        <f t="shared" ref="BR506:CB506" si="196">$R$359</f>
        <v>#N/A</v>
      </c>
      <c r="BS506" s="615" t="e">
        <f t="shared" si="196"/>
        <v>#N/A</v>
      </c>
      <c r="BT506" s="615" t="e">
        <f t="shared" si="196"/>
        <v>#N/A</v>
      </c>
      <c r="BU506" s="615" t="e">
        <f t="shared" si="196"/>
        <v>#N/A</v>
      </c>
      <c r="BV506" s="615" t="e">
        <f t="shared" si="196"/>
        <v>#N/A</v>
      </c>
      <c r="BW506" s="615" t="e">
        <f t="shared" si="196"/>
        <v>#N/A</v>
      </c>
      <c r="BX506" s="615" t="e">
        <f t="shared" si="196"/>
        <v>#N/A</v>
      </c>
      <c r="BY506" s="615" t="e">
        <f t="shared" si="196"/>
        <v>#N/A</v>
      </c>
      <c r="BZ506" s="615" t="e">
        <f t="shared" si="196"/>
        <v>#N/A</v>
      </c>
      <c r="CA506" s="615" t="e">
        <f t="shared" si="196"/>
        <v>#N/A</v>
      </c>
      <c r="CB506" s="615" t="e">
        <f t="shared" si="196"/>
        <v>#N/A</v>
      </c>
      <c r="CC506" s="615" t="e">
        <f>$S$359</f>
        <v>#N/A</v>
      </c>
      <c r="CD506" s="615" t="e">
        <f t="shared" ref="CD506:CN506" si="197">$S$359</f>
        <v>#N/A</v>
      </c>
      <c r="CE506" s="615" t="e">
        <f t="shared" si="197"/>
        <v>#N/A</v>
      </c>
      <c r="CF506" s="615" t="e">
        <f t="shared" si="197"/>
        <v>#N/A</v>
      </c>
      <c r="CG506" s="615" t="e">
        <f t="shared" si="197"/>
        <v>#N/A</v>
      </c>
      <c r="CH506" s="615" t="e">
        <f t="shared" si="197"/>
        <v>#N/A</v>
      </c>
      <c r="CI506" s="615" t="e">
        <f t="shared" si="197"/>
        <v>#N/A</v>
      </c>
      <c r="CJ506" s="615" t="e">
        <f t="shared" si="197"/>
        <v>#N/A</v>
      </c>
      <c r="CK506" s="615" t="e">
        <f t="shared" si="197"/>
        <v>#N/A</v>
      </c>
      <c r="CL506" s="615" t="e">
        <f t="shared" si="197"/>
        <v>#N/A</v>
      </c>
      <c r="CM506" s="615" t="e">
        <f t="shared" si="197"/>
        <v>#N/A</v>
      </c>
      <c r="CN506" s="615" t="e">
        <f t="shared" si="197"/>
        <v>#N/A</v>
      </c>
    </row>
    <row r="507" spans="8:92">
      <c r="H507" s="602" t="s">
        <v>940</v>
      </c>
      <c r="L507" s="556" t="s">
        <v>1217</v>
      </c>
      <c r="M507" s="556" t="s">
        <v>1204</v>
      </c>
      <c r="N507" s="615" t="e">
        <f t="shared" si="138"/>
        <v>#N/A</v>
      </c>
      <c r="O507" s="615" t="e">
        <f t="shared" si="139"/>
        <v>#N/A</v>
      </c>
      <c r="P507" s="615" t="e">
        <f t="shared" si="140"/>
        <v>#N/A</v>
      </c>
      <c r="Q507" s="615" t="e">
        <f t="shared" si="141"/>
        <v>#N/A</v>
      </c>
      <c r="R507" s="615" t="e">
        <f t="shared" si="142"/>
        <v>#N/A</v>
      </c>
      <c r="S507" s="615" t="e">
        <f t="shared" si="143"/>
        <v>#N/A</v>
      </c>
      <c r="T507" s="753"/>
      <c r="U507" s="615" t="e">
        <f>U506+U479</f>
        <v>#N/A</v>
      </c>
      <c r="V507" s="615" t="e">
        <f t="shared" ref="V507:CG507" si="198">V506+V479</f>
        <v>#N/A</v>
      </c>
      <c r="W507" s="615" t="e">
        <f t="shared" si="198"/>
        <v>#N/A</v>
      </c>
      <c r="X507" s="615" t="e">
        <f t="shared" si="198"/>
        <v>#N/A</v>
      </c>
      <c r="Y507" s="615" t="e">
        <f t="shared" si="198"/>
        <v>#N/A</v>
      </c>
      <c r="Z507" s="615" t="e">
        <f t="shared" si="198"/>
        <v>#N/A</v>
      </c>
      <c r="AA507" s="615" t="e">
        <f t="shared" si="198"/>
        <v>#N/A</v>
      </c>
      <c r="AB507" s="615" t="e">
        <f t="shared" si="198"/>
        <v>#N/A</v>
      </c>
      <c r="AC507" s="615" t="e">
        <f t="shared" si="198"/>
        <v>#N/A</v>
      </c>
      <c r="AD507" s="615" t="e">
        <f t="shared" si="198"/>
        <v>#N/A</v>
      </c>
      <c r="AE507" s="615" t="e">
        <f t="shared" si="198"/>
        <v>#N/A</v>
      </c>
      <c r="AF507" s="615" t="e">
        <f t="shared" si="198"/>
        <v>#N/A</v>
      </c>
      <c r="AG507" s="615" t="e">
        <f t="shared" si="198"/>
        <v>#N/A</v>
      </c>
      <c r="AH507" s="615" t="e">
        <f t="shared" si="198"/>
        <v>#N/A</v>
      </c>
      <c r="AI507" s="615" t="e">
        <f t="shared" si="198"/>
        <v>#N/A</v>
      </c>
      <c r="AJ507" s="615" t="e">
        <f t="shared" si="198"/>
        <v>#N/A</v>
      </c>
      <c r="AK507" s="615" t="e">
        <f t="shared" si="198"/>
        <v>#N/A</v>
      </c>
      <c r="AL507" s="615" t="e">
        <f t="shared" si="198"/>
        <v>#N/A</v>
      </c>
      <c r="AM507" s="615" t="e">
        <f t="shared" si="198"/>
        <v>#N/A</v>
      </c>
      <c r="AN507" s="615" t="e">
        <f t="shared" si="198"/>
        <v>#N/A</v>
      </c>
      <c r="AO507" s="615" t="e">
        <f t="shared" si="198"/>
        <v>#N/A</v>
      </c>
      <c r="AP507" s="615" t="e">
        <f t="shared" si="198"/>
        <v>#N/A</v>
      </c>
      <c r="AQ507" s="615" t="e">
        <f t="shared" si="198"/>
        <v>#N/A</v>
      </c>
      <c r="AR507" s="615" t="e">
        <f t="shared" si="198"/>
        <v>#N/A</v>
      </c>
      <c r="AS507" s="615" t="e">
        <f t="shared" si="198"/>
        <v>#N/A</v>
      </c>
      <c r="AT507" s="615" t="e">
        <f t="shared" si="198"/>
        <v>#N/A</v>
      </c>
      <c r="AU507" s="615" t="e">
        <f t="shared" si="198"/>
        <v>#N/A</v>
      </c>
      <c r="AV507" s="615" t="e">
        <f t="shared" si="198"/>
        <v>#N/A</v>
      </c>
      <c r="AW507" s="615" t="e">
        <f t="shared" si="198"/>
        <v>#N/A</v>
      </c>
      <c r="AX507" s="615" t="e">
        <f t="shared" si="198"/>
        <v>#N/A</v>
      </c>
      <c r="AY507" s="615" t="e">
        <f t="shared" si="198"/>
        <v>#N/A</v>
      </c>
      <c r="AZ507" s="615" t="e">
        <f t="shared" si="198"/>
        <v>#N/A</v>
      </c>
      <c r="BA507" s="615" t="e">
        <f t="shared" si="198"/>
        <v>#N/A</v>
      </c>
      <c r="BB507" s="615" t="e">
        <f t="shared" si="198"/>
        <v>#N/A</v>
      </c>
      <c r="BC507" s="615" t="e">
        <f t="shared" si="198"/>
        <v>#N/A</v>
      </c>
      <c r="BD507" s="615" t="e">
        <f t="shared" si="198"/>
        <v>#N/A</v>
      </c>
      <c r="BE507" s="615" t="e">
        <f t="shared" si="198"/>
        <v>#N/A</v>
      </c>
      <c r="BF507" s="615" t="e">
        <f t="shared" si="198"/>
        <v>#N/A</v>
      </c>
      <c r="BG507" s="615" t="e">
        <f t="shared" si="198"/>
        <v>#N/A</v>
      </c>
      <c r="BH507" s="615" t="e">
        <f t="shared" si="198"/>
        <v>#N/A</v>
      </c>
      <c r="BI507" s="615" t="e">
        <f t="shared" si="198"/>
        <v>#N/A</v>
      </c>
      <c r="BJ507" s="615" t="e">
        <f t="shared" si="198"/>
        <v>#N/A</v>
      </c>
      <c r="BK507" s="615" t="e">
        <f t="shared" si="198"/>
        <v>#N/A</v>
      </c>
      <c r="BL507" s="615" t="e">
        <f t="shared" si="198"/>
        <v>#N/A</v>
      </c>
      <c r="BM507" s="615" t="e">
        <f t="shared" si="198"/>
        <v>#N/A</v>
      </c>
      <c r="BN507" s="615" t="e">
        <f t="shared" si="198"/>
        <v>#N/A</v>
      </c>
      <c r="BO507" s="615" t="e">
        <f t="shared" si="198"/>
        <v>#N/A</v>
      </c>
      <c r="BP507" s="615" t="e">
        <f t="shared" si="198"/>
        <v>#N/A</v>
      </c>
      <c r="BQ507" s="615" t="e">
        <f t="shared" si="198"/>
        <v>#N/A</v>
      </c>
      <c r="BR507" s="615" t="e">
        <f t="shared" si="198"/>
        <v>#N/A</v>
      </c>
      <c r="BS507" s="615" t="e">
        <f t="shared" si="198"/>
        <v>#N/A</v>
      </c>
      <c r="BT507" s="615" t="e">
        <f t="shared" si="198"/>
        <v>#N/A</v>
      </c>
      <c r="BU507" s="615" t="e">
        <f t="shared" si="198"/>
        <v>#N/A</v>
      </c>
      <c r="BV507" s="615" t="e">
        <f t="shared" si="198"/>
        <v>#N/A</v>
      </c>
      <c r="BW507" s="615" t="e">
        <f t="shared" si="198"/>
        <v>#N/A</v>
      </c>
      <c r="BX507" s="615" t="e">
        <f t="shared" si="198"/>
        <v>#N/A</v>
      </c>
      <c r="BY507" s="615" t="e">
        <f t="shared" si="198"/>
        <v>#N/A</v>
      </c>
      <c r="BZ507" s="615" t="e">
        <f t="shared" si="198"/>
        <v>#N/A</v>
      </c>
      <c r="CA507" s="615" t="e">
        <f t="shared" si="198"/>
        <v>#N/A</v>
      </c>
      <c r="CB507" s="615" t="e">
        <f t="shared" si="198"/>
        <v>#N/A</v>
      </c>
      <c r="CC507" s="615" t="e">
        <f t="shared" si="198"/>
        <v>#N/A</v>
      </c>
      <c r="CD507" s="615" t="e">
        <f t="shared" si="198"/>
        <v>#N/A</v>
      </c>
      <c r="CE507" s="615" t="e">
        <f t="shared" si="198"/>
        <v>#N/A</v>
      </c>
      <c r="CF507" s="615" t="e">
        <f t="shared" si="198"/>
        <v>#N/A</v>
      </c>
      <c r="CG507" s="615" t="e">
        <f t="shared" si="198"/>
        <v>#N/A</v>
      </c>
      <c r="CH507" s="615" t="e">
        <f t="shared" ref="CH507:CN507" si="199">CH506+CH479</f>
        <v>#N/A</v>
      </c>
      <c r="CI507" s="615" t="e">
        <f t="shared" si="199"/>
        <v>#N/A</v>
      </c>
      <c r="CJ507" s="615" t="e">
        <f t="shared" si="199"/>
        <v>#N/A</v>
      </c>
      <c r="CK507" s="615" t="e">
        <f t="shared" si="199"/>
        <v>#N/A</v>
      </c>
      <c r="CL507" s="615" t="e">
        <f t="shared" si="199"/>
        <v>#N/A</v>
      </c>
      <c r="CM507" s="615" t="e">
        <f t="shared" si="199"/>
        <v>#N/A</v>
      </c>
      <c r="CN507" s="615" t="e">
        <f t="shared" si="199"/>
        <v>#N/A</v>
      </c>
    </row>
    <row r="508" spans="8:92">
      <c r="H508" s="602" t="s">
        <v>940</v>
      </c>
      <c r="N508" s="615"/>
      <c r="O508" s="615"/>
      <c r="P508" s="615"/>
      <c r="Q508" s="615"/>
      <c r="R508" s="615"/>
      <c r="S508" s="615"/>
      <c r="T508" s="753"/>
      <c r="AF508" s="753"/>
      <c r="AR508" s="753"/>
      <c r="BD508" s="753"/>
      <c r="BP508" s="753"/>
      <c r="CB508" s="753"/>
    </row>
    <row r="509" spans="8:92">
      <c r="H509" s="602" t="s">
        <v>940</v>
      </c>
      <c r="L509" s="609" t="s">
        <v>1047</v>
      </c>
      <c r="M509" s="556" t="str">
        <f>M363</f>
        <v>Cubic Feet</v>
      </c>
      <c r="N509" s="615" t="e">
        <f t="shared" si="138"/>
        <v>#N/A</v>
      </c>
      <c r="O509" s="615" t="e">
        <f t="shared" si="139"/>
        <v>#N/A</v>
      </c>
      <c r="P509" s="615" t="e">
        <f t="shared" si="140"/>
        <v>#N/A</v>
      </c>
      <c r="Q509" s="615" t="e">
        <f t="shared" si="141"/>
        <v>#N/A</v>
      </c>
      <c r="R509" s="615" t="e">
        <f t="shared" si="142"/>
        <v>#N/A</v>
      </c>
      <c r="S509" s="615" t="e">
        <f t="shared" si="143"/>
        <v>#N/A</v>
      </c>
      <c r="T509" s="753"/>
      <c r="U509" s="615" t="e">
        <f>$N$363</f>
        <v>#N/A</v>
      </c>
      <c r="V509" s="615" t="e">
        <f t="shared" ref="V509:AF509" si="200">$N$363</f>
        <v>#N/A</v>
      </c>
      <c r="W509" s="615" t="e">
        <f t="shared" si="200"/>
        <v>#N/A</v>
      </c>
      <c r="X509" s="615" t="e">
        <f t="shared" si="200"/>
        <v>#N/A</v>
      </c>
      <c r="Y509" s="615" t="e">
        <f t="shared" si="200"/>
        <v>#N/A</v>
      </c>
      <c r="Z509" s="615" t="e">
        <f t="shared" si="200"/>
        <v>#N/A</v>
      </c>
      <c r="AA509" s="615" t="e">
        <f t="shared" si="200"/>
        <v>#N/A</v>
      </c>
      <c r="AB509" s="615" t="e">
        <f t="shared" si="200"/>
        <v>#N/A</v>
      </c>
      <c r="AC509" s="615" t="e">
        <f t="shared" si="200"/>
        <v>#N/A</v>
      </c>
      <c r="AD509" s="615" t="e">
        <f t="shared" si="200"/>
        <v>#N/A</v>
      </c>
      <c r="AE509" s="615" t="e">
        <f t="shared" si="200"/>
        <v>#N/A</v>
      </c>
      <c r="AF509" s="615" t="e">
        <f t="shared" si="200"/>
        <v>#N/A</v>
      </c>
      <c r="AG509" s="615" t="e">
        <f>$O$363</f>
        <v>#N/A</v>
      </c>
      <c r="AH509" s="615" t="e">
        <f t="shared" ref="AH509:AR509" si="201">$O$363</f>
        <v>#N/A</v>
      </c>
      <c r="AI509" s="615" t="e">
        <f t="shared" si="201"/>
        <v>#N/A</v>
      </c>
      <c r="AJ509" s="615" t="e">
        <f t="shared" si="201"/>
        <v>#N/A</v>
      </c>
      <c r="AK509" s="615" t="e">
        <f t="shared" si="201"/>
        <v>#N/A</v>
      </c>
      <c r="AL509" s="615" t="e">
        <f t="shared" si="201"/>
        <v>#N/A</v>
      </c>
      <c r="AM509" s="615" t="e">
        <f t="shared" si="201"/>
        <v>#N/A</v>
      </c>
      <c r="AN509" s="615" t="e">
        <f t="shared" si="201"/>
        <v>#N/A</v>
      </c>
      <c r="AO509" s="615" t="e">
        <f t="shared" si="201"/>
        <v>#N/A</v>
      </c>
      <c r="AP509" s="615" t="e">
        <f t="shared" si="201"/>
        <v>#N/A</v>
      </c>
      <c r="AQ509" s="615" t="e">
        <f t="shared" si="201"/>
        <v>#N/A</v>
      </c>
      <c r="AR509" s="615" t="e">
        <f t="shared" si="201"/>
        <v>#N/A</v>
      </c>
      <c r="AS509" s="615" t="e">
        <f>$P$363</f>
        <v>#N/A</v>
      </c>
      <c r="AT509" s="615" t="e">
        <f t="shared" ref="AT509:BD509" si="202">$P$363</f>
        <v>#N/A</v>
      </c>
      <c r="AU509" s="615" t="e">
        <f t="shared" si="202"/>
        <v>#N/A</v>
      </c>
      <c r="AV509" s="615" t="e">
        <f t="shared" si="202"/>
        <v>#N/A</v>
      </c>
      <c r="AW509" s="615" t="e">
        <f t="shared" si="202"/>
        <v>#N/A</v>
      </c>
      <c r="AX509" s="615" t="e">
        <f t="shared" si="202"/>
        <v>#N/A</v>
      </c>
      <c r="AY509" s="615" t="e">
        <f t="shared" si="202"/>
        <v>#N/A</v>
      </c>
      <c r="AZ509" s="615" t="e">
        <f t="shared" si="202"/>
        <v>#N/A</v>
      </c>
      <c r="BA509" s="615" t="e">
        <f t="shared" si="202"/>
        <v>#N/A</v>
      </c>
      <c r="BB509" s="615" t="e">
        <f t="shared" si="202"/>
        <v>#N/A</v>
      </c>
      <c r="BC509" s="615" t="e">
        <f t="shared" si="202"/>
        <v>#N/A</v>
      </c>
      <c r="BD509" s="615" t="e">
        <f t="shared" si="202"/>
        <v>#N/A</v>
      </c>
      <c r="BE509" s="615" t="e">
        <f>$Q$363</f>
        <v>#N/A</v>
      </c>
      <c r="BF509" s="615" t="e">
        <f t="shared" ref="BF509:BP509" si="203">$Q$363</f>
        <v>#N/A</v>
      </c>
      <c r="BG509" s="615" t="e">
        <f t="shared" si="203"/>
        <v>#N/A</v>
      </c>
      <c r="BH509" s="615" t="e">
        <f t="shared" si="203"/>
        <v>#N/A</v>
      </c>
      <c r="BI509" s="615" t="e">
        <f t="shared" si="203"/>
        <v>#N/A</v>
      </c>
      <c r="BJ509" s="615" t="e">
        <f t="shared" si="203"/>
        <v>#N/A</v>
      </c>
      <c r="BK509" s="615" t="e">
        <f t="shared" si="203"/>
        <v>#N/A</v>
      </c>
      <c r="BL509" s="615" t="e">
        <f t="shared" si="203"/>
        <v>#N/A</v>
      </c>
      <c r="BM509" s="615" t="e">
        <f t="shared" si="203"/>
        <v>#N/A</v>
      </c>
      <c r="BN509" s="615" t="e">
        <f t="shared" si="203"/>
        <v>#N/A</v>
      </c>
      <c r="BO509" s="615" t="e">
        <f t="shared" si="203"/>
        <v>#N/A</v>
      </c>
      <c r="BP509" s="615" t="e">
        <f t="shared" si="203"/>
        <v>#N/A</v>
      </c>
      <c r="BQ509" s="615" t="e">
        <f>$R$363</f>
        <v>#N/A</v>
      </c>
      <c r="BR509" s="615" t="e">
        <f t="shared" ref="BR509:CB509" si="204">$R$363</f>
        <v>#N/A</v>
      </c>
      <c r="BS509" s="615" t="e">
        <f t="shared" si="204"/>
        <v>#N/A</v>
      </c>
      <c r="BT509" s="615" t="e">
        <f t="shared" si="204"/>
        <v>#N/A</v>
      </c>
      <c r="BU509" s="615" t="e">
        <f t="shared" si="204"/>
        <v>#N/A</v>
      </c>
      <c r="BV509" s="615" t="e">
        <f t="shared" si="204"/>
        <v>#N/A</v>
      </c>
      <c r="BW509" s="615" t="e">
        <f t="shared" si="204"/>
        <v>#N/A</v>
      </c>
      <c r="BX509" s="615" t="e">
        <f t="shared" si="204"/>
        <v>#N/A</v>
      </c>
      <c r="BY509" s="615" t="e">
        <f t="shared" si="204"/>
        <v>#N/A</v>
      </c>
      <c r="BZ509" s="615" t="e">
        <f t="shared" si="204"/>
        <v>#N/A</v>
      </c>
      <c r="CA509" s="615" t="e">
        <f t="shared" si="204"/>
        <v>#N/A</v>
      </c>
      <c r="CB509" s="615" t="e">
        <f t="shared" si="204"/>
        <v>#N/A</v>
      </c>
      <c r="CC509" s="615" t="e">
        <f>$S$363</f>
        <v>#N/A</v>
      </c>
      <c r="CD509" s="615" t="e">
        <f t="shared" ref="CD509:CN509" si="205">$S$363</f>
        <v>#N/A</v>
      </c>
      <c r="CE509" s="615" t="e">
        <f t="shared" si="205"/>
        <v>#N/A</v>
      </c>
      <c r="CF509" s="615" t="e">
        <f t="shared" si="205"/>
        <v>#N/A</v>
      </c>
      <c r="CG509" s="615" t="e">
        <f t="shared" si="205"/>
        <v>#N/A</v>
      </c>
      <c r="CH509" s="615" t="e">
        <f t="shared" si="205"/>
        <v>#N/A</v>
      </c>
      <c r="CI509" s="615" t="e">
        <f t="shared" si="205"/>
        <v>#N/A</v>
      </c>
      <c r="CJ509" s="615" t="e">
        <f t="shared" si="205"/>
        <v>#N/A</v>
      </c>
      <c r="CK509" s="615" t="e">
        <f t="shared" si="205"/>
        <v>#N/A</v>
      </c>
      <c r="CL509" s="615" t="e">
        <f t="shared" si="205"/>
        <v>#N/A</v>
      </c>
      <c r="CM509" s="615" t="e">
        <f t="shared" si="205"/>
        <v>#N/A</v>
      </c>
      <c r="CN509" s="615" t="e">
        <f t="shared" si="205"/>
        <v>#N/A</v>
      </c>
    </row>
    <row r="510" spans="8:92">
      <c r="H510" s="602" t="s">
        <v>940</v>
      </c>
      <c r="L510" s="609" t="s">
        <v>1049</v>
      </c>
      <c r="M510" s="556" t="str">
        <f>M364</f>
        <v>Cubic Feet</v>
      </c>
      <c r="N510" s="615" t="e">
        <f t="shared" si="138"/>
        <v>#N/A</v>
      </c>
      <c r="O510" s="615" t="e">
        <f t="shared" si="139"/>
        <v>#N/A</v>
      </c>
      <c r="P510" s="615" t="e">
        <f t="shared" si="140"/>
        <v>#N/A</v>
      </c>
      <c r="Q510" s="615" t="e">
        <f t="shared" si="141"/>
        <v>#N/A</v>
      </c>
      <c r="R510" s="615" t="e">
        <f t="shared" si="142"/>
        <v>#N/A</v>
      </c>
      <c r="S510" s="615" t="e">
        <f t="shared" si="143"/>
        <v>#N/A</v>
      </c>
      <c r="T510" s="753"/>
      <c r="U510" s="615" t="e">
        <f>$N$364</f>
        <v>#N/A</v>
      </c>
      <c r="V510" s="615" t="e">
        <f t="shared" ref="V510:AF510" si="206">$N$364</f>
        <v>#N/A</v>
      </c>
      <c r="W510" s="615" t="e">
        <f t="shared" si="206"/>
        <v>#N/A</v>
      </c>
      <c r="X510" s="615" t="e">
        <f t="shared" si="206"/>
        <v>#N/A</v>
      </c>
      <c r="Y510" s="615" t="e">
        <f t="shared" si="206"/>
        <v>#N/A</v>
      </c>
      <c r="Z510" s="615" t="e">
        <f t="shared" si="206"/>
        <v>#N/A</v>
      </c>
      <c r="AA510" s="615" t="e">
        <f t="shared" si="206"/>
        <v>#N/A</v>
      </c>
      <c r="AB510" s="615" t="e">
        <f t="shared" si="206"/>
        <v>#N/A</v>
      </c>
      <c r="AC510" s="615" t="e">
        <f t="shared" si="206"/>
        <v>#N/A</v>
      </c>
      <c r="AD510" s="615" t="e">
        <f t="shared" si="206"/>
        <v>#N/A</v>
      </c>
      <c r="AE510" s="615" t="e">
        <f t="shared" si="206"/>
        <v>#N/A</v>
      </c>
      <c r="AF510" s="615" t="e">
        <f t="shared" si="206"/>
        <v>#N/A</v>
      </c>
      <c r="AG510" s="615" t="e">
        <f>$O$364</f>
        <v>#N/A</v>
      </c>
      <c r="AH510" s="615" t="e">
        <f t="shared" ref="AH510:AR510" si="207">$O$364</f>
        <v>#N/A</v>
      </c>
      <c r="AI510" s="615" t="e">
        <f t="shared" si="207"/>
        <v>#N/A</v>
      </c>
      <c r="AJ510" s="615" t="e">
        <f t="shared" si="207"/>
        <v>#N/A</v>
      </c>
      <c r="AK510" s="615" t="e">
        <f t="shared" si="207"/>
        <v>#N/A</v>
      </c>
      <c r="AL510" s="615" t="e">
        <f t="shared" si="207"/>
        <v>#N/A</v>
      </c>
      <c r="AM510" s="615" t="e">
        <f t="shared" si="207"/>
        <v>#N/A</v>
      </c>
      <c r="AN510" s="615" t="e">
        <f t="shared" si="207"/>
        <v>#N/A</v>
      </c>
      <c r="AO510" s="615" t="e">
        <f t="shared" si="207"/>
        <v>#N/A</v>
      </c>
      <c r="AP510" s="615" t="e">
        <f t="shared" si="207"/>
        <v>#N/A</v>
      </c>
      <c r="AQ510" s="615" t="e">
        <f t="shared" si="207"/>
        <v>#N/A</v>
      </c>
      <c r="AR510" s="615" t="e">
        <f t="shared" si="207"/>
        <v>#N/A</v>
      </c>
      <c r="AS510" s="615" t="e">
        <f>$P$364</f>
        <v>#N/A</v>
      </c>
      <c r="AT510" s="615" t="e">
        <f t="shared" ref="AT510:BD510" si="208">$P$364</f>
        <v>#N/A</v>
      </c>
      <c r="AU510" s="615" t="e">
        <f t="shared" si="208"/>
        <v>#N/A</v>
      </c>
      <c r="AV510" s="615" t="e">
        <f t="shared" si="208"/>
        <v>#N/A</v>
      </c>
      <c r="AW510" s="615" t="e">
        <f t="shared" si="208"/>
        <v>#N/A</v>
      </c>
      <c r="AX510" s="615" t="e">
        <f t="shared" si="208"/>
        <v>#N/A</v>
      </c>
      <c r="AY510" s="615" t="e">
        <f t="shared" si="208"/>
        <v>#N/A</v>
      </c>
      <c r="AZ510" s="615" t="e">
        <f t="shared" si="208"/>
        <v>#N/A</v>
      </c>
      <c r="BA510" s="615" t="e">
        <f t="shared" si="208"/>
        <v>#N/A</v>
      </c>
      <c r="BB510" s="615" t="e">
        <f t="shared" si="208"/>
        <v>#N/A</v>
      </c>
      <c r="BC510" s="615" t="e">
        <f t="shared" si="208"/>
        <v>#N/A</v>
      </c>
      <c r="BD510" s="615" t="e">
        <f t="shared" si="208"/>
        <v>#N/A</v>
      </c>
      <c r="BE510" s="615" t="e">
        <f>$Q$364</f>
        <v>#N/A</v>
      </c>
      <c r="BF510" s="615" t="e">
        <f t="shared" ref="BF510:BP510" si="209">$Q$364</f>
        <v>#N/A</v>
      </c>
      <c r="BG510" s="615" t="e">
        <f t="shared" si="209"/>
        <v>#N/A</v>
      </c>
      <c r="BH510" s="615" t="e">
        <f t="shared" si="209"/>
        <v>#N/A</v>
      </c>
      <c r="BI510" s="615" t="e">
        <f t="shared" si="209"/>
        <v>#N/A</v>
      </c>
      <c r="BJ510" s="615" t="e">
        <f t="shared" si="209"/>
        <v>#N/A</v>
      </c>
      <c r="BK510" s="615" t="e">
        <f t="shared" si="209"/>
        <v>#N/A</v>
      </c>
      <c r="BL510" s="615" t="e">
        <f t="shared" si="209"/>
        <v>#N/A</v>
      </c>
      <c r="BM510" s="615" t="e">
        <f t="shared" si="209"/>
        <v>#N/A</v>
      </c>
      <c r="BN510" s="615" t="e">
        <f t="shared" si="209"/>
        <v>#N/A</v>
      </c>
      <c r="BO510" s="615" t="e">
        <f t="shared" si="209"/>
        <v>#N/A</v>
      </c>
      <c r="BP510" s="615" t="e">
        <f t="shared" si="209"/>
        <v>#N/A</v>
      </c>
      <c r="BQ510" s="615" t="e">
        <f>$R$364</f>
        <v>#N/A</v>
      </c>
      <c r="BR510" s="615" t="e">
        <f t="shared" ref="BR510:CB510" si="210">$R$364</f>
        <v>#N/A</v>
      </c>
      <c r="BS510" s="615" t="e">
        <f t="shared" si="210"/>
        <v>#N/A</v>
      </c>
      <c r="BT510" s="615" t="e">
        <f t="shared" si="210"/>
        <v>#N/A</v>
      </c>
      <c r="BU510" s="615" t="e">
        <f t="shared" si="210"/>
        <v>#N/A</v>
      </c>
      <c r="BV510" s="615" t="e">
        <f t="shared" si="210"/>
        <v>#N/A</v>
      </c>
      <c r="BW510" s="615" t="e">
        <f t="shared" si="210"/>
        <v>#N/A</v>
      </c>
      <c r="BX510" s="615" t="e">
        <f t="shared" si="210"/>
        <v>#N/A</v>
      </c>
      <c r="BY510" s="615" t="e">
        <f t="shared" si="210"/>
        <v>#N/A</v>
      </c>
      <c r="BZ510" s="615" t="e">
        <f t="shared" si="210"/>
        <v>#N/A</v>
      </c>
      <c r="CA510" s="615" t="e">
        <f t="shared" si="210"/>
        <v>#N/A</v>
      </c>
      <c r="CB510" s="615" t="e">
        <f t="shared" si="210"/>
        <v>#N/A</v>
      </c>
      <c r="CC510" s="615" t="e">
        <f>$S$364</f>
        <v>#N/A</v>
      </c>
      <c r="CD510" s="615" t="e">
        <f t="shared" ref="CD510:CN510" si="211">$S$364</f>
        <v>#N/A</v>
      </c>
      <c r="CE510" s="615" t="e">
        <f t="shared" si="211"/>
        <v>#N/A</v>
      </c>
      <c r="CF510" s="615" t="e">
        <f t="shared" si="211"/>
        <v>#N/A</v>
      </c>
      <c r="CG510" s="615" t="e">
        <f t="shared" si="211"/>
        <v>#N/A</v>
      </c>
      <c r="CH510" s="615" t="e">
        <f t="shared" si="211"/>
        <v>#N/A</v>
      </c>
      <c r="CI510" s="615" t="e">
        <f t="shared" si="211"/>
        <v>#N/A</v>
      </c>
      <c r="CJ510" s="615" t="e">
        <f t="shared" si="211"/>
        <v>#N/A</v>
      </c>
      <c r="CK510" s="615" t="e">
        <f t="shared" si="211"/>
        <v>#N/A</v>
      </c>
      <c r="CL510" s="615" t="e">
        <f t="shared" si="211"/>
        <v>#N/A</v>
      </c>
      <c r="CM510" s="615" t="e">
        <f t="shared" si="211"/>
        <v>#N/A</v>
      </c>
      <c r="CN510" s="615" t="e">
        <f t="shared" si="211"/>
        <v>#N/A</v>
      </c>
    </row>
    <row r="511" spans="8:92">
      <c r="H511" s="602" t="s">
        <v>940</v>
      </c>
    </row>
    <row r="512" spans="8:92" ht="18">
      <c r="H512" s="602" t="s">
        <v>940</v>
      </c>
      <c r="L512" s="652" t="s">
        <v>1294</v>
      </c>
      <c r="M512" s="551"/>
      <c r="N512" s="551"/>
      <c r="O512" s="551"/>
      <c r="P512" s="551"/>
      <c r="Q512" s="551"/>
      <c r="R512" s="551"/>
      <c r="S512" s="551"/>
      <c r="T512" s="551"/>
      <c r="U512" s="551"/>
      <c r="V512" s="551"/>
      <c r="W512" s="551"/>
      <c r="X512" s="551"/>
      <c r="Y512" s="551"/>
      <c r="Z512" s="551"/>
      <c r="AA512" s="551"/>
      <c r="AB512" s="551"/>
      <c r="AC512" s="551"/>
      <c r="AD512" s="551"/>
      <c r="AE512" s="551"/>
      <c r="AF512" s="551"/>
      <c r="AG512" s="551"/>
      <c r="AH512" s="551"/>
      <c r="AI512" s="551"/>
      <c r="AJ512" s="551"/>
      <c r="AK512" s="551"/>
      <c r="AL512" s="551"/>
      <c r="AM512" s="551"/>
      <c r="AN512" s="551"/>
      <c r="AO512" s="551"/>
      <c r="AP512" s="551"/>
      <c r="AQ512" s="551"/>
      <c r="AR512" s="551"/>
      <c r="AS512" s="551"/>
      <c r="AT512" s="551"/>
      <c r="AU512" s="551"/>
      <c r="AV512" s="551"/>
      <c r="AW512" s="551"/>
      <c r="AX512" s="551"/>
      <c r="AY512" s="551"/>
      <c r="AZ512" s="551"/>
      <c r="BA512" s="551"/>
      <c r="BB512" s="551"/>
      <c r="BC512" s="551"/>
      <c r="BD512" s="551"/>
      <c r="BE512" s="551"/>
      <c r="BF512" s="551"/>
      <c r="BG512" s="551"/>
      <c r="BH512" s="551"/>
      <c r="BI512" s="551"/>
      <c r="BJ512" s="551"/>
      <c r="BK512" s="551"/>
      <c r="BL512" s="551"/>
      <c r="BM512" s="551"/>
      <c r="BN512" s="551"/>
      <c r="BO512" s="551"/>
      <c r="BP512" s="551"/>
      <c r="BQ512" s="551"/>
      <c r="BR512" s="551"/>
      <c r="BS512" s="551"/>
      <c r="BT512" s="551"/>
      <c r="BU512" s="551"/>
      <c r="BV512" s="551"/>
      <c r="BW512" s="551"/>
      <c r="BX512" s="551"/>
      <c r="BY512" s="551"/>
      <c r="BZ512" s="551"/>
      <c r="CA512" s="551"/>
      <c r="CB512" s="551"/>
      <c r="CC512" s="551"/>
      <c r="CD512" s="551"/>
      <c r="CE512" s="551"/>
      <c r="CF512" s="551"/>
      <c r="CG512" s="551"/>
      <c r="CH512" s="551"/>
      <c r="CI512" s="551"/>
      <c r="CJ512" s="551"/>
      <c r="CK512" s="551"/>
      <c r="CL512" s="551"/>
      <c r="CM512" s="551"/>
      <c r="CN512" s="551"/>
    </row>
    <row r="513" spans="8:92" ht="13.5" thickBot="1">
      <c r="H513" s="602" t="s">
        <v>940</v>
      </c>
    </row>
    <row r="514" spans="8:92" ht="13.5" thickTop="1">
      <c r="H514" s="602" t="s">
        <v>940</v>
      </c>
      <c r="L514" s="757" t="s">
        <v>1295</v>
      </c>
      <c r="M514" s="758"/>
      <c r="N514" s="758"/>
      <c r="O514" s="758"/>
      <c r="P514" s="758"/>
      <c r="Q514" s="758"/>
      <c r="R514" s="758"/>
      <c r="S514" s="758"/>
      <c r="T514" s="758"/>
      <c r="U514" s="758"/>
      <c r="V514" s="758"/>
      <c r="W514" s="758"/>
      <c r="X514" s="758"/>
      <c r="Y514" s="758"/>
      <c r="Z514" s="758"/>
      <c r="AA514" s="758"/>
      <c r="AB514" s="758"/>
      <c r="AC514" s="758"/>
      <c r="AD514" s="758"/>
      <c r="AE514" s="758"/>
      <c r="AF514" s="758"/>
      <c r="AG514" s="758"/>
      <c r="AH514" s="758"/>
      <c r="AI514" s="758"/>
      <c r="AJ514" s="758"/>
      <c r="AK514" s="758"/>
      <c r="AL514" s="758"/>
      <c r="AM514" s="758"/>
      <c r="AN514" s="758"/>
      <c r="AO514" s="758"/>
      <c r="AP514" s="758"/>
      <c r="AQ514" s="758"/>
      <c r="AR514" s="758"/>
      <c r="AS514" s="758"/>
      <c r="AT514" s="758"/>
      <c r="AU514" s="758"/>
      <c r="AV514" s="758"/>
      <c r="AW514" s="758"/>
      <c r="AX514" s="758"/>
      <c r="AY514" s="758"/>
      <c r="AZ514" s="758"/>
      <c r="BA514" s="758"/>
      <c r="BB514" s="758"/>
      <c r="BC514" s="758"/>
      <c r="BD514" s="758"/>
      <c r="BE514" s="758"/>
      <c r="BF514" s="758"/>
      <c r="BG514" s="758"/>
      <c r="BH514" s="758"/>
      <c r="BI514" s="758"/>
      <c r="BJ514" s="758"/>
      <c r="BK514" s="758"/>
      <c r="BL514" s="758"/>
      <c r="BM514" s="758"/>
      <c r="BN514" s="758"/>
      <c r="BO514" s="758"/>
      <c r="BP514" s="758"/>
      <c r="BQ514" s="758"/>
      <c r="BR514" s="758"/>
      <c r="BS514" s="758"/>
      <c r="BT514" s="758"/>
      <c r="BU514" s="758"/>
      <c r="BV514" s="758"/>
      <c r="BW514" s="758"/>
      <c r="BX514" s="758"/>
      <c r="BY514" s="758"/>
      <c r="BZ514" s="758"/>
      <c r="CA514" s="758"/>
      <c r="CB514" s="758"/>
      <c r="CC514" s="758"/>
      <c r="CD514" s="758"/>
      <c r="CE514" s="758"/>
      <c r="CF514" s="758"/>
      <c r="CG514" s="758"/>
      <c r="CH514" s="758"/>
      <c r="CI514" s="758"/>
      <c r="CJ514" s="758"/>
      <c r="CK514" s="758"/>
      <c r="CL514" s="758"/>
      <c r="CM514" s="758"/>
      <c r="CN514" s="758"/>
    </row>
    <row r="515" spans="8:92">
      <c r="H515" s="602" t="s">
        <v>940</v>
      </c>
      <c r="L515" s="609"/>
      <c r="M515" s="609" t="s">
        <v>359</v>
      </c>
      <c r="N515" s="704" t="s">
        <v>929</v>
      </c>
      <c r="O515" s="704" t="s">
        <v>1193</v>
      </c>
      <c r="P515" s="704" t="s">
        <v>1194</v>
      </c>
      <c r="Q515" s="704" t="s">
        <v>1195</v>
      </c>
      <c r="R515" s="704" t="s">
        <v>1196</v>
      </c>
      <c r="S515" s="704" t="s">
        <v>1197</v>
      </c>
      <c r="T515" s="753"/>
      <c r="U515" s="692" t="s">
        <v>929</v>
      </c>
      <c r="AF515" s="753"/>
      <c r="AG515" s="704" t="s">
        <v>1193</v>
      </c>
      <c r="AR515" s="753"/>
      <c r="AS515" s="704" t="s">
        <v>1194</v>
      </c>
      <c r="BD515" s="753"/>
      <c r="BE515" s="704" t="s">
        <v>1195</v>
      </c>
      <c r="BP515" s="753"/>
      <c r="BQ515" s="704" t="s">
        <v>1196</v>
      </c>
      <c r="CB515" s="753"/>
      <c r="CC515" s="704" t="s">
        <v>1197</v>
      </c>
    </row>
    <row r="516" spans="8:92">
      <c r="H516" s="602" t="s">
        <v>940</v>
      </c>
      <c r="L516" s="611"/>
      <c r="M516" s="611"/>
      <c r="N516" s="754" t="s">
        <v>405</v>
      </c>
      <c r="O516" s="754" t="s">
        <v>405</v>
      </c>
      <c r="P516" s="754" t="s">
        <v>405</v>
      </c>
      <c r="Q516" s="754" t="s">
        <v>405</v>
      </c>
      <c r="R516" s="754" t="s">
        <v>405</v>
      </c>
      <c r="S516" s="754" t="s">
        <v>405</v>
      </c>
      <c r="T516" s="755"/>
      <c r="U516" s="754" t="s">
        <v>1259</v>
      </c>
      <c r="V516" s="754" t="s">
        <v>1260</v>
      </c>
      <c r="W516" s="754" t="s">
        <v>1261</v>
      </c>
      <c r="X516" s="754" t="s">
        <v>1262</v>
      </c>
      <c r="Y516" s="754" t="s">
        <v>947</v>
      </c>
      <c r="Z516" s="754" t="s">
        <v>1263</v>
      </c>
      <c r="AA516" s="754" t="s">
        <v>1264</v>
      </c>
      <c r="AB516" s="754" t="s">
        <v>1265</v>
      </c>
      <c r="AC516" s="754" t="s">
        <v>1266</v>
      </c>
      <c r="AD516" s="754" t="s">
        <v>1267</v>
      </c>
      <c r="AE516" s="754" t="s">
        <v>1268</v>
      </c>
      <c r="AF516" s="756" t="s">
        <v>1269</v>
      </c>
      <c r="AG516" s="754" t="s">
        <v>1259</v>
      </c>
      <c r="AH516" s="754" t="s">
        <v>1260</v>
      </c>
      <c r="AI516" s="754" t="s">
        <v>1261</v>
      </c>
      <c r="AJ516" s="754" t="s">
        <v>1262</v>
      </c>
      <c r="AK516" s="754" t="s">
        <v>947</v>
      </c>
      <c r="AL516" s="754" t="s">
        <v>1263</v>
      </c>
      <c r="AM516" s="754" t="s">
        <v>1264</v>
      </c>
      <c r="AN516" s="754" t="s">
        <v>1265</v>
      </c>
      <c r="AO516" s="754" t="s">
        <v>1266</v>
      </c>
      <c r="AP516" s="754" t="s">
        <v>1267</v>
      </c>
      <c r="AQ516" s="754" t="s">
        <v>1268</v>
      </c>
      <c r="AR516" s="756" t="s">
        <v>1269</v>
      </c>
      <c r="AS516" s="754" t="s">
        <v>1259</v>
      </c>
      <c r="AT516" s="754" t="s">
        <v>1260</v>
      </c>
      <c r="AU516" s="754" t="s">
        <v>1261</v>
      </c>
      <c r="AV516" s="754" t="s">
        <v>1262</v>
      </c>
      <c r="AW516" s="754" t="s">
        <v>947</v>
      </c>
      <c r="AX516" s="754" t="s">
        <v>1263</v>
      </c>
      <c r="AY516" s="754" t="s">
        <v>1264</v>
      </c>
      <c r="AZ516" s="754" t="s">
        <v>1265</v>
      </c>
      <c r="BA516" s="754" t="s">
        <v>1266</v>
      </c>
      <c r="BB516" s="754" t="s">
        <v>1267</v>
      </c>
      <c r="BC516" s="754" t="s">
        <v>1268</v>
      </c>
      <c r="BD516" s="756" t="s">
        <v>1269</v>
      </c>
      <c r="BE516" s="754" t="s">
        <v>1259</v>
      </c>
      <c r="BF516" s="754" t="s">
        <v>1260</v>
      </c>
      <c r="BG516" s="754" t="s">
        <v>1261</v>
      </c>
      <c r="BH516" s="754" t="s">
        <v>1262</v>
      </c>
      <c r="BI516" s="754" t="s">
        <v>947</v>
      </c>
      <c r="BJ516" s="754" t="s">
        <v>1263</v>
      </c>
      <c r="BK516" s="754" t="s">
        <v>1264</v>
      </c>
      <c r="BL516" s="754" t="s">
        <v>1265</v>
      </c>
      <c r="BM516" s="754" t="s">
        <v>1266</v>
      </c>
      <c r="BN516" s="754" t="s">
        <v>1267</v>
      </c>
      <c r="BO516" s="754" t="s">
        <v>1268</v>
      </c>
      <c r="BP516" s="756" t="s">
        <v>1269</v>
      </c>
      <c r="BQ516" s="754" t="s">
        <v>1259</v>
      </c>
      <c r="BR516" s="754" t="s">
        <v>1260</v>
      </c>
      <c r="BS516" s="754" t="s">
        <v>1261</v>
      </c>
      <c r="BT516" s="754" t="s">
        <v>1262</v>
      </c>
      <c r="BU516" s="754" t="s">
        <v>947</v>
      </c>
      <c r="BV516" s="754" t="s">
        <v>1263</v>
      </c>
      <c r="BW516" s="754" t="s">
        <v>1264</v>
      </c>
      <c r="BX516" s="754" t="s">
        <v>1265</v>
      </c>
      <c r="BY516" s="754" t="s">
        <v>1266</v>
      </c>
      <c r="BZ516" s="754" t="s">
        <v>1267</v>
      </c>
      <c r="CA516" s="754" t="s">
        <v>1268</v>
      </c>
      <c r="CB516" s="756" t="s">
        <v>1269</v>
      </c>
      <c r="CC516" s="754" t="s">
        <v>1259</v>
      </c>
      <c r="CD516" s="754" t="s">
        <v>1260</v>
      </c>
      <c r="CE516" s="754" t="s">
        <v>1261</v>
      </c>
      <c r="CF516" s="754" t="s">
        <v>1262</v>
      </c>
      <c r="CG516" s="754" t="s">
        <v>947</v>
      </c>
      <c r="CH516" s="754" t="s">
        <v>1263</v>
      </c>
      <c r="CI516" s="754" t="s">
        <v>1264</v>
      </c>
      <c r="CJ516" s="754" t="s">
        <v>1265</v>
      </c>
      <c r="CK516" s="754" t="s">
        <v>1266</v>
      </c>
      <c r="CL516" s="754" t="s">
        <v>1267</v>
      </c>
      <c r="CM516" s="754" t="s">
        <v>1268</v>
      </c>
      <c r="CN516" s="754" t="s">
        <v>1269</v>
      </c>
    </row>
    <row r="517" spans="8:92">
      <c r="H517" s="602" t="s">
        <v>940</v>
      </c>
      <c r="L517" s="609"/>
    </row>
    <row r="518" spans="8:92">
      <c r="H518" s="602" t="s">
        <v>940</v>
      </c>
      <c r="L518" s="618" t="s">
        <v>1290</v>
      </c>
      <c r="M518" s="600" t="s">
        <v>898</v>
      </c>
      <c r="N518" s="615">
        <f t="shared" ref="N518:N535" si="212">SUM(U518:AF518)</f>
        <v>2722.8391444477002</v>
      </c>
      <c r="O518" s="615">
        <f t="shared" ref="O518:O535" si="213">SUM(AG518:AR518)</f>
        <v>3203.3401699384717</v>
      </c>
      <c r="P518" s="615">
        <f t="shared" ref="P518:P535" si="214">SUM(AS518:BD518)</f>
        <v>4456.7828889540006</v>
      </c>
      <c r="Q518" s="615">
        <f t="shared" ref="Q518:Q535" si="215">SUM(BE518:BP518)</f>
        <v>5710.225607969528</v>
      </c>
      <c r="R518" s="615">
        <f t="shared" ref="R518:R535" si="216">SUM(BQ518:CB518)</f>
        <v>6963.6683269850555</v>
      </c>
      <c r="S518" s="615">
        <f t="shared" ref="S518:S535" si="217">SUM(CC518:CN518)</f>
        <v>8217.1110460005857</v>
      </c>
      <c r="U518" s="615">
        <f>U487</f>
        <v>226.90326203730834</v>
      </c>
      <c r="V518" s="615">
        <f t="shared" ref="V518:CG518" si="218">V487</f>
        <v>226.90326203730834</v>
      </c>
      <c r="W518" s="615">
        <f t="shared" si="218"/>
        <v>226.90326203730834</v>
      </c>
      <c r="X518" s="615">
        <f t="shared" si="218"/>
        <v>226.90326203730834</v>
      </c>
      <c r="Y518" s="615">
        <f t="shared" si="218"/>
        <v>226.90326203730834</v>
      </c>
      <c r="Z518" s="615">
        <f t="shared" si="218"/>
        <v>226.90326203730834</v>
      </c>
      <c r="AA518" s="615">
        <f t="shared" si="218"/>
        <v>226.90326203730834</v>
      </c>
      <c r="AB518" s="615">
        <f t="shared" si="218"/>
        <v>226.90326203730834</v>
      </c>
      <c r="AC518" s="615">
        <f t="shared" si="218"/>
        <v>226.90326203730834</v>
      </c>
      <c r="AD518" s="615">
        <f t="shared" si="218"/>
        <v>226.90326203730834</v>
      </c>
      <c r="AE518" s="615">
        <f t="shared" si="218"/>
        <v>226.90326203730834</v>
      </c>
      <c r="AF518" s="615">
        <f t="shared" si="218"/>
        <v>226.90326203730834</v>
      </c>
      <c r="AG518" s="615">
        <f t="shared" si="218"/>
        <v>266.94501416153923</v>
      </c>
      <c r="AH518" s="615">
        <f t="shared" si="218"/>
        <v>266.94501416153923</v>
      </c>
      <c r="AI518" s="615">
        <f t="shared" si="218"/>
        <v>266.94501416153923</v>
      </c>
      <c r="AJ518" s="615">
        <f t="shared" si="218"/>
        <v>266.94501416153923</v>
      </c>
      <c r="AK518" s="615">
        <f t="shared" si="218"/>
        <v>266.94501416153923</v>
      </c>
      <c r="AL518" s="615">
        <f t="shared" si="218"/>
        <v>266.94501416153923</v>
      </c>
      <c r="AM518" s="615">
        <f t="shared" si="218"/>
        <v>266.94501416153923</v>
      </c>
      <c r="AN518" s="615">
        <f t="shared" si="218"/>
        <v>266.94501416153923</v>
      </c>
      <c r="AO518" s="615">
        <f t="shared" si="218"/>
        <v>266.94501416153923</v>
      </c>
      <c r="AP518" s="615">
        <f t="shared" si="218"/>
        <v>266.94501416153923</v>
      </c>
      <c r="AQ518" s="615">
        <f t="shared" si="218"/>
        <v>266.94501416153923</v>
      </c>
      <c r="AR518" s="615">
        <f t="shared" si="218"/>
        <v>266.94501416153923</v>
      </c>
      <c r="AS518" s="615">
        <f t="shared" si="218"/>
        <v>371.39857407950001</v>
      </c>
      <c r="AT518" s="615">
        <f t="shared" si="218"/>
        <v>371.39857407950001</v>
      </c>
      <c r="AU518" s="615">
        <f t="shared" si="218"/>
        <v>371.39857407950001</v>
      </c>
      <c r="AV518" s="615">
        <f t="shared" si="218"/>
        <v>371.39857407950001</v>
      </c>
      <c r="AW518" s="615">
        <f t="shared" si="218"/>
        <v>371.39857407950001</v>
      </c>
      <c r="AX518" s="615">
        <f t="shared" si="218"/>
        <v>371.39857407950001</v>
      </c>
      <c r="AY518" s="615">
        <f t="shared" si="218"/>
        <v>371.39857407950001</v>
      </c>
      <c r="AZ518" s="615">
        <f t="shared" si="218"/>
        <v>371.39857407950001</v>
      </c>
      <c r="BA518" s="615">
        <f t="shared" si="218"/>
        <v>371.39857407950001</v>
      </c>
      <c r="BB518" s="615">
        <f t="shared" si="218"/>
        <v>371.39857407950001</v>
      </c>
      <c r="BC518" s="615">
        <f t="shared" si="218"/>
        <v>371.39857407950001</v>
      </c>
      <c r="BD518" s="615">
        <f t="shared" si="218"/>
        <v>371.39857407950001</v>
      </c>
      <c r="BE518" s="615">
        <f t="shared" si="218"/>
        <v>475.85213399746073</v>
      </c>
      <c r="BF518" s="615">
        <f t="shared" si="218"/>
        <v>475.85213399746073</v>
      </c>
      <c r="BG518" s="615">
        <f t="shared" si="218"/>
        <v>475.85213399746073</v>
      </c>
      <c r="BH518" s="615">
        <f t="shared" si="218"/>
        <v>475.85213399746073</v>
      </c>
      <c r="BI518" s="615">
        <f t="shared" si="218"/>
        <v>475.85213399746073</v>
      </c>
      <c r="BJ518" s="615">
        <f t="shared" si="218"/>
        <v>475.85213399746073</v>
      </c>
      <c r="BK518" s="615">
        <f t="shared" si="218"/>
        <v>475.85213399746073</v>
      </c>
      <c r="BL518" s="615">
        <f t="shared" si="218"/>
        <v>475.85213399746073</v>
      </c>
      <c r="BM518" s="615">
        <f t="shared" si="218"/>
        <v>475.85213399746073</v>
      </c>
      <c r="BN518" s="615">
        <f t="shared" si="218"/>
        <v>475.85213399746073</v>
      </c>
      <c r="BO518" s="615">
        <f t="shared" si="218"/>
        <v>475.85213399746073</v>
      </c>
      <c r="BP518" s="615">
        <f t="shared" si="218"/>
        <v>475.85213399746073</v>
      </c>
      <c r="BQ518" s="615">
        <f t="shared" si="218"/>
        <v>580.30569391542144</v>
      </c>
      <c r="BR518" s="615">
        <f t="shared" si="218"/>
        <v>580.30569391542144</v>
      </c>
      <c r="BS518" s="615">
        <f t="shared" si="218"/>
        <v>580.30569391542144</v>
      </c>
      <c r="BT518" s="615">
        <f t="shared" si="218"/>
        <v>580.30569391542144</v>
      </c>
      <c r="BU518" s="615">
        <f t="shared" si="218"/>
        <v>580.30569391542144</v>
      </c>
      <c r="BV518" s="615">
        <f t="shared" si="218"/>
        <v>580.30569391542144</v>
      </c>
      <c r="BW518" s="615">
        <f t="shared" si="218"/>
        <v>580.30569391542144</v>
      </c>
      <c r="BX518" s="615">
        <f t="shared" si="218"/>
        <v>580.30569391542144</v>
      </c>
      <c r="BY518" s="615">
        <f t="shared" si="218"/>
        <v>580.30569391542144</v>
      </c>
      <c r="BZ518" s="615">
        <f t="shared" si="218"/>
        <v>580.30569391542144</v>
      </c>
      <c r="CA518" s="615">
        <f t="shared" si="218"/>
        <v>580.30569391542144</v>
      </c>
      <c r="CB518" s="615">
        <f t="shared" si="218"/>
        <v>580.30569391542144</v>
      </c>
      <c r="CC518" s="615">
        <f t="shared" si="218"/>
        <v>684.75925383338222</v>
      </c>
      <c r="CD518" s="615">
        <f t="shared" si="218"/>
        <v>684.75925383338222</v>
      </c>
      <c r="CE518" s="615">
        <f t="shared" si="218"/>
        <v>684.75925383338222</v>
      </c>
      <c r="CF518" s="615">
        <f t="shared" si="218"/>
        <v>684.75925383338222</v>
      </c>
      <c r="CG518" s="615">
        <f t="shared" si="218"/>
        <v>684.75925383338222</v>
      </c>
      <c r="CH518" s="615">
        <f t="shared" ref="CH518:CN518" si="219">CH487</f>
        <v>684.75925383338222</v>
      </c>
      <c r="CI518" s="615">
        <f t="shared" si="219"/>
        <v>684.75925383338222</v>
      </c>
      <c r="CJ518" s="615">
        <f t="shared" si="219"/>
        <v>684.75925383338222</v>
      </c>
      <c r="CK518" s="615">
        <f t="shared" si="219"/>
        <v>684.75925383338222</v>
      </c>
      <c r="CL518" s="615">
        <f t="shared" si="219"/>
        <v>684.75925383338222</v>
      </c>
      <c r="CM518" s="615">
        <f t="shared" si="219"/>
        <v>684.75925383338222</v>
      </c>
      <c r="CN518" s="615">
        <f t="shared" si="219"/>
        <v>684.75925383338222</v>
      </c>
    </row>
    <row r="519" spans="8:92">
      <c r="H519" s="602" t="s">
        <v>940</v>
      </c>
      <c r="L519" s="609"/>
      <c r="N519" s="615"/>
      <c r="O519" s="615"/>
      <c r="P519" s="615"/>
      <c r="Q519" s="615"/>
      <c r="R519" s="615"/>
      <c r="S519" s="615"/>
    </row>
    <row r="520" spans="8:92">
      <c r="H520" s="602" t="s">
        <v>940</v>
      </c>
      <c r="L520" s="618" t="s">
        <v>1296</v>
      </c>
      <c r="M520" s="600" t="s">
        <v>898</v>
      </c>
      <c r="N520" s="615">
        <f t="shared" si="212"/>
        <v>2722.8391444477002</v>
      </c>
      <c r="O520" s="615">
        <f t="shared" si="213"/>
        <v>3203.3401699384717</v>
      </c>
      <c r="P520" s="615">
        <f t="shared" si="214"/>
        <v>4456.7828889540006</v>
      </c>
      <c r="Q520" s="615">
        <f t="shared" si="215"/>
        <v>5710.225607969528</v>
      </c>
      <c r="R520" s="615">
        <f t="shared" si="216"/>
        <v>6963.6683269850555</v>
      </c>
      <c r="S520" s="615">
        <f t="shared" si="217"/>
        <v>8217.1110460005857</v>
      </c>
      <c r="U520" s="615">
        <f>MIN(U518,N$422)</f>
        <v>226.90326203730834</v>
      </c>
      <c r="V520" s="615">
        <f t="shared" ref="V520:AF520" si="220">MIN(V518,O$422)</f>
        <v>226.90326203730834</v>
      </c>
      <c r="W520" s="615">
        <f t="shared" si="220"/>
        <v>226.90326203730834</v>
      </c>
      <c r="X520" s="615">
        <f t="shared" si="220"/>
        <v>226.90326203730834</v>
      </c>
      <c r="Y520" s="615">
        <f t="shared" si="220"/>
        <v>226.90326203730834</v>
      </c>
      <c r="Z520" s="615">
        <f t="shared" si="220"/>
        <v>226.90326203730834</v>
      </c>
      <c r="AA520" s="615">
        <f t="shared" si="220"/>
        <v>226.90326203730834</v>
      </c>
      <c r="AB520" s="615">
        <f t="shared" si="220"/>
        <v>226.90326203730834</v>
      </c>
      <c r="AC520" s="615">
        <f t="shared" si="220"/>
        <v>226.90326203730834</v>
      </c>
      <c r="AD520" s="615">
        <f t="shared" si="220"/>
        <v>226.90326203730834</v>
      </c>
      <c r="AE520" s="615">
        <f t="shared" si="220"/>
        <v>226.90326203730834</v>
      </c>
      <c r="AF520" s="615">
        <f t="shared" si="220"/>
        <v>226.90326203730834</v>
      </c>
      <c r="AG520" s="615">
        <f>MIN(AG518,N$422)</f>
        <v>266.94501416153923</v>
      </c>
      <c r="AH520" s="615">
        <f t="shared" ref="AH520:AR520" si="221">MIN(AH518,O$422)</f>
        <v>266.94501416153923</v>
      </c>
      <c r="AI520" s="615">
        <f t="shared" si="221"/>
        <v>266.94501416153923</v>
      </c>
      <c r="AJ520" s="615">
        <f t="shared" si="221"/>
        <v>266.94501416153923</v>
      </c>
      <c r="AK520" s="615">
        <f t="shared" si="221"/>
        <v>266.94501416153923</v>
      </c>
      <c r="AL520" s="615">
        <f t="shared" si="221"/>
        <v>266.94501416153923</v>
      </c>
      <c r="AM520" s="615">
        <f t="shared" si="221"/>
        <v>266.94501416153923</v>
      </c>
      <c r="AN520" s="615">
        <f t="shared" si="221"/>
        <v>266.94501416153923</v>
      </c>
      <c r="AO520" s="615">
        <f t="shared" si="221"/>
        <v>266.94501416153923</v>
      </c>
      <c r="AP520" s="615">
        <f t="shared" si="221"/>
        <v>266.94501416153923</v>
      </c>
      <c r="AQ520" s="615">
        <f t="shared" si="221"/>
        <v>266.94501416153923</v>
      </c>
      <c r="AR520" s="615">
        <f t="shared" si="221"/>
        <v>266.94501416153923</v>
      </c>
      <c r="AS520" s="615">
        <f>MIN(AS518,N$422)</f>
        <v>371.39857407950001</v>
      </c>
      <c r="AT520" s="615">
        <f t="shared" ref="AT520:BD520" si="222">MIN(AT518,O$422)</f>
        <v>371.39857407950001</v>
      </c>
      <c r="AU520" s="615">
        <f t="shared" si="222"/>
        <v>371.39857407950001</v>
      </c>
      <c r="AV520" s="615">
        <f t="shared" si="222"/>
        <v>371.39857407950001</v>
      </c>
      <c r="AW520" s="615">
        <f t="shared" si="222"/>
        <v>371.39857407950001</v>
      </c>
      <c r="AX520" s="615">
        <f t="shared" si="222"/>
        <v>371.39857407950001</v>
      </c>
      <c r="AY520" s="615">
        <f t="shared" si="222"/>
        <v>371.39857407950001</v>
      </c>
      <c r="AZ520" s="615">
        <f t="shared" si="222"/>
        <v>371.39857407950001</v>
      </c>
      <c r="BA520" s="615">
        <f t="shared" si="222"/>
        <v>371.39857407950001</v>
      </c>
      <c r="BB520" s="615">
        <f t="shared" si="222"/>
        <v>371.39857407950001</v>
      </c>
      <c r="BC520" s="615">
        <f t="shared" si="222"/>
        <v>371.39857407950001</v>
      </c>
      <c r="BD520" s="615">
        <f t="shared" si="222"/>
        <v>371.39857407950001</v>
      </c>
      <c r="BE520" s="615">
        <f>MIN(BE518,N$422)</f>
        <v>475.85213399746073</v>
      </c>
      <c r="BF520" s="615">
        <f t="shared" ref="BF520:BP520" si="223">MIN(BF518,O$422)</f>
        <v>475.85213399746073</v>
      </c>
      <c r="BG520" s="615">
        <f t="shared" si="223"/>
        <v>475.85213399746073</v>
      </c>
      <c r="BH520" s="615">
        <f t="shared" si="223"/>
        <v>475.85213399746073</v>
      </c>
      <c r="BI520" s="615">
        <f t="shared" si="223"/>
        <v>475.85213399746073</v>
      </c>
      <c r="BJ520" s="615">
        <f t="shared" si="223"/>
        <v>475.85213399746073</v>
      </c>
      <c r="BK520" s="615">
        <f t="shared" si="223"/>
        <v>475.85213399746073</v>
      </c>
      <c r="BL520" s="615">
        <f t="shared" si="223"/>
        <v>475.85213399746073</v>
      </c>
      <c r="BM520" s="615">
        <f t="shared" si="223"/>
        <v>475.85213399746073</v>
      </c>
      <c r="BN520" s="615">
        <f t="shared" si="223"/>
        <v>475.85213399746073</v>
      </c>
      <c r="BO520" s="615">
        <f t="shared" si="223"/>
        <v>475.85213399746073</v>
      </c>
      <c r="BP520" s="615">
        <f t="shared" si="223"/>
        <v>475.85213399746073</v>
      </c>
      <c r="BQ520" s="615">
        <f>MIN(BQ518,N$422)</f>
        <v>580.30569391542144</v>
      </c>
      <c r="BR520" s="615">
        <f t="shared" ref="BR520:CB520" si="224">MIN(BR518,O$422)</f>
        <v>580.30569391542144</v>
      </c>
      <c r="BS520" s="615">
        <f t="shared" si="224"/>
        <v>580.30569391542144</v>
      </c>
      <c r="BT520" s="615">
        <f t="shared" si="224"/>
        <v>580.30569391542144</v>
      </c>
      <c r="BU520" s="615">
        <f t="shared" si="224"/>
        <v>580.30569391542144</v>
      </c>
      <c r="BV520" s="615">
        <f t="shared" si="224"/>
        <v>580.30569391542144</v>
      </c>
      <c r="BW520" s="615">
        <f t="shared" si="224"/>
        <v>580.30569391542144</v>
      </c>
      <c r="BX520" s="615">
        <f t="shared" si="224"/>
        <v>580.30569391542144</v>
      </c>
      <c r="BY520" s="615">
        <f t="shared" si="224"/>
        <v>580.30569391542144</v>
      </c>
      <c r="BZ520" s="615">
        <f t="shared" si="224"/>
        <v>580.30569391542144</v>
      </c>
      <c r="CA520" s="615">
        <f t="shared" si="224"/>
        <v>580.30569391542144</v>
      </c>
      <c r="CB520" s="615">
        <f t="shared" si="224"/>
        <v>580.30569391542144</v>
      </c>
      <c r="CC520" s="615">
        <f>MIN(CC518,N$422)</f>
        <v>684.75925383338222</v>
      </c>
      <c r="CD520" s="615">
        <f t="shared" ref="CD520:CN520" si="225">MIN(CD518,O$422)</f>
        <v>684.75925383338222</v>
      </c>
      <c r="CE520" s="615">
        <f t="shared" si="225"/>
        <v>684.75925383338222</v>
      </c>
      <c r="CF520" s="615">
        <f t="shared" si="225"/>
        <v>684.75925383338222</v>
      </c>
      <c r="CG520" s="615">
        <f t="shared" si="225"/>
        <v>684.75925383338222</v>
      </c>
      <c r="CH520" s="615">
        <f t="shared" si="225"/>
        <v>684.75925383338222</v>
      </c>
      <c r="CI520" s="615">
        <f t="shared" si="225"/>
        <v>684.75925383338222</v>
      </c>
      <c r="CJ520" s="615">
        <f t="shared" si="225"/>
        <v>684.75925383338222</v>
      </c>
      <c r="CK520" s="615">
        <f t="shared" si="225"/>
        <v>684.75925383338222</v>
      </c>
      <c r="CL520" s="615">
        <f t="shared" si="225"/>
        <v>684.75925383338222</v>
      </c>
      <c r="CM520" s="615">
        <f t="shared" si="225"/>
        <v>684.75925383338222</v>
      </c>
      <c r="CN520" s="615">
        <f t="shared" si="225"/>
        <v>684.75925383338222</v>
      </c>
    </row>
    <row r="521" spans="8:92">
      <c r="H521" s="602" t="s">
        <v>940</v>
      </c>
      <c r="L521" s="618" t="s">
        <v>1297</v>
      </c>
      <c r="M521" s="600" t="s">
        <v>898</v>
      </c>
      <c r="N521" s="615">
        <f t="shared" si="212"/>
        <v>0</v>
      </c>
      <c r="O521" s="615">
        <f t="shared" si="213"/>
        <v>0</v>
      </c>
      <c r="P521" s="615">
        <f t="shared" si="214"/>
        <v>0</v>
      </c>
      <c r="Q521" s="615">
        <f t="shared" si="215"/>
        <v>0</v>
      </c>
      <c r="R521" s="615">
        <f t="shared" si="216"/>
        <v>0</v>
      </c>
      <c r="S521" s="615">
        <f t="shared" si="217"/>
        <v>0</v>
      </c>
      <c r="U521" s="615">
        <f>MIN(U518-U520,N$423)</f>
        <v>0</v>
      </c>
      <c r="V521" s="615">
        <f t="shared" ref="V521:AF521" si="226">MIN(V518-V520,O$423)</f>
        <v>0</v>
      </c>
      <c r="W521" s="615">
        <f t="shared" si="226"/>
        <v>0</v>
      </c>
      <c r="X521" s="615">
        <f t="shared" si="226"/>
        <v>0</v>
      </c>
      <c r="Y521" s="615">
        <f t="shared" si="226"/>
        <v>0</v>
      </c>
      <c r="Z521" s="615">
        <f t="shared" si="226"/>
        <v>0</v>
      </c>
      <c r="AA521" s="615">
        <f t="shared" si="226"/>
        <v>0</v>
      </c>
      <c r="AB521" s="615">
        <f t="shared" si="226"/>
        <v>0</v>
      </c>
      <c r="AC521" s="615">
        <f t="shared" si="226"/>
        <v>0</v>
      </c>
      <c r="AD521" s="615">
        <f t="shared" si="226"/>
        <v>0</v>
      </c>
      <c r="AE521" s="615">
        <f t="shared" si="226"/>
        <v>0</v>
      </c>
      <c r="AF521" s="615">
        <f t="shared" si="226"/>
        <v>0</v>
      </c>
      <c r="AG521" s="615">
        <f>MIN(AG518-AG520,N$423)</f>
        <v>0</v>
      </c>
      <c r="AH521" s="615">
        <f t="shared" ref="AH521:AR521" si="227">MIN(AH518-AH520,O$423)</f>
        <v>0</v>
      </c>
      <c r="AI521" s="615">
        <f t="shared" si="227"/>
        <v>0</v>
      </c>
      <c r="AJ521" s="615">
        <f t="shared" si="227"/>
        <v>0</v>
      </c>
      <c r="AK521" s="615">
        <f t="shared" si="227"/>
        <v>0</v>
      </c>
      <c r="AL521" s="615">
        <f t="shared" si="227"/>
        <v>0</v>
      </c>
      <c r="AM521" s="615">
        <f t="shared" si="227"/>
        <v>0</v>
      </c>
      <c r="AN521" s="615">
        <f t="shared" si="227"/>
        <v>0</v>
      </c>
      <c r="AO521" s="615">
        <f t="shared" si="227"/>
        <v>0</v>
      </c>
      <c r="AP521" s="615">
        <f t="shared" si="227"/>
        <v>0</v>
      </c>
      <c r="AQ521" s="615">
        <f t="shared" si="227"/>
        <v>0</v>
      </c>
      <c r="AR521" s="615">
        <f t="shared" si="227"/>
        <v>0</v>
      </c>
      <c r="AS521" s="615">
        <f>MIN(AS518-AS520,N$423)</f>
        <v>0</v>
      </c>
      <c r="AT521" s="615">
        <f t="shared" ref="AT521:BD521" si="228">MIN(AT518-AT520,O$423)</f>
        <v>0</v>
      </c>
      <c r="AU521" s="615">
        <f t="shared" si="228"/>
        <v>0</v>
      </c>
      <c r="AV521" s="615">
        <f t="shared" si="228"/>
        <v>0</v>
      </c>
      <c r="AW521" s="615">
        <f t="shared" si="228"/>
        <v>0</v>
      </c>
      <c r="AX521" s="615">
        <f t="shared" si="228"/>
        <v>0</v>
      </c>
      <c r="AY521" s="615">
        <f t="shared" si="228"/>
        <v>0</v>
      </c>
      <c r="AZ521" s="615">
        <f t="shared" si="228"/>
        <v>0</v>
      </c>
      <c r="BA521" s="615">
        <f t="shared" si="228"/>
        <v>0</v>
      </c>
      <c r="BB521" s="615">
        <f t="shared" si="228"/>
        <v>0</v>
      </c>
      <c r="BC521" s="615">
        <f t="shared" si="228"/>
        <v>0</v>
      </c>
      <c r="BD521" s="615">
        <f t="shared" si="228"/>
        <v>0</v>
      </c>
      <c r="BE521" s="615">
        <f>MIN(BE518-BE520,N$423)</f>
        <v>0</v>
      </c>
      <c r="BF521" s="615">
        <f t="shared" ref="BF521:BP521" si="229">MIN(BF518-BF520,O$423)</f>
        <v>0</v>
      </c>
      <c r="BG521" s="615">
        <f t="shared" si="229"/>
        <v>0</v>
      </c>
      <c r="BH521" s="615">
        <f t="shared" si="229"/>
        <v>0</v>
      </c>
      <c r="BI521" s="615">
        <f t="shared" si="229"/>
        <v>0</v>
      </c>
      <c r="BJ521" s="615">
        <f t="shared" si="229"/>
        <v>0</v>
      </c>
      <c r="BK521" s="615">
        <f t="shared" si="229"/>
        <v>0</v>
      </c>
      <c r="BL521" s="615">
        <f t="shared" si="229"/>
        <v>0</v>
      </c>
      <c r="BM521" s="615">
        <f t="shared" si="229"/>
        <v>0</v>
      </c>
      <c r="BN521" s="615">
        <f t="shared" si="229"/>
        <v>0</v>
      </c>
      <c r="BO521" s="615">
        <f t="shared" si="229"/>
        <v>0</v>
      </c>
      <c r="BP521" s="615">
        <f t="shared" si="229"/>
        <v>0</v>
      </c>
      <c r="BQ521" s="615">
        <f>MIN(BQ518-BQ520,N$423)</f>
        <v>0</v>
      </c>
      <c r="BR521" s="615">
        <f t="shared" ref="BR521:CB521" si="230">MIN(BR518-BR520,O$423)</f>
        <v>0</v>
      </c>
      <c r="BS521" s="615">
        <f t="shared" si="230"/>
        <v>0</v>
      </c>
      <c r="BT521" s="615">
        <f t="shared" si="230"/>
        <v>0</v>
      </c>
      <c r="BU521" s="615">
        <f t="shared" si="230"/>
        <v>0</v>
      </c>
      <c r="BV521" s="615">
        <f t="shared" si="230"/>
        <v>0</v>
      </c>
      <c r="BW521" s="615">
        <f t="shared" si="230"/>
        <v>0</v>
      </c>
      <c r="BX521" s="615">
        <f t="shared" si="230"/>
        <v>0</v>
      </c>
      <c r="BY521" s="615">
        <f t="shared" si="230"/>
        <v>0</v>
      </c>
      <c r="BZ521" s="615">
        <f t="shared" si="230"/>
        <v>0</v>
      </c>
      <c r="CA521" s="615">
        <f t="shared" si="230"/>
        <v>0</v>
      </c>
      <c r="CB521" s="615">
        <f t="shared" si="230"/>
        <v>0</v>
      </c>
      <c r="CC521" s="615">
        <f>MIN(CC518-CC520,N$423)</f>
        <v>0</v>
      </c>
      <c r="CD521" s="615">
        <f t="shared" ref="CD521:CN521" si="231">MIN(CD518-CD520,O$423)</f>
        <v>0</v>
      </c>
      <c r="CE521" s="615">
        <f t="shared" si="231"/>
        <v>0</v>
      </c>
      <c r="CF521" s="615">
        <f t="shared" si="231"/>
        <v>0</v>
      </c>
      <c r="CG521" s="615">
        <f t="shared" si="231"/>
        <v>0</v>
      </c>
      <c r="CH521" s="615">
        <f t="shared" si="231"/>
        <v>0</v>
      </c>
      <c r="CI521" s="615">
        <f t="shared" si="231"/>
        <v>0</v>
      </c>
      <c r="CJ521" s="615">
        <f t="shared" si="231"/>
        <v>0</v>
      </c>
      <c r="CK521" s="615">
        <f t="shared" si="231"/>
        <v>0</v>
      </c>
      <c r="CL521" s="615">
        <f t="shared" si="231"/>
        <v>0</v>
      </c>
      <c r="CM521" s="615">
        <f t="shared" si="231"/>
        <v>0</v>
      </c>
      <c r="CN521" s="615">
        <f t="shared" si="231"/>
        <v>0</v>
      </c>
    </row>
    <row r="522" spans="8:92">
      <c r="H522" s="602" t="s">
        <v>940</v>
      </c>
      <c r="L522" s="618" t="s">
        <v>1298</v>
      </c>
      <c r="M522" s="600" t="s">
        <v>898</v>
      </c>
      <c r="N522" s="615">
        <f t="shared" si="212"/>
        <v>0</v>
      </c>
      <c r="O522" s="615">
        <f t="shared" si="213"/>
        <v>0</v>
      </c>
      <c r="P522" s="615">
        <f t="shared" si="214"/>
        <v>0</v>
      </c>
      <c r="Q522" s="615">
        <f t="shared" si="215"/>
        <v>0</v>
      </c>
      <c r="R522" s="615">
        <f t="shared" si="216"/>
        <v>0</v>
      </c>
      <c r="S522" s="615">
        <f t="shared" si="217"/>
        <v>0</v>
      </c>
      <c r="U522" s="615">
        <f>MIN(U518-(U520+U521),N$424)</f>
        <v>0</v>
      </c>
      <c r="V522" s="615">
        <f t="shared" ref="V522:AF522" si="232">MIN(V518-(V520+V521),O$424)</f>
        <v>0</v>
      </c>
      <c r="W522" s="615">
        <f t="shared" si="232"/>
        <v>0</v>
      </c>
      <c r="X522" s="615">
        <f t="shared" si="232"/>
        <v>0</v>
      </c>
      <c r="Y522" s="615">
        <f t="shared" si="232"/>
        <v>0</v>
      </c>
      <c r="Z522" s="615">
        <f t="shared" si="232"/>
        <v>0</v>
      </c>
      <c r="AA522" s="615">
        <f t="shared" si="232"/>
        <v>0</v>
      </c>
      <c r="AB522" s="615">
        <f t="shared" si="232"/>
        <v>0</v>
      </c>
      <c r="AC522" s="615">
        <f t="shared" si="232"/>
        <v>0</v>
      </c>
      <c r="AD522" s="615">
        <f t="shared" si="232"/>
        <v>0</v>
      </c>
      <c r="AE522" s="615">
        <f t="shared" si="232"/>
        <v>0</v>
      </c>
      <c r="AF522" s="615">
        <f t="shared" si="232"/>
        <v>0</v>
      </c>
      <c r="AG522" s="615">
        <f>MIN(AG518-(AG520+AG521),N$424)</f>
        <v>0</v>
      </c>
      <c r="AH522" s="615">
        <f t="shared" ref="AH522:AR522" si="233">MIN(AH518-(AH520+AH521),O$424)</f>
        <v>0</v>
      </c>
      <c r="AI522" s="615">
        <f t="shared" si="233"/>
        <v>0</v>
      </c>
      <c r="AJ522" s="615">
        <f t="shared" si="233"/>
        <v>0</v>
      </c>
      <c r="AK522" s="615">
        <f t="shared" si="233"/>
        <v>0</v>
      </c>
      <c r="AL522" s="615">
        <f t="shared" si="233"/>
        <v>0</v>
      </c>
      <c r="AM522" s="615">
        <f t="shared" si="233"/>
        <v>0</v>
      </c>
      <c r="AN522" s="615">
        <f t="shared" si="233"/>
        <v>0</v>
      </c>
      <c r="AO522" s="615">
        <f t="shared" si="233"/>
        <v>0</v>
      </c>
      <c r="AP522" s="615">
        <f t="shared" si="233"/>
        <v>0</v>
      </c>
      <c r="AQ522" s="615">
        <f t="shared" si="233"/>
        <v>0</v>
      </c>
      <c r="AR522" s="615">
        <f t="shared" si="233"/>
        <v>0</v>
      </c>
      <c r="AS522" s="615">
        <f>MIN(AS518-(AS520+AS521),N$424)</f>
        <v>0</v>
      </c>
      <c r="AT522" s="615">
        <f t="shared" ref="AT522:BD522" si="234">MIN(AT518-(AT520+AT521),O$424)</f>
        <v>0</v>
      </c>
      <c r="AU522" s="615">
        <f t="shared" si="234"/>
        <v>0</v>
      </c>
      <c r="AV522" s="615">
        <f t="shared" si="234"/>
        <v>0</v>
      </c>
      <c r="AW522" s="615">
        <f t="shared" si="234"/>
        <v>0</v>
      </c>
      <c r="AX522" s="615">
        <f t="shared" si="234"/>
        <v>0</v>
      </c>
      <c r="AY522" s="615">
        <f t="shared" si="234"/>
        <v>0</v>
      </c>
      <c r="AZ522" s="615">
        <f t="shared" si="234"/>
        <v>0</v>
      </c>
      <c r="BA522" s="615">
        <f t="shared" si="234"/>
        <v>0</v>
      </c>
      <c r="BB522" s="615">
        <f t="shared" si="234"/>
        <v>0</v>
      </c>
      <c r="BC522" s="615">
        <f t="shared" si="234"/>
        <v>0</v>
      </c>
      <c r="BD522" s="615">
        <f t="shared" si="234"/>
        <v>0</v>
      </c>
      <c r="BE522" s="615">
        <f>MIN(BE518-(BE520+BE521),N$424)</f>
        <v>0</v>
      </c>
      <c r="BF522" s="615">
        <f t="shared" ref="BF522:BP522" si="235">MIN(BF518-(BF520+BF521),O$424)</f>
        <v>0</v>
      </c>
      <c r="BG522" s="615">
        <f t="shared" si="235"/>
        <v>0</v>
      </c>
      <c r="BH522" s="615">
        <f t="shared" si="235"/>
        <v>0</v>
      </c>
      <c r="BI522" s="615">
        <f t="shared" si="235"/>
        <v>0</v>
      </c>
      <c r="BJ522" s="615">
        <f t="shared" si="235"/>
        <v>0</v>
      </c>
      <c r="BK522" s="615">
        <f t="shared" si="235"/>
        <v>0</v>
      </c>
      <c r="BL522" s="615">
        <f t="shared" si="235"/>
        <v>0</v>
      </c>
      <c r="BM522" s="615">
        <f t="shared" si="235"/>
        <v>0</v>
      </c>
      <c r="BN522" s="615">
        <f t="shared" si="235"/>
        <v>0</v>
      </c>
      <c r="BO522" s="615">
        <f t="shared" si="235"/>
        <v>0</v>
      </c>
      <c r="BP522" s="615">
        <f t="shared" si="235"/>
        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 s="615">
        <f t="shared" si="236"/>
        <v>0</v>
      </c>
      <c r="BT522" s="615">
        <f t="shared" si="236"/>
        <v>0</v>
      </c>
      <c r="BU522" s="615">
        <f t="shared" si="236"/>
        <v>0</v>
      </c>
      <c r="BV522" s="615">
        <f t="shared" si="236"/>
        <v>0</v>
      </c>
      <c r="BW522" s="615">
        <f t="shared" si="236"/>
        <v>0</v>
      </c>
      <c r="BX522" s="615">
        <f t="shared" si="236"/>
        <v>0</v>
      </c>
      <c r="BY522" s="615">
        <f t="shared" si="236"/>
        <v>0</v>
      </c>
      <c r="BZ522" s="615">
        <f t="shared" si="236"/>
        <v>0</v>
      </c>
      <c r="CA522" s="615">
        <f t="shared" si="236"/>
        <v>0</v>
      </c>
      <c r="CB522" s="615">
        <f t="shared" si="236"/>
        <v>0</v>
      </c>
      <c r="CC522" s="615">
        <f>MIN(CC518-(CC520+CC521),N$424)</f>
        <v>0</v>
      </c>
      <c r="CD522" s="615">
        <f t="shared" ref="CD522:CN522" si="237">MIN(CD518-(CD520+CD521),O$424)</f>
        <v>0</v>
      </c>
      <c r="CE522" s="615">
        <f t="shared" si="237"/>
        <v>0</v>
      </c>
      <c r="CF522" s="615">
        <f t="shared" si="237"/>
        <v>0</v>
      </c>
      <c r="CG522" s="615">
        <f t="shared" si="237"/>
        <v>0</v>
      </c>
      <c r="CH522" s="615">
        <f t="shared" si="237"/>
        <v>0</v>
      </c>
      <c r="CI522" s="615">
        <f t="shared" si="237"/>
        <v>0</v>
      </c>
      <c r="CJ522" s="615">
        <f t="shared" si="237"/>
        <v>0</v>
      </c>
      <c r="CK522" s="615">
        <f t="shared" si="237"/>
        <v>0</v>
      </c>
      <c r="CL522" s="615">
        <f t="shared" si="237"/>
        <v>0</v>
      </c>
      <c r="CM522" s="615">
        <f t="shared" si="237"/>
        <v>0</v>
      </c>
      <c r="CN522" s="615">
        <f t="shared" si="237"/>
        <v>0</v>
      </c>
    </row>
    <row r="523" spans="8:92">
      <c r="H523" s="602" t="s">
        <v>940</v>
      </c>
      <c r="L523" s="618" t="s">
        <v>1299</v>
      </c>
      <c r="M523" s="600" t="s">
        <v>898</v>
      </c>
      <c r="N523" s="615">
        <f t="shared" si="212"/>
        <v>0</v>
      </c>
      <c r="O523" s="615">
        <f t="shared" si="213"/>
        <v>0</v>
      </c>
      <c r="P523" s="615">
        <f t="shared" si="214"/>
        <v>0</v>
      </c>
      <c r="Q523" s="615">
        <f t="shared" si="215"/>
        <v>0</v>
      </c>
      <c r="R523" s="615">
        <f t="shared" si="216"/>
        <v>0</v>
      </c>
      <c r="S523" s="615">
        <f t="shared" si="217"/>
        <v>0</v>
      </c>
      <c r="U523" s="615">
        <f>MIN(U518-(U520+U521+U522),N$425)</f>
        <v>0</v>
      </c>
      <c r="V523" s="615">
        <f t="shared" ref="V523:AF523" si="238">MIN(V518-(V520+V521+V522),O$425)</f>
        <v>0</v>
      </c>
      <c r="W523" s="615">
        <f t="shared" si="238"/>
        <v>0</v>
      </c>
      <c r="X523" s="615">
        <f t="shared" si="238"/>
        <v>0</v>
      </c>
      <c r="Y523" s="615">
        <f t="shared" si="238"/>
        <v>0</v>
      </c>
      <c r="Z523" s="615">
        <f t="shared" si="238"/>
        <v>0</v>
      </c>
      <c r="AA523" s="615">
        <f t="shared" si="238"/>
        <v>0</v>
      </c>
      <c r="AB523" s="615">
        <f t="shared" si="238"/>
        <v>0</v>
      </c>
      <c r="AC523" s="615">
        <f t="shared" si="238"/>
        <v>0</v>
      </c>
      <c r="AD523" s="615">
        <f t="shared" si="238"/>
        <v>0</v>
      </c>
      <c r="AE523" s="615">
        <f t="shared" si="238"/>
        <v>0</v>
      </c>
      <c r="AF523" s="615">
        <f t="shared" si="238"/>
        <v>0</v>
      </c>
      <c r="AG523" s="615">
        <f>MIN(AG518-(AG520+AG521+AG522),N$425)</f>
        <v>0</v>
      </c>
      <c r="AH523" s="615">
        <f t="shared" ref="AH523:AR523" si="239">MIN(AH518-(AH520+AH521+AH522),O$425)</f>
        <v>0</v>
      </c>
      <c r="AI523" s="615">
        <f t="shared" si="239"/>
        <v>0</v>
      </c>
      <c r="AJ523" s="615">
        <f t="shared" si="239"/>
        <v>0</v>
      </c>
      <c r="AK523" s="615">
        <f t="shared" si="239"/>
        <v>0</v>
      </c>
      <c r="AL523" s="615">
        <f t="shared" si="239"/>
        <v>0</v>
      </c>
      <c r="AM523" s="615">
        <f t="shared" si="239"/>
        <v>0</v>
      </c>
      <c r="AN523" s="615">
        <f t="shared" si="239"/>
        <v>0</v>
      </c>
      <c r="AO523" s="615">
        <f t="shared" si="239"/>
        <v>0</v>
      </c>
      <c r="AP523" s="615">
        <f t="shared" si="239"/>
        <v>0</v>
      </c>
      <c r="AQ523" s="615">
        <f t="shared" si="239"/>
        <v>0</v>
      </c>
      <c r="AR523" s="615">
        <f t="shared" si="239"/>
        <v>0</v>
      </c>
      <c r="AS523" s="615">
        <f>MIN(AS518-(AS520+AS521+AS522),N$425)</f>
        <v>0</v>
      </c>
      <c r="AT523" s="615">
        <f t="shared" ref="AT523:BD523" si="240">MIN(AT518-(AT520+AT521+AT522),O$425)</f>
        <v>0</v>
      </c>
      <c r="AU523" s="615">
        <f t="shared" si="240"/>
        <v>0</v>
      </c>
      <c r="AV523" s="615">
        <f t="shared" si="240"/>
        <v>0</v>
      </c>
      <c r="AW523" s="615">
        <f t="shared" si="240"/>
        <v>0</v>
      </c>
      <c r="AX523" s="615">
        <f t="shared" si="240"/>
        <v>0</v>
      </c>
      <c r="AY523" s="615">
        <f t="shared" si="240"/>
        <v>0</v>
      </c>
      <c r="AZ523" s="615">
        <f t="shared" si="240"/>
        <v>0</v>
      </c>
      <c r="BA523" s="615">
        <f t="shared" si="240"/>
        <v>0</v>
      </c>
      <c r="BB523" s="615">
        <f t="shared" si="240"/>
        <v>0</v>
      </c>
      <c r="BC523" s="615">
        <f t="shared" si="240"/>
        <v>0</v>
      </c>
      <c r="BD523" s="615">
        <f t="shared" si="240"/>
        <v>0</v>
      </c>
      <c r="BE523" s="615">
        <f>MIN(BE518-(BE520+BE521+BE522),N$425)</f>
        <v>0</v>
      </c>
      <c r="BF523" s="615">
        <f t="shared" ref="BF523:BP523" si="241">MIN(BF518-(BF520+BF521+BF522),O$425)</f>
        <v>0</v>
      </c>
      <c r="BG523" s="615">
        <f t="shared" si="241"/>
        <v>0</v>
      </c>
      <c r="BH523" s="615">
        <f t="shared" si="241"/>
        <v>0</v>
      </c>
      <c r="BI523" s="615">
        <f t="shared" si="241"/>
        <v>0</v>
      </c>
      <c r="BJ523" s="615">
        <f t="shared" si="241"/>
        <v>0</v>
      </c>
      <c r="BK523" s="615">
        <f t="shared" si="241"/>
        <v>0</v>
      </c>
      <c r="BL523" s="615">
        <f t="shared" si="241"/>
        <v>0</v>
      </c>
      <c r="BM523" s="615">
        <f t="shared" si="241"/>
        <v>0</v>
      </c>
      <c r="BN523" s="615">
        <f t="shared" si="241"/>
        <v>0</v>
      </c>
      <c r="BO523" s="615">
        <f t="shared" si="241"/>
        <v>0</v>
      </c>
      <c r="BP523" s="615">
        <f t="shared" si="241"/>
        <v>0</v>
      </c>
      <c r="BQ523" s="615">
        <f>MIN(BQ518-(BQ520+BQ521+BQ522),N$425)</f>
        <v>0</v>
      </c>
      <c r="BR523" s="615">
        <f t="shared" ref="BR523:CB523" si="242">MIN(BR518-(BR520+BR521+BR522),O$425)</f>
        <v>0</v>
      </c>
      <c r="BS523" s="615">
        <f t="shared" si="242"/>
        <v>0</v>
      </c>
      <c r="BT523" s="615">
        <f t="shared" si="242"/>
        <v>0</v>
      </c>
      <c r="BU523" s="615">
        <f t="shared" si="242"/>
        <v>0</v>
      </c>
      <c r="BV523" s="615">
        <f t="shared" si="242"/>
        <v>0</v>
      </c>
      <c r="BW523" s="615">
        <f t="shared" si="242"/>
        <v>0</v>
      </c>
      <c r="BX523" s="615">
        <f t="shared" si="242"/>
        <v>0</v>
      </c>
      <c r="BY523" s="615">
        <f t="shared" si="242"/>
        <v>0</v>
      </c>
      <c r="BZ523" s="615">
        <f t="shared" si="242"/>
        <v>0</v>
      </c>
      <c r="CA523" s="615">
        <f t="shared" si="242"/>
        <v>0</v>
      </c>
      <c r="CB523" s="615">
        <f t="shared" si="242"/>
        <v>0</v>
      </c>
      <c r="CC523" s="615">
        <f>MIN(CC518-(CC520+CC521+CC522),N$425)</f>
        <v>0</v>
      </c>
      <c r="CD523" s="615">
        <f t="shared" ref="CD523:CN523" si="243">MIN(CD518-(CD520+CD521+CD522),O$425)</f>
        <v>0</v>
      </c>
      <c r="CE523" s="615">
        <f t="shared" si="243"/>
        <v>0</v>
      </c>
      <c r="CF523" s="615">
        <f t="shared" si="243"/>
        <v>0</v>
      </c>
      <c r="CG523" s="615">
        <f t="shared" si="243"/>
        <v>0</v>
      </c>
      <c r="CH523" s="615">
        <f t="shared" si="243"/>
        <v>0</v>
      </c>
      <c r="CI523" s="615">
        <f t="shared" si="243"/>
        <v>0</v>
      </c>
      <c r="CJ523" s="615">
        <f t="shared" si="243"/>
        <v>0</v>
      </c>
      <c r="CK523" s="615">
        <f t="shared" si="243"/>
        <v>0</v>
      </c>
      <c r="CL523" s="615">
        <f t="shared" si="243"/>
        <v>0</v>
      </c>
      <c r="CM523" s="615">
        <f t="shared" si="243"/>
        <v>0</v>
      </c>
      <c r="CN523" s="615">
        <f t="shared" si="243"/>
        <v>0</v>
      </c>
    </row>
    <row r="524" spans="8:92">
      <c r="H524" s="602" t="s">
        <v>940</v>
      </c>
      <c r="L524" s="618"/>
      <c r="M524" s="600"/>
      <c r="N524" s="615"/>
      <c r="O524" s="615"/>
      <c r="P524" s="615"/>
      <c r="Q524" s="615"/>
      <c r="R524" s="615"/>
      <c r="S524" s="615"/>
    </row>
    <row r="525" spans="8:92">
      <c r="H525" s="602" t="s">
        <v>940</v>
      </c>
      <c r="L525" s="618" t="s">
        <v>1300</v>
      </c>
      <c r="M525" s="600" t="s">
        <v>974</v>
      </c>
      <c r="N525" s="615">
        <f t="shared" si="212"/>
        <v>0</v>
      </c>
      <c r="O525" s="615">
        <f t="shared" si="213"/>
        <v>0</v>
      </c>
      <c r="P525" s="615">
        <f t="shared" si="214"/>
        <v>0</v>
      </c>
      <c r="Q525" s="615">
        <f t="shared" si="215"/>
        <v>0</v>
      </c>
      <c r="R525" s="615">
        <f t="shared" si="216"/>
        <v>0</v>
      </c>
      <c r="S525" s="615">
        <f t="shared" si="217"/>
        <v>0</v>
      </c>
      <c r="U525" s="616">
        <f>U520*N$427</f>
        <v>0</v>
      </c>
      <c r="V525" s="616">
        <f t="shared" ref="V525:AF525" si="244">V520*O$427</f>
        <v>0</v>
      </c>
      <c r="W525" s="616">
        <f t="shared" si="244"/>
        <v>0</v>
      </c>
      <c r="X525" s="616">
        <f t="shared" si="244"/>
        <v>0</v>
      </c>
      <c r="Y525" s="616">
        <f t="shared" si="244"/>
        <v>0</v>
      </c>
      <c r="Z525" s="616">
        <f t="shared" si="244"/>
        <v>0</v>
      </c>
      <c r="AA525" s="616">
        <f t="shared" si="244"/>
        <v>0</v>
      </c>
      <c r="AB525" s="616">
        <f t="shared" si="244"/>
        <v>0</v>
      </c>
      <c r="AC525" s="616">
        <f t="shared" si="244"/>
        <v>0</v>
      </c>
      <c r="AD525" s="616">
        <f t="shared" si="244"/>
        <v>0</v>
      </c>
      <c r="AE525" s="616">
        <f t="shared" si="244"/>
        <v>0</v>
      </c>
      <c r="AF525" s="616">
        <f t="shared" si="244"/>
        <v>0</v>
      </c>
      <c r="AG525" s="616">
        <f>AG520*N$427</f>
        <v>0</v>
      </c>
      <c r="AH525" s="616">
        <f t="shared" ref="AH525:AR525" si="245">AH520*O$427</f>
        <v>0</v>
      </c>
      <c r="AI525" s="616">
        <f t="shared" si="245"/>
        <v>0</v>
      </c>
      <c r="AJ525" s="616">
        <f t="shared" si="245"/>
        <v>0</v>
      </c>
      <c r="AK525" s="616">
        <f t="shared" si="245"/>
        <v>0</v>
      </c>
      <c r="AL525" s="616">
        <f t="shared" si="245"/>
        <v>0</v>
      </c>
      <c r="AM525" s="616">
        <f t="shared" si="245"/>
        <v>0</v>
      </c>
      <c r="AN525" s="616">
        <f t="shared" si="245"/>
        <v>0</v>
      </c>
      <c r="AO525" s="616">
        <f t="shared" si="245"/>
        <v>0</v>
      </c>
      <c r="AP525" s="616">
        <f t="shared" si="245"/>
        <v>0</v>
      </c>
      <c r="AQ525" s="616">
        <f t="shared" si="245"/>
        <v>0</v>
      </c>
      <c r="AR525" s="616">
        <f t="shared" si="245"/>
        <v>0</v>
      </c>
      <c r="AS525" s="616">
        <f>AS520*N$427</f>
        <v>0</v>
      </c>
      <c r="AT525" s="616">
        <f t="shared" ref="AT525:BD525" si="246">AT520*O$427</f>
        <v>0</v>
      </c>
      <c r="AU525" s="616">
        <f t="shared" si="246"/>
        <v>0</v>
      </c>
      <c r="AV525" s="616">
        <f t="shared" si="246"/>
        <v>0</v>
      </c>
      <c r="AW525" s="616">
        <f t="shared" si="246"/>
        <v>0</v>
      </c>
      <c r="AX525" s="616">
        <f t="shared" si="246"/>
        <v>0</v>
      </c>
      <c r="AY525" s="616">
        <f t="shared" si="246"/>
        <v>0</v>
      </c>
      <c r="AZ525" s="616">
        <f t="shared" si="246"/>
        <v>0</v>
      </c>
      <c r="BA525" s="616">
        <f t="shared" si="246"/>
        <v>0</v>
      </c>
      <c r="BB525" s="616">
        <f t="shared" si="246"/>
        <v>0</v>
      </c>
      <c r="BC525" s="616">
        <f t="shared" si="246"/>
        <v>0</v>
      </c>
      <c r="BD525" s="616">
        <f t="shared" si="246"/>
        <v>0</v>
      </c>
      <c r="BE525" s="616">
        <f>BE520*N$427</f>
        <v>0</v>
      </c>
      <c r="BF525" s="616">
        <f t="shared" ref="BF525:BP525" si="247">BF520*O$427</f>
        <v>0</v>
      </c>
      <c r="BG525" s="616">
        <f t="shared" si="247"/>
        <v>0</v>
      </c>
      <c r="BH525" s="616">
        <f t="shared" si="247"/>
        <v>0</v>
      </c>
      <c r="BI525" s="616">
        <f t="shared" si="247"/>
        <v>0</v>
      </c>
      <c r="BJ525" s="616">
        <f t="shared" si="247"/>
        <v>0</v>
      </c>
      <c r="BK525" s="616">
        <f t="shared" si="247"/>
        <v>0</v>
      </c>
      <c r="BL525" s="616">
        <f t="shared" si="247"/>
        <v>0</v>
      </c>
      <c r="BM525" s="616">
        <f t="shared" si="247"/>
        <v>0</v>
      </c>
      <c r="BN525" s="616">
        <f t="shared" si="247"/>
        <v>0</v>
      </c>
      <c r="BO525" s="616">
        <f t="shared" si="247"/>
        <v>0</v>
      </c>
      <c r="BP525" s="616">
        <f t="shared" si="247"/>
        <v>0</v>
      </c>
      <c r="BQ525" s="616">
        <f>BQ520*N$427</f>
        <v>0</v>
      </c>
      <c r="BR525" s="616">
        <f t="shared" ref="BR525:CB525" si="248">BR520*O$427</f>
        <v>0</v>
      </c>
      <c r="BS525" s="616">
        <f t="shared" si="248"/>
        <v>0</v>
      </c>
      <c r="BT525" s="616">
        <f t="shared" si="248"/>
        <v>0</v>
      </c>
      <c r="BU525" s="616">
        <f t="shared" si="248"/>
        <v>0</v>
      </c>
      <c r="BV525" s="616">
        <f t="shared" si="248"/>
        <v>0</v>
      </c>
      <c r="BW525" s="616">
        <f t="shared" si="248"/>
        <v>0</v>
      </c>
      <c r="BX525" s="616">
        <f t="shared" si="248"/>
        <v>0</v>
      </c>
      <c r="BY525" s="616">
        <f t="shared" si="248"/>
        <v>0</v>
      </c>
      <c r="BZ525" s="616">
        <f t="shared" si="248"/>
        <v>0</v>
      </c>
      <c r="CA525" s="616">
        <f t="shared" si="248"/>
        <v>0</v>
      </c>
      <c r="CB525" s="616">
        <f t="shared" si="248"/>
        <v>0</v>
      </c>
      <c r="CC525" s="616">
        <f>CC520*N$427</f>
        <v>0</v>
      </c>
      <c r="CD525" s="616">
        <f t="shared" ref="CD525:CN525" si="249">CD520*O$427</f>
        <v>0</v>
      </c>
      <c r="CE525" s="616">
        <f t="shared" si="249"/>
        <v>0</v>
      </c>
      <c r="CF525" s="616">
        <f t="shared" si="249"/>
        <v>0</v>
      </c>
      <c r="CG525" s="616">
        <f t="shared" si="249"/>
        <v>0</v>
      </c>
      <c r="CH525" s="616">
        <f t="shared" si="249"/>
        <v>0</v>
      </c>
      <c r="CI525" s="616">
        <f t="shared" si="249"/>
        <v>0</v>
      </c>
      <c r="CJ525" s="616">
        <f t="shared" si="249"/>
        <v>0</v>
      </c>
      <c r="CK525" s="616">
        <f t="shared" si="249"/>
        <v>0</v>
      </c>
      <c r="CL525" s="616">
        <f t="shared" si="249"/>
        <v>0</v>
      </c>
      <c r="CM525" s="616">
        <f t="shared" si="249"/>
        <v>0</v>
      </c>
      <c r="CN525" s="616">
        <f t="shared" si="249"/>
        <v>0</v>
      </c>
    </row>
    <row r="526" spans="8:92">
      <c r="H526" s="602" t="s">
        <v>940</v>
      </c>
      <c r="L526" s="618" t="s">
        <v>1301</v>
      </c>
      <c r="M526" s="600" t="s">
        <v>974</v>
      </c>
      <c r="N526" s="615">
        <f t="shared" si="212"/>
        <v>0</v>
      </c>
      <c r="O526" s="615">
        <f t="shared" si="213"/>
        <v>0</v>
      </c>
      <c r="P526" s="615">
        <f t="shared" si="214"/>
        <v>0</v>
      </c>
      <c r="Q526" s="615">
        <f t="shared" si="215"/>
        <v>0</v>
      </c>
      <c r="R526" s="615">
        <f t="shared" si="216"/>
        <v>0</v>
      </c>
      <c r="S526" s="615">
        <f t="shared" si="217"/>
        <v>0</v>
      </c>
      <c r="U526" s="616">
        <f>U521*N$428</f>
        <v>0</v>
      </c>
      <c r="V526" s="616">
        <f t="shared" ref="V526:AF526" si="250">V521*O$428</f>
        <v>0</v>
      </c>
      <c r="W526" s="616">
        <f t="shared" si="250"/>
        <v>0</v>
      </c>
      <c r="X526" s="616">
        <f t="shared" si="250"/>
        <v>0</v>
      </c>
      <c r="Y526" s="616">
        <f t="shared" si="250"/>
        <v>0</v>
      </c>
      <c r="Z526" s="616">
        <f t="shared" si="250"/>
        <v>0</v>
      </c>
      <c r="AA526" s="616">
        <f t="shared" si="250"/>
        <v>0</v>
      </c>
      <c r="AB526" s="616">
        <f t="shared" si="250"/>
        <v>0</v>
      </c>
      <c r="AC526" s="616">
        <f t="shared" si="250"/>
        <v>0</v>
      </c>
      <c r="AD526" s="616">
        <f t="shared" si="250"/>
        <v>0</v>
      </c>
      <c r="AE526" s="616">
        <f t="shared" si="250"/>
        <v>0</v>
      </c>
      <c r="AF526" s="616">
        <f t="shared" si="250"/>
        <v>0</v>
      </c>
      <c r="AG526" s="616">
        <f>AG521*N$428</f>
        <v>0</v>
      </c>
      <c r="AH526" s="616">
        <f t="shared" ref="AH526:AR526" si="251">AH521*O$428</f>
        <v>0</v>
      </c>
      <c r="AI526" s="616">
        <f t="shared" si="251"/>
        <v>0</v>
      </c>
      <c r="AJ526" s="616">
        <f t="shared" si="251"/>
        <v>0</v>
      </c>
      <c r="AK526" s="616">
        <f t="shared" si="251"/>
        <v>0</v>
      </c>
      <c r="AL526" s="616">
        <f t="shared" si="251"/>
        <v>0</v>
      </c>
      <c r="AM526" s="616">
        <f t="shared" si="251"/>
        <v>0</v>
      </c>
      <c r="AN526" s="616">
        <f t="shared" si="251"/>
        <v>0</v>
      </c>
      <c r="AO526" s="616">
        <f t="shared" si="251"/>
        <v>0</v>
      </c>
      <c r="AP526" s="616">
        <f t="shared" si="251"/>
        <v>0</v>
      </c>
      <c r="AQ526" s="616">
        <f t="shared" si="251"/>
        <v>0</v>
      </c>
      <c r="AR526" s="616">
        <f t="shared" si="251"/>
        <v>0</v>
      </c>
      <c r="AS526" s="616">
        <f>AS521*N$428</f>
        <v>0</v>
      </c>
      <c r="AT526" s="616">
        <f t="shared" ref="AT526:BD526" si="252">AT521*O$428</f>
        <v>0</v>
      </c>
      <c r="AU526" s="616">
        <f t="shared" si="252"/>
        <v>0</v>
      </c>
      <c r="AV526" s="616">
        <f t="shared" si="252"/>
        <v>0</v>
      </c>
      <c r="AW526" s="616">
        <f t="shared" si="252"/>
        <v>0</v>
      </c>
      <c r="AX526" s="616">
        <f t="shared" si="252"/>
        <v>0</v>
      </c>
      <c r="AY526" s="616">
        <f t="shared" si="252"/>
        <v>0</v>
      </c>
      <c r="AZ526" s="616">
        <f t="shared" si="252"/>
        <v>0</v>
      </c>
      <c r="BA526" s="616">
        <f t="shared" si="252"/>
        <v>0</v>
      </c>
      <c r="BB526" s="616">
        <f t="shared" si="252"/>
        <v>0</v>
      </c>
      <c r="BC526" s="616">
        <f t="shared" si="252"/>
        <v>0</v>
      </c>
      <c r="BD526" s="616">
        <f t="shared" si="252"/>
        <v>0</v>
      </c>
      <c r="BE526" s="616">
        <f>BE521*N$428</f>
        <v>0</v>
      </c>
      <c r="BF526" s="616">
        <f t="shared" ref="BF526:BP526" si="253">BF521*O$428</f>
        <v>0</v>
      </c>
      <c r="BG526" s="616">
        <f t="shared" si="253"/>
        <v>0</v>
      </c>
      <c r="BH526" s="616">
        <f t="shared" si="253"/>
        <v>0</v>
      </c>
      <c r="BI526" s="616">
        <f t="shared" si="253"/>
        <v>0</v>
      </c>
      <c r="BJ526" s="616">
        <f t="shared" si="253"/>
        <v>0</v>
      </c>
      <c r="BK526" s="616">
        <f t="shared" si="253"/>
        <v>0</v>
      </c>
      <c r="BL526" s="616">
        <f t="shared" si="253"/>
        <v>0</v>
      </c>
      <c r="BM526" s="616">
        <f t="shared" si="253"/>
        <v>0</v>
      </c>
      <c r="BN526" s="616">
        <f t="shared" si="253"/>
        <v>0</v>
      </c>
      <c r="BO526" s="616">
        <f t="shared" si="253"/>
        <v>0</v>
      </c>
      <c r="BP526" s="616">
        <f t="shared" si="253"/>
        <v>0</v>
      </c>
      <c r="BQ526" s="616">
        <f>BQ521*N$428</f>
        <v>0</v>
      </c>
      <c r="BR526" s="616">
        <f t="shared" ref="BR526:CB526" si="254">BR521*O$428</f>
        <v>0</v>
      </c>
      <c r="BS526" s="616">
        <f t="shared" si="254"/>
        <v>0</v>
      </c>
      <c r="BT526" s="616">
        <f t="shared" si="254"/>
        <v>0</v>
      </c>
      <c r="BU526" s="616">
        <f t="shared" si="254"/>
        <v>0</v>
      </c>
      <c r="BV526" s="616">
        <f t="shared" si="254"/>
        <v>0</v>
      </c>
      <c r="BW526" s="616">
        <f t="shared" si="254"/>
        <v>0</v>
      </c>
      <c r="BX526" s="616">
        <f t="shared" si="254"/>
        <v>0</v>
      </c>
      <c r="BY526" s="616">
        <f t="shared" si="254"/>
        <v>0</v>
      </c>
      <c r="BZ526" s="616">
        <f t="shared" si="254"/>
        <v>0</v>
      </c>
      <c r="CA526" s="616">
        <f t="shared" si="254"/>
        <v>0</v>
      </c>
      <c r="CB526" s="616">
        <f t="shared" si="254"/>
        <v>0</v>
      </c>
      <c r="CC526" s="616">
        <f>CC521*N$428</f>
        <v>0</v>
      </c>
      <c r="CD526" s="616">
        <f t="shared" ref="CD526:CN526" si="255">CD521*O$428</f>
        <v>0</v>
      </c>
      <c r="CE526" s="616">
        <f t="shared" si="255"/>
        <v>0</v>
      </c>
      <c r="CF526" s="616">
        <f t="shared" si="255"/>
        <v>0</v>
      </c>
      <c r="CG526" s="616">
        <f t="shared" si="255"/>
        <v>0</v>
      </c>
      <c r="CH526" s="616">
        <f t="shared" si="255"/>
        <v>0</v>
      </c>
      <c r="CI526" s="616">
        <f t="shared" si="255"/>
        <v>0</v>
      </c>
      <c r="CJ526" s="616">
        <f t="shared" si="255"/>
        <v>0</v>
      </c>
      <c r="CK526" s="616">
        <f t="shared" si="255"/>
        <v>0</v>
      </c>
      <c r="CL526" s="616">
        <f t="shared" si="255"/>
        <v>0</v>
      </c>
      <c r="CM526" s="616">
        <f t="shared" si="255"/>
        <v>0</v>
      </c>
      <c r="CN526" s="616">
        <f t="shared" si="255"/>
        <v>0</v>
      </c>
    </row>
    <row r="527" spans="8:92">
      <c r="H527" s="602" t="s">
        <v>940</v>
      </c>
      <c r="L527" s="618" t="s">
        <v>1302</v>
      </c>
      <c r="M527" s="600" t="s">
        <v>974</v>
      </c>
      <c r="N527" s="615">
        <f t="shared" si="212"/>
        <v>0</v>
      </c>
      <c r="O527" s="615">
        <f t="shared" si="213"/>
        <v>0</v>
      </c>
      <c r="P527" s="615">
        <f t="shared" si="214"/>
        <v>0</v>
      </c>
      <c r="Q527" s="615">
        <f t="shared" si="215"/>
        <v>0</v>
      </c>
      <c r="R527" s="615">
        <f t="shared" si="216"/>
        <v>0</v>
      </c>
      <c r="S527" s="615">
        <f t="shared" si="217"/>
        <v>0</v>
      </c>
      <c r="U527" s="616">
        <f>U522*N$429</f>
        <v>0</v>
      </c>
      <c r="V527" s="616">
        <f t="shared" ref="V527:AF527" si="256">V522*O$429</f>
        <v>0</v>
      </c>
      <c r="W527" s="616">
        <f t="shared" si="256"/>
        <v>0</v>
      </c>
      <c r="X527" s="616">
        <f t="shared" si="256"/>
        <v>0</v>
      </c>
      <c r="Y527" s="616">
        <f t="shared" si="256"/>
        <v>0</v>
      </c>
      <c r="Z527" s="616">
        <f t="shared" si="256"/>
        <v>0</v>
      </c>
      <c r="AA527" s="616">
        <f t="shared" si="256"/>
        <v>0</v>
      </c>
      <c r="AB527" s="616">
        <f t="shared" si="256"/>
        <v>0</v>
      </c>
      <c r="AC527" s="616">
        <f t="shared" si="256"/>
        <v>0</v>
      </c>
      <c r="AD527" s="616">
        <f t="shared" si="256"/>
        <v>0</v>
      </c>
      <c r="AE527" s="616">
        <f t="shared" si="256"/>
        <v>0</v>
      </c>
      <c r="AF527" s="616">
        <f t="shared" si="256"/>
        <v>0</v>
      </c>
      <c r="AG527" s="616">
        <f>AG522*N$429</f>
        <v>0</v>
      </c>
      <c r="AH527" s="616">
        <f t="shared" ref="AH527:AR527" si="257">AH522*O$429</f>
        <v>0</v>
      </c>
      <c r="AI527" s="616">
        <f t="shared" si="257"/>
        <v>0</v>
      </c>
      <c r="AJ527" s="616">
        <f t="shared" si="257"/>
        <v>0</v>
      </c>
      <c r="AK527" s="616">
        <f t="shared" si="257"/>
        <v>0</v>
      </c>
      <c r="AL527" s="616">
        <f t="shared" si="257"/>
        <v>0</v>
      </c>
      <c r="AM527" s="616">
        <f t="shared" si="257"/>
        <v>0</v>
      </c>
      <c r="AN527" s="616">
        <f t="shared" si="257"/>
        <v>0</v>
      </c>
      <c r="AO527" s="616">
        <f t="shared" si="257"/>
        <v>0</v>
      </c>
      <c r="AP527" s="616">
        <f t="shared" si="257"/>
        <v>0</v>
      </c>
      <c r="AQ527" s="616">
        <f t="shared" si="257"/>
        <v>0</v>
      </c>
      <c r="AR527" s="616">
        <f t="shared" si="257"/>
        <v>0</v>
      </c>
      <c r="AS527" s="616">
        <f>AS522*N$429</f>
        <v>0</v>
      </c>
      <c r="AT527" s="616">
        <f t="shared" ref="AT527:BD527" si="258">AT522*O$429</f>
        <v>0</v>
      </c>
      <c r="AU527" s="616">
        <f t="shared" si="258"/>
        <v>0</v>
      </c>
      <c r="AV527" s="616">
        <f t="shared" si="258"/>
        <v>0</v>
      </c>
      <c r="AW527" s="616">
        <f t="shared" si="258"/>
        <v>0</v>
      </c>
      <c r="AX527" s="616">
        <f t="shared" si="258"/>
        <v>0</v>
      </c>
      <c r="AY527" s="616">
        <f t="shared" si="258"/>
        <v>0</v>
      </c>
      <c r="AZ527" s="616">
        <f t="shared" si="258"/>
        <v>0</v>
      </c>
      <c r="BA527" s="616">
        <f t="shared" si="258"/>
        <v>0</v>
      </c>
      <c r="BB527" s="616">
        <f t="shared" si="258"/>
        <v>0</v>
      </c>
      <c r="BC527" s="616">
        <f t="shared" si="258"/>
        <v>0</v>
      </c>
      <c r="BD527" s="616">
        <f t="shared" si="258"/>
        <v>0</v>
      </c>
      <c r="BE527" s="616">
        <f>BE522*N$429</f>
        <v>0</v>
      </c>
      <c r="BF527" s="616">
        <f t="shared" ref="BF527:BP527" si="259">BF522*O$429</f>
        <v>0</v>
      </c>
      <c r="BG527" s="616">
        <f t="shared" si="259"/>
        <v>0</v>
      </c>
      <c r="BH527" s="616">
        <f t="shared" si="259"/>
        <v>0</v>
      </c>
      <c r="BI527" s="616">
        <f t="shared" si="259"/>
        <v>0</v>
      </c>
      <c r="BJ527" s="616">
        <f t="shared" si="259"/>
        <v>0</v>
      </c>
      <c r="BK527" s="616">
        <f t="shared" si="259"/>
        <v>0</v>
      </c>
      <c r="BL527" s="616">
        <f t="shared" si="259"/>
        <v>0</v>
      </c>
      <c r="BM527" s="616">
        <f t="shared" si="259"/>
        <v>0</v>
      </c>
      <c r="BN527" s="616">
        <f t="shared" si="259"/>
        <v>0</v>
      </c>
      <c r="BO527" s="616">
        <f t="shared" si="259"/>
        <v>0</v>
      </c>
      <c r="BP527" s="616">
        <f t="shared" si="259"/>
        <v>0</v>
      </c>
      <c r="BQ527" s="616">
        <f>BQ522*N$429</f>
        <v>0</v>
      </c>
      <c r="BR527" s="616">
        <f t="shared" ref="BR527:CB527" si="260">BR522*O$429</f>
        <v>0</v>
      </c>
      <c r="BS527" s="616">
        <f t="shared" si="260"/>
        <v>0</v>
      </c>
      <c r="BT527" s="616">
        <f t="shared" si="260"/>
        <v>0</v>
      </c>
      <c r="BU527" s="616">
        <f t="shared" si="260"/>
        <v>0</v>
      </c>
      <c r="BV527" s="616">
        <f t="shared" si="260"/>
        <v>0</v>
      </c>
      <c r="BW527" s="616">
        <f t="shared" si="260"/>
        <v>0</v>
      </c>
      <c r="BX527" s="616">
        <f t="shared" si="260"/>
        <v>0</v>
      </c>
      <c r="BY527" s="616">
        <f t="shared" si="260"/>
        <v>0</v>
      </c>
      <c r="BZ527" s="616">
        <f t="shared" si="260"/>
        <v>0</v>
      </c>
      <c r="CA527" s="616">
        <f t="shared" si="260"/>
        <v>0</v>
      </c>
      <c r="CB527" s="616">
        <f t="shared" si="260"/>
        <v>0</v>
      </c>
      <c r="CC527" s="616">
        <f>CC522*N$429</f>
        <v>0</v>
      </c>
      <c r="CD527" s="616">
        <f t="shared" ref="CD527:CN527" si="261">CD522*O$429</f>
        <v>0</v>
      </c>
      <c r="CE527" s="616">
        <f t="shared" si="261"/>
        <v>0</v>
      </c>
      <c r="CF527" s="616">
        <f t="shared" si="261"/>
        <v>0</v>
      </c>
      <c r="CG527" s="616">
        <f t="shared" si="261"/>
        <v>0</v>
      </c>
      <c r="CH527" s="616">
        <f t="shared" si="261"/>
        <v>0</v>
      </c>
      <c r="CI527" s="616">
        <f t="shared" si="261"/>
        <v>0</v>
      </c>
      <c r="CJ527" s="616">
        <f t="shared" si="261"/>
        <v>0</v>
      </c>
      <c r="CK527" s="616">
        <f t="shared" si="261"/>
        <v>0</v>
      </c>
      <c r="CL527" s="616">
        <f t="shared" si="261"/>
        <v>0</v>
      </c>
      <c r="CM527" s="616">
        <f t="shared" si="261"/>
        <v>0</v>
      </c>
      <c r="CN527" s="616">
        <f t="shared" si="261"/>
        <v>0</v>
      </c>
    </row>
    <row r="528" spans="8:92">
      <c r="H528" s="602" t="s">
        <v>940</v>
      </c>
      <c r="L528" s="618" t="s">
        <v>1303</v>
      </c>
      <c r="M528" s="600" t="s">
        <v>974</v>
      </c>
      <c r="N528" s="615">
        <f t="shared" si="212"/>
        <v>0</v>
      </c>
      <c r="O528" s="615">
        <f t="shared" si="213"/>
        <v>0</v>
      </c>
      <c r="P528" s="615">
        <f t="shared" si="214"/>
        <v>0</v>
      </c>
      <c r="Q528" s="615">
        <f t="shared" si="215"/>
        <v>0</v>
      </c>
      <c r="R528" s="615">
        <f t="shared" si="216"/>
        <v>0</v>
      </c>
      <c r="S528" s="615">
        <f t="shared" si="217"/>
        <v>0</v>
      </c>
      <c r="U528" s="616">
        <f>U523*N$430</f>
        <v>0</v>
      </c>
      <c r="V528" s="616">
        <f t="shared" ref="V528:AF528" si="262">V523*O$430</f>
        <v>0</v>
      </c>
      <c r="W528" s="616">
        <f t="shared" si="262"/>
        <v>0</v>
      </c>
      <c r="X528" s="616">
        <f t="shared" si="262"/>
        <v>0</v>
      </c>
      <c r="Y528" s="616">
        <f t="shared" si="262"/>
        <v>0</v>
      </c>
      <c r="Z528" s="616">
        <f t="shared" si="262"/>
        <v>0</v>
      </c>
      <c r="AA528" s="616">
        <f t="shared" si="262"/>
        <v>0</v>
      </c>
      <c r="AB528" s="616">
        <f t="shared" si="262"/>
        <v>0</v>
      </c>
      <c r="AC528" s="616">
        <f t="shared" si="262"/>
        <v>0</v>
      </c>
      <c r="AD528" s="616">
        <f t="shared" si="262"/>
        <v>0</v>
      </c>
      <c r="AE528" s="616">
        <f t="shared" si="262"/>
        <v>0</v>
      </c>
      <c r="AF528" s="616">
        <f t="shared" si="262"/>
        <v>0</v>
      </c>
      <c r="AG528" s="616">
        <f>AG523*N$430</f>
        <v>0</v>
      </c>
      <c r="AH528" s="616">
        <f t="shared" ref="AH528:AR528" si="263">AH523*O$430</f>
        <v>0</v>
      </c>
      <c r="AI528" s="616">
        <f t="shared" si="263"/>
        <v>0</v>
      </c>
      <c r="AJ528" s="616">
        <f t="shared" si="263"/>
        <v>0</v>
      </c>
      <c r="AK528" s="616">
        <f t="shared" si="263"/>
        <v>0</v>
      </c>
      <c r="AL528" s="616">
        <f t="shared" si="263"/>
        <v>0</v>
      </c>
      <c r="AM528" s="616">
        <f t="shared" si="263"/>
        <v>0</v>
      </c>
      <c r="AN528" s="616">
        <f t="shared" si="263"/>
        <v>0</v>
      </c>
      <c r="AO528" s="616">
        <f t="shared" si="263"/>
        <v>0</v>
      </c>
      <c r="AP528" s="616">
        <f t="shared" si="263"/>
        <v>0</v>
      </c>
      <c r="AQ528" s="616">
        <f t="shared" si="263"/>
        <v>0</v>
      </c>
      <c r="AR528" s="616">
        <f t="shared" si="263"/>
        <v>0</v>
      </c>
      <c r="AS528" s="616">
        <f>AS523*N$430</f>
        <v>0</v>
      </c>
      <c r="AT528" s="616">
        <f t="shared" ref="AT528:BD528" si="264">AT523*O$430</f>
        <v>0</v>
      </c>
      <c r="AU528" s="616">
        <f t="shared" si="264"/>
        <v>0</v>
      </c>
      <c r="AV528" s="616">
        <f t="shared" si="264"/>
        <v>0</v>
      </c>
      <c r="AW528" s="616">
        <f t="shared" si="264"/>
        <v>0</v>
      </c>
      <c r="AX528" s="616">
        <f t="shared" si="264"/>
        <v>0</v>
      </c>
      <c r="AY528" s="616">
        <f t="shared" si="264"/>
        <v>0</v>
      </c>
      <c r="AZ528" s="616">
        <f t="shared" si="264"/>
        <v>0</v>
      </c>
      <c r="BA528" s="616">
        <f t="shared" si="264"/>
        <v>0</v>
      </c>
      <c r="BB528" s="616">
        <f t="shared" si="264"/>
        <v>0</v>
      </c>
      <c r="BC528" s="616">
        <f t="shared" si="264"/>
        <v>0</v>
      </c>
      <c r="BD528" s="616">
        <f t="shared" si="264"/>
        <v>0</v>
      </c>
      <c r="BE528" s="616">
        <f>BE523*N$430</f>
        <v>0</v>
      </c>
      <c r="BF528" s="616">
        <f t="shared" ref="BF528:BP528" si="265">BF523*O$430</f>
        <v>0</v>
      </c>
      <c r="BG528" s="616">
        <f t="shared" si="265"/>
        <v>0</v>
      </c>
      <c r="BH528" s="616">
        <f t="shared" si="265"/>
        <v>0</v>
      </c>
      <c r="BI528" s="616">
        <f t="shared" si="265"/>
        <v>0</v>
      </c>
      <c r="BJ528" s="616">
        <f t="shared" si="265"/>
        <v>0</v>
      </c>
      <c r="BK528" s="616">
        <f t="shared" si="265"/>
        <v>0</v>
      </c>
      <c r="BL528" s="616">
        <f t="shared" si="265"/>
        <v>0</v>
      </c>
      <c r="BM528" s="616">
        <f t="shared" si="265"/>
        <v>0</v>
      </c>
      <c r="BN528" s="616">
        <f t="shared" si="265"/>
        <v>0</v>
      </c>
      <c r="BO528" s="616">
        <f t="shared" si="265"/>
        <v>0</v>
      </c>
      <c r="BP528" s="616">
        <f t="shared" si="265"/>
        <v>0</v>
      </c>
      <c r="BQ528" s="616">
        <f>BQ523*N$430</f>
        <v>0</v>
      </c>
      <c r="BR528" s="616">
        <f t="shared" ref="BR528:CB528" si="266">BR523*O$430</f>
        <v>0</v>
      </c>
      <c r="BS528" s="616">
        <f t="shared" si="266"/>
        <v>0</v>
      </c>
      <c r="BT528" s="616">
        <f t="shared" si="266"/>
        <v>0</v>
      </c>
      <c r="BU528" s="616">
        <f t="shared" si="266"/>
        <v>0</v>
      </c>
      <c r="BV528" s="616">
        <f t="shared" si="266"/>
        <v>0</v>
      </c>
      <c r="BW528" s="616">
        <f t="shared" si="266"/>
        <v>0</v>
      </c>
      <c r="BX528" s="616">
        <f t="shared" si="266"/>
        <v>0</v>
      </c>
      <c r="BY528" s="616">
        <f t="shared" si="266"/>
        <v>0</v>
      </c>
      <c r="BZ528" s="616">
        <f t="shared" si="266"/>
        <v>0</v>
      </c>
      <c r="CA528" s="616">
        <f t="shared" si="266"/>
        <v>0</v>
      </c>
      <c r="CB528" s="616">
        <f t="shared" si="266"/>
        <v>0</v>
      </c>
      <c r="CC528" s="616">
        <f>CC523*N$430</f>
        <v>0</v>
      </c>
      <c r="CD528" s="616">
        <f t="shared" ref="CD528:CN528" si="267">CD523*O$430</f>
        <v>0</v>
      </c>
      <c r="CE528" s="616">
        <f t="shared" si="267"/>
        <v>0</v>
      </c>
      <c r="CF528" s="616">
        <f t="shared" si="267"/>
        <v>0</v>
      </c>
      <c r="CG528" s="616">
        <f t="shared" si="267"/>
        <v>0</v>
      </c>
      <c r="CH528" s="616">
        <f t="shared" si="267"/>
        <v>0</v>
      </c>
      <c r="CI528" s="616">
        <f t="shared" si="267"/>
        <v>0</v>
      </c>
      <c r="CJ528" s="616">
        <f t="shared" si="267"/>
        <v>0</v>
      </c>
      <c r="CK528" s="616">
        <f t="shared" si="267"/>
        <v>0</v>
      </c>
      <c r="CL528" s="616">
        <f t="shared" si="267"/>
        <v>0</v>
      </c>
      <c r="CM528" s="616">
        <f t="shared" si="267"/>
        <v>0</v>
      </c>
      <c r="CN528" s="616">
        <f t="shared" si="267"/>
        <v>0</v>
      </c>
    </row>
    <row r="529" spans="8:92">
      <c r="H529" s="602" t="s">
        <v>940</v>
      </c>
      <c r="L529" s="618"/>
      <c r="M529" s="600"/>
      <c r="N529" s="615"/>
      <c r="O529" s="615"/>
      <c r="P529" s="615"/>
      <c r="Q529" s="615"/>
      <c r="R529" s="615"/>
      <c r="S529" s="615"/>
      <c r="U529" s="616"/>
      <c r="V529" s="616"/>
      <c r="W529" s="616"/>
      <c r="X529" s="616"/>
      <c r="Y529" s="616"/>
      <c r="Z529" s="616"/>
      <c r="AA529" s="616"/>
      <c r="AB529" s="616"/>
      <c r="AC529" s="616"/>
      <c r="AD529" s="616"/>
      <c r="AE529" s="616"/>
      <c r="AF529" s="616"/>
      <c r="AG529" s="616"/>
      <c r="AH529" s="616"/>
      <c r="AI529" s="616"/>
      <c r="AJ529" s="616"/>
      <c r="AK529" s="616"/>
      <c r="AL529" s="616"/>
      <c r="AM529" s="616"/>
      <c r="AN529" s="616"/>
      <c r="AO529" s="616"/>
      <c r="AP529" s="616"/>
      <c r="AQ529" s="616"/>
      <c r="AR529" s="616"/>
      <c r="AS529" s="616"/>
      <c r="AT529" s="616"/>
      <c r="AU529" s="616"/>
      <c r="AV529" s="616"/>
      <c r="AW529" s="616"/>
      <c r="AX529" s="616"/>
      <c r="AY529" s="616"/>
      <c r="AZ529" s="616"/>
      <c r="BA529" s="616"/>
      <c r="BB529" s="616"/>
      <c r="BC529" s="616"/>
      <c r="BD529" s="616"/>
      <c r="BE529" s="616"/>
      <c r="BF529" s="616"/>
      <c r="BG529" s="616"/>
      <c r="BH529" s="616"/>
      <c r="BI529" s="616"/>
      <c r="BJ529" s="616"/>
      <c r="BK529" s="616"/>
      <c r="BL529" s="616"/>
      <c r="BM529" s="616"/>
      <c r="BN529" s="616"/>
      <c r="BO529" s="616"/>
      <c r="BP529" s="616"/>
      <c r="BQ529" s="616"/>
      <c r="BR529" s="616"/>
      <c r="BS529" s="616"/>
      <c r="BT529" s="616"/>
      <c r="BU529" s="616"/>
      <c r="BV529" s="616"/>
      <c r="BW529" s="616"/>
      <c r="BX529" s="616"/>
      <c r="BY529" s="616"/>
      <c r="BZ529" s="616"/>
      <c r="CA529" s="616"/>
      <c r="CB529" s="616"/>
      <c r="CC529" s="616"/>
      <c r="CD529" s="616"/>
      <c r="CE529" s="616"/>
      <c r="CF529" s="616"/>
      <c r="CG529" s="616"/>
      <c r="CH529" s="616"/>
      <c r="CI529" s="616"/>
      <c r="CJ529" s="616"/>
      <c r="CK529" s="616"/>
      <c r="CL529" s="616"/>
      <c r="CM529" s="616"/>
      <c r="CN529" s="616"/>
    </row>
    <row r="530" spans="8:92">
      <c r="H530" s="602" t="s">
        <v>940</v>
      </c>
      <c r="L530" s="618" t="s">
        <v>1247</v>
      </c>
      <c r="M530" s="600" t="s">
        <v>974</v>
      </c>
      <c r="N530" s="615">
        <f>SUM(U530:AF530)</f>
        <v>0</v>
      </c>
      <c r="O530" s="615">
        <f>SUM(AG530:AR530)</f>
        <v>0</v>
      </c>
      <c r="P530" s="615">
        <f>SUM(AS530:BD530)</f>
        <v>0</v>
      </c>
      <c r="Q530" s="615">
        <f>SUM(BE530:BP530)</f>
        <v>0</v>
      </c>
      <c r="R530" s="615">
        <f>SUM(BQ530:CB530)</f>
        <v>0</v>
      </c>
      <c r="S530" s="615">
        <f>SUM(CC530:CN530)</f>
        <v>0</v>
      </c>
      <c r="U530" s="616">
        <f>N$418</f>
        <v>0</v>
      </c>
      <c r="V530" s="616">
        <f t="shared" ref="V530:AF530" si="268">O$418</f>
        <v>0</v>
      </c>
      <c r="W530" s="616">
        <f t="shared" si="268"/>
        <v>0</v>
      </c>
      <c r="X530" s="616">
        <f t="shared" si="268"/>
        <v>0</v>
      </c>
      <c r="Y530" s="616">
        <f t="shared" si="268"/>
        <v>0</v>
      </c>
      <c r="Z530" s="616">
        <f t="shared" si="268"/>
        <v>0</v>
      </c>
      <c r="AA530" s="616">
        <f t="shared" si="268"/>
        <v>0</v>
      </c>
      <c r="AB530" s="616">
        <f t="shared" si="268"/>
        <v>0</v>
      </c>
      <c r="AC530" s="616">
        <f t="shared" si="268"/>
        <v>0</v>
      </c>
      <c r="AD530" s="616">
        <f t="shared" si="268"/>
        <v>0</v>
      </c>
      <c r="AE530" s="616">
        <f t="shared" si="268"/>
        <v>0</v>
      </c>
      <c r="AF530" s="616">
        <f t="shared" si="268"/>
        <v>0</v>
      </c>
      <c r="AG530" s="616">
        <f>N$418</f>
        <v>0</v>
      </c>
      <c r="AH530" s="616">
        <f t="shared" ref="AH530:AR530" si="269">O$418</f>
        <v>0</v>
      </c>
      <c r="AI530" s="616">
        <f t="shared" si="269"/>
        <v>0</v>
      </c>
      <c r="AJ530" s="616">
        <f t="shared" si="269"/>
        <v>0</v>
      </c>
      <c r="AK530" s="616">
        <f t="shared" si="269"/>
        <v>0</v>
      </c>
      <c r="AL530" s="616">
        <f t="shared" si="269"/>
        <v>0</v>
      </c>
      <c r="AM530" s="616">
        <f t="shared" si="269"/>
        <v>0</v>
      </c>
      <c r="AN530" s="616">
        <f t="shared" si="269"/>
        <v>0</v>
      </c>
      <c r="AO530" s="616">
        <f t="shared" si="269"/>
        <v>0</v>
      </c>
      <c r="AP530" s="616">
        <f t="shared" si="269"/>
        <v>0</v>
      </c>
      <c r="AQ530" s="616">
        <f t="shared" si="269"/>
        <v>0</v>
      </c>
      <c r="AR530" s="616">
        <f t="shared" si="269"/>
        <v>0</v>
      </c>
      <c r="AS530" s="616">
        <f>N$418</f>
        <v>0</v>
      </c>
      <c r="AT530" s="616">
        <f t="shared" ref="AT530:BD530" si="270">O$418</f>
        <v>0</v>
      </c>
      <c r="AU530" s="616">
        <f t="shared" si="270"/>
        <v>0</v>
      </c>
      <c r="AV530" s="616">
        <f t="shared" si="270"/>
        <v>0</v>
      </c>
      <c r="AW530" s="616">
        <f t="shared" si="270"/>
        <v>0</v>
      </c>
      <c r="AX530" s="616">
        <f t="shared" si="270"/>
        <v>0</v>
      </c>
      <c r="AY530" s="616">
        <f t="shared" si="270"/>
        <v>0</v>
      </c>
      <c r="AZ530" s="616">
        <f t="shared" si="270"/>
        <v>0</v>
      </c>
      <c r="BA530" s="616">
        <f t="shared" si="270"/>
        <v>0</v>
      </c>
      <c r="BB530" s="616">
        <f t="shared" si="270"/>
        <v>0</v>
      </c>
      <c r="BC530" s="616">
        <f t="shared" si="270"/>
        <v>0</v>
      </c>
      <c r="BD530" s="616">
        <f t="shared" si="270"/>
        <v>0</v>
      </c>
      <c r="BE530" s="616">
        <f>N$418</f>
        <v>0</v>
      </c>
      <c r="BF530" s="616">
        <f t="shared" ref="BF530:BP530" si="271">O$418</f>
        <v>0</v>
      </c>
      <c r="BG530" s="616">
        <f t="shared" si="271"/>
        <v>0</v>
      </c>
      <c r="BH530" s="616">
        <f t="shared" si="271"/>
        <v>0</v>
      </c>
      <c r="BI530" s="616">
        <f t="shared" si="271"/>
        <v>0</v>
      </c>
      <c r="BJ530" s="616">
        <f t="shared" si="271"/>
        <v>0</v>
      </c>
      <c r="BK530" s="616">
        <f t="shared" si="271"/>
        <v>0</v>
      </c>
      <c r="BL530" s="616">
        <f t="shared" si="271"/>
        <v>0</v>
      </c>
      <c r="BM530" s="616">
        <f t="shared" si="271"/>
        <v>0</v>
      </c>
      <c r="BN530" s="616">
        <f t="shared" si="271"/>
        <v>0</v>
      </c>
      <c r="BO530" s="616">
        <f t="shared" si="271"/>
        <v>0</v>
      </c>
      <c r="BP530" s="616">
        <f t="shared" si="271"/>
        <v>0</v>
      </c>
      <c r="BQ530" s="616">
        <f>N$418</f>
        <v>0</v>
      </c>
      <c r="BR530" s="616">
        <f t="shared" ref="BR530:CB530" si="272">O$418</f>
        <v>0</v>
      </c>
      <c r="BS530" s="616">
        <f t="shared" si="272"/>
        <v>0</v>
      </c>
      <c r="BT530" s="616">
        <f t="shared" si="272"/>
        <v>0</v>
      </c>
      <c r="BU530" s="616">
        <f t="shared" si="272"/>
        <v>0</v>
      </c>
      <c r="BV530" s="616">
        <f t="shared" si="272"/>
        <v>0</v>
      </c>
      <c r="BW530" s="616">
        <f t="shared" si="272"/>
        <v>0</v>
      </c>
      <c r="BX530" s="616">
        <f t="shared" si="272"/>
        <v>0</v>
      </c>
      <c r="BY530" s="616">
        <f t="shared" si="272"/>
        <v>0</v>
      </c>
      <c r="BZ530" s="616">
        <f t="shared" si="272"/>
        <v>0</v>
      </c>
      <c r="CA530" s="616">
        <f t="shared" si="272"/>
        <v>0</v>
      </c>
      <c r="CB530" s="616">
        <f t="shared" si="272"/>
        <v>0</v>
      </c>
      <c r="CC530" s="616">
        <f>N$418</f>
        <v>0</v>
      </c>
      <c r="CD530" s="616">
        <f t="shared" ref="CD530:CN530" si="273">O$418</f>
        <v>0</v>
      </c>
      <c r="CE530" s="616">
        <f t="shared" si="273"/>
        <v>0</v>
      </c>
      <c r="CF530" s="616">
        <f t="shared" si="273"/>
        <v>0</v>
      </c>
      <c r="CG530" s="616">
        <f t="shared" si="273"/>
        <v>0</v>
      </c>
      <c r="CH530" s="616">
        <f t="shared" si="273"/>
        <v>0</v>
      </c>
      <c r="CI530" s="616">
        <f t="shared" si="273"/>
        <v>0</v>
      </c>
      <c r="CJ530" s="616">
        <f t="shared" si="273"/>
        <v>0</v>
      </c>
      <c r="CK530" s="616">
        <f t="shared" si="273"/>
        <v>0</v>
      </c>
      <c r="CL530" s="616">
        <f t="shared" si="273"/>
        <v>0</v>
      </c>
      <c r="CM530" s="616">
        <f t="shared" si="273"/>
        <v>0</v>
      </c>
      <c r="CN530" s="616">
        <f t="shared" si="273"/>
        <v>0</v>
      </c>
    </row>
    <row r="531" spans="8:92">
      <c r="H531" s="602" t="s">
        <v>940</v>
      </c>
      <c r="L531" s="618" t="s">
        <v>908</v>
      </c>
      <c r="M531" s="600" t="s">
        <v>974</v>
      </c>
      <c r="N531" s="615">
        <f>SUM(U531:AF531)</f>
        <v>0</v>
      </c>
      <c r="O531" s="615">
        <f>SUM(AG531:AR531)</f>
        <v>0</v>
      </c>
      <c r="P531" s="615">
        <f>SUM(AS531:BD531)</f>
        <v>0</v>
      </c>
      <c r="Q531" s="615">
        <f>SUM(BE531:BP531)</f>
        <v>0</v>
      </c>
      <c r="R531" s="615">
        <f>SUM(BQ531:CB531)</f>
        <v>0</v>
      </c>
      <c r="S531" s="615">
        <f>SUM(CC531:CN531)</f>
        <v>0</v>
      </c>
      <c r="U531" s="616">
        <f>U518*N$419</f>
        <v>0</v>
      </c>
      <c r="V531" s="616">
        <f t="shared" ref="V531:AF531" si="274">V518*O$419</f>
        <v>0</v>
      </c>
      <c r="W531" s="616">
        <f t="shared" si="274"/>
        <v>0</v>
      </c>
      <c r="X531" s="616">
        <f t="shared" si="274"/>
        <v>0</v>
      </c>
      <c r="Y531" s="616">
        <f t="shared" si="274"/>
        <v>0</v>
      </c>
      <c r="Z531" s="616">
        <f t="shared" si="274"/>
        <v>0</v>
      </c>
      <c r="AA531" s="616">
        <f t="shared" si="274"/>
        <v>0</v>
      </c>
      <c r="AB531" s="616">
        <f t="shared" si="274"/>
        <v>0</v>
      </c>
      <c r="AC531" s="616">
        <f t="shared" si="274"/>
        <v>0</v>
      </c>
      <c r="AD531" s="616">
        <f t="shared" si="274"/>
        <v>0</v>
      </c>
      <c r="AE531" s="616">
        <f t="shared" si="274"/>
        <v>0</v>
      </c>
      <c r="AF531" s="616">
        <f t="shared" si="274"/>
        <v>0</v>
      </c>
      <c r="AG531" s="616">
        <f>AG518*N$419</f>
        <v>0</v>
      </c>
      <c r="AH531" s="616">
        <f t="shared" ref="AH531:AR531" si="275">AH518*O$419</f>
        <v>0</v>
      </c>
      <c r="AI531" s="616">
        <f t="shared" si="275"/>
        <v>0</v>
      </c>
      <c r="AJ531" s="616">
        <f t="shared" si="275"/>
        <v>0</v>
      </c>
      <c r="AK531" s="616">
        <f t="shared" si="275"/>
        <v>0</v>
      </c>
      <c r="AL531" s="616">
        <f t="shared" si="275"/>
        <v>0</v>
      </c>
      <c r="AM531" s="616">
        <f t="shared" si="275"/>
        <v>0</v>
      </c>
      <c r="AN531" s="616">
        <f t="shared" si="275"/>
        <v>0</v>
      </c>
      <c r="AO531" s="616">
        <f t="shared" si="275"/>
        <v>0</v>
      </c>
      <c r="AP531" s="616">
        <f t="shared" si="275"/>
        <v>0</v>
      </c>
      <c r="AQ531" s="616">
        <f t="shared" si="275"/>
        <v>0</v>
      </c>
      <c r="AR531" s="616">
        <f t="shared" si="275"/>
        <v>0</v>
      </c>
      <c r="AS531" s="616">
        <f>AS518*N$419</f>
        <v>0</v>
      </c>
      <c r="AT531" s="616">
        <f t="shared" ref="AT531:BD531" si="276">AT518*O$419</f>
        <v>0</v>
      </c>
      <c r="AU531" s="616">
        <f t="shared" si="276"/>
        <v>0</v>
      </c>
      <c r="AV531" s="616">
        <f t="shared" si="276"/>
        <v>0</v>
      </c>
      <c r="AW531" s="616">
        <f t="shared" si="276"/>
        <v>0</v>
      </c>
      <c r="AX531" s="616">
        <f t="shared" si="276"/>
        <v>0</v>
      </c>
      <c r="AY531" s="616">
        <f t="shared" si="276"/>
        <v>0</v>
      </c>
      <c r="AZ531" s="616">
        <f t="shared" si="276"/>
        <v>0</v>
      </c>
      <c r="BA531" s="616">
        <f t="shared" si="276"/>
        <v>0</v>
      </c>
      <c r="BB531" s="616">
        <f t="shared" si="276"/>
        <v>0</v>
      </c>
      <c r="BC531" s="616">
        <f t="shared" si="276"/>
        <v>0</v>
      </c>
      <c r="BD531" s="616">
        <f t="shared" si="276"/>
        <v>0</v>
      </c>
      <c r="BE531" s="616">
        <f>BE518*N$419</f>
        <v>0</v>
      </c>
      <c r="BF531" s="616">
        <f t="shared" ref="BF531:BP531" si="277">BF518*O$419</f>
        <v>0</v>
      </c>
      <c r="BG531" s="616">
        <f t="shared" si="277"/>
        <v>0</v>
      </c>
      <c r="BH531" s="616">
        <f t="shared" si="277"/>
        <v>0</v>
      </c>
      <c r="BI531" s="616">
        <f t="shared" si="277"/>
        <v>0</v>
      </c>
      <c r="BJ531" s="616">
        <f t="shared" si="277"/>
        <v>0</v>
      </c>
      <c r="BK531" s="616">
        <f t="shared" si="277"/>
        <v>0</v>
      </c>
      <c r="BL531" s="616">
        <f t="shared" si="277"/>
        <v>0</v>
      </c>
      <c r="BM531" s="616">
        <f t="shared" si="277"/>
        <v>0</v>
      </c>
      <c r="BN531" s="616">
        <f t="shared" si="277"/>
        <v>0</v>
      </c>
      <c r="BO531" s="616">
        <f t="shared" si="277"/>
        <v>0</v>
      </c>
      <c r="BP531" s="616">
        <f t="shared" si="277"/>
        <v>0</v>
      </c>
      <c r="BQ531" s="616">
        <f>BQ518*N$419</f>
        <v>0</v>
      </c>
      <c r="BR531" s="616">
        <f t="shared" ref="BR531:CB531" si="278">BR518*O$419</f>
        <v>0</v>
      </c>
      <c r="BS531" s="616">
        <f t="shared" si="278"/>
        <v>0</v>
      </c>
      <c r="BT531" s="616">
        <f t="shared" si="278"/>
        <v>0</v>
      </c>
      <c r="BU531" s="616">
        <f t="shared" si="278"/>
        <v>0</v>
      </c>
      <c r="BV531" s="616">
        <f t="shared" si="278"/>
        <v>0</v>
      </c>
      <c r="BW531" s="616">
        <f t="shared" si="278"/>
        <v>0</v>
      </c>
      <c r="BX531" s="616">
        <f t="shared" si="278"/>
        <v>0</v>
      </c>
      <c r="BY531" s="616">
        <f t="shared" si="278"/>
        <v>0</v>
      </c>
      <c r="BZ531" s="616">
        <f t="shared" si="278"/>
        <v>0</v>
      </c>
      <c r="CA531" s="616">
        <f t="shared" si="278"/>
        <v>0</v>
      </c>
      <c r="CB531" s="616">
        <f t="shared" si="278"/>
        <v>0</v>
      </c>
      <c r="CC531" s="616">
        <f>CC518*N$419</f>
        <v>0</v>
      </c>
      <c r="CD531" s="616">
        <f t="shared" ref="CD531:CN531" si="279">CD518*O$419</f>
        <v>0</v>
      </c>
      <c r="CE531" s="616">
        <f t="shared" si="279"/>
        <v>0</v>
      </c>
      <c r="CF531" s="616">
        <f t="shared" si="279"/>
        <v>0</v>
      </c>
      <c r="CG531" s="616">
        <f t="shared" si="279"/>
        <v>0</v>
      </c>
      <c r="CH531" s="616">
        <f t="shared" si="279"/>
        <v>0</v>
      </c>
      <c r="CI531" s="616">
        <f t="shared" si="279"/>
        <v>0</v>
      </c>
      <c r="CJ531" s="616">
        <f t="shared" si="279"/>
        <v>0</v>
      </c>
      <c r="CK531" s="616">
        <f t="shared" si="279"/>
        <v>0</v>
      </c>
      <c r="CL531" s="616">
        <f t="shared" si="279"/>
        <v>0</v>
      </c>
      <c r="CM531" s="616">
        <f t="shared" si="279"/>
        <v>0</v>
      </c>
      <c r="CN531" s="616">
        <f t="shared" si="279"/>
        <v>0</v>
      </c>
    </row>
    <row r="532" spans="8:92">
      <c r="H532" s="602" t="s">
        <v>940</v>
      </c>
      <c r="L532" s="618" t="s">
        <v>1304</v>
      </c>
      <c r="M532" s="600" t="s">
        <v>974</v>
      </c>
      <c r="N532" s="615">
        <f>SUM(U532:AF532)</f>
        <v>0</v>
      </c>
      <c r="O532" s="615">
        <f>SUM(AG532:AR532)</f>
        <v>0</v>
      </c>
      <c r="P532" s="615">
        <f>SUM(AS532:BD532)</f>
        <v>0</v>
      </c>
      <c r="Q532" s="615">
        <f>SUM(BE532:BP532)</f>
        <v>0</v>
      </c>
      <c r="R532" s="615">
        <f>SUM(BQ532:CB532)</f>
        <v>0</v>
      </c>
      <c r="S532" s="615">
        <f>SUM(CC532:CN532)</f>
        <v>0</v>
      </c>
      <c r="U532" s="616">
        <f>SUM(U525:U528,U530:U531)</f>
        <v>0</v>
      </c>
      <c r="V532" s="616">
        <f t="shared" ref="V532:CG532" si="280">SUM(V525:V528,V530:V531)</f>
        <v>0</v>
      </c>
      <c r="W532" s="616">
        <f t="shared" si="280"/>
        <v>0</v>
      </c>
      <c r="X532" s="616">
        <f t="shared" si="280"/>
        <v>0</v>
      </c>
      <c r="Y532" s="616">
        <f t="shared" si="280"/>
        <v>0</v>
      </c>
      <c r="Z532" s="616">
        <f t="shared" si="280"/>
        <v>0</v>
      </c>
      <c r="AA532" s="616">
        <f t="shared" si="280"/>
        <v>0</v>
      </c>
      <c r="AB532" s="616">
        <f t="shared" si="280"/>
        <v>0</v>
      </c>
      <c r="AC532" s="616">
        <f t="shared" si="280"/>
        <v>0</v>
      </c>
      <c r="AD532" s="616">
        <f t="shared" si="280"/>
        <v>0</v>
      </c>
      <c r="AE532" s="616">
        <f t="shared" si="280"/>
        <v>0</v>
      </c>
      <c r="AF532" s="616">
        <f t="shared" si="280"/>
        <v>0</v>
      </c>
      <c r="AG532" s="616">
        <f t="shared" si="280"/>
        <v>0</v>
      </c>
      <c r="AH532" s="616">
        <f t="shared" si="280"/>
        <v>0</v>
      </c>
      <c r="AI532" s="616">
        <f t="shared" si="280"/>
        <v>0</v>
      </c>
      <c r="AJ532" s="616">
        <f t="shared" si="280"/>
        <v>0</v>
      </c>
      <c r="AK532" s="616">
        <f t="shared" si="280"/>
        <v>0</v>
      </c>
      <c r="AL532" s="616">
        <f t="shared" si="280"/>
        <v>0</v>
      </c>
      <c r="AM532" s="616">
        <f t="shared" si="280"/>
        <v>0</v>
      </c>
      <c r="AN532" s="616">
        <f t="shared" si="280"/>
        <v>0</v>
      </c>
      <c r="AO532" s="616">
        <f t="shared" si="280"/>
        <v>0</v>
      </c>
      <c r="AP532" s="616">
        <f t="shared" si="280"/>
        <v>0</v>
      </c>
      <c r="AQ532" s="616">
        <f t="shared" si="280"/>
        <v>0</v>
      </c>
      <c r="AR532" s="616">
        <f t="shared" si="280"/>
        <v>0</v>
      </c>
      <c r="AS532" s="616">
        <f t="shared" si="280"/>
        <v>0</v>
      </c>
      <c r="AT532" s="616">
        <f t="shared" si="280"/>
        <v>0</v>
      </c>
      <c r="AU532" s="616">
        <f t="shared" si="280"/>
        <v>0</v>
      </c>
      <c r="AV532" s="616">
        <f t="shared" si="280"/>
        <v>0</v>
      </c>
      <c r="AW532" s="616">
        <f t="shared" si="280"/>
        <v>0</v>
      </c>
      <c r="AX532" s="616">
        <f t="shared" si="280"/>
        <v>0</v>
      </c>
      <c r="AY532" s="616">
        <f t="shared" si="280"/>
        <v>0</v>
      </c>
      <c r="AZ532" s="616">
        <f t="shared" si="280"/>
        <v>0</v>
      </c>
      <c r="BA532" s="616">
        <f t="shared" si="280"/>
        <v>0</v>
      </c>
      <c r="BB532" s="616">
        <f t="shared" si="280"/>
        <v>0</v>
      </c>
      <c r="BC532" s="616">
        <f t="shared" si="280"/>
        <v>0</v>
      </c>
      <c r="BD532" s="616">
        <f t="shared" si="280"/>
        <v>0</v>
      </c>
      <c r="BE532" s="616">
        <f t="shared" si="280"/>
        <v>0</v>
      </c>
      <c r="BF532" s="616">
        <f t="shared" si="280"/>
        <v>0</v>
      </c>
      <c r="BG532" s="616">
        <f t="shared" si="280"/>
        <v>0</v>
      </c>
      <c r="BH532" s="616">
        <f t="shared" si="280"/>
        <v>0</v>
      </c>
      <c r="BI532" s="616">
        <f t="shared" si="280"/>
        <v>0</v>
      </c>
      <c r="BJ532" s="616">
        <f t="shared" si="280"/>
        <v>0</v>
      </c>
      <c r="BK532" s="616">
        <f t="shared" si="280"/>
        <v>0</v>
      </c>
      <c r="BL532" s="616">
        <f t="shared" si="280"/>
        <v>0</v>
      </c>
      <c r="BM532" s="616">
        <f t="shared" si="280"/>
        <v>0</v>
      </c>
      <c r="BN532" s="616">
        <f t="shared" si="280"/>
        <v>0</v>
      </c>
      <c r="BO532" s="616">
        <f t="shared" si="280"/>
        <v>0</v>
      </c>
      <c r="BP532" s="616">
        <f t="shared" si="280"/>
        <v>0</v>
      </c>
      <c r="BQ532" s="616">
        <f t="shared" si="280"/>
        <v>0</v>
      </c>
      <c r="BR532" s="616">
        <f t="shared" si="280"/>
        <v>0</v>
      </c>
      <c r="BS532" s="616">
        <f t="shared" si="280"/>
        <v>0</v>
      </c>
      <c r="BT532" s="616">
        <f t="shared" si="280"/>
        <v>0</v>
      </c>
      <c r="BU532" s="616">
        <f t="shared" si="280"/>
        <v>0</v>
      </c>
      <c r="BV532" s="616">
        <f t="shared" si="280"/>
        <v>0</v>
      </c>
      <c r="BW532" s="616">
        <f t="shared" si="280"/>
        <v>0</v>
      </c>
      <c r="BX532" s="616">
        <f t="shared" si="280"/>
        <v>0</v>
      </c>
      <c r="BY532" s="616">
        <f t="shared" si="280"/>
        <v>0</v>
      </c>
      <c r="BZ532" s="616">
        <f t="shared" si="280"/>
        <v>0</v>
      </c>
      <c r="CA532" s="616">
        <f t="shared" si="280"/>
        <v>0</v>
      </c>
      <c r="CB532" s="616">
        <f t="shared" si="280"/>
        <v>0</v>
      </c>
      <c r="CC532" s="616">
        <f t="shared" si="280"/>
        <v>0</v>
      </c>
      <c r="CD532" s="616">
        <f t="shared" si="280"/>
        <v>0</v>
      </c>
      <c r="CE532" s="616">
        <f t="shared" si="280"/>
        <v>0</v>
      </c>
      <c r="CF532" s="616">
        <f t="shared" si="280"/>
        <v>0</v>
      </c>
      <c r="CG532" s="616">
        <f t="shared" si="280"/>
        <v>0</v>
      </c>
      <c r="CH532" s="616">
        <f t="shared" ref="CH532:CN532" si="281">SUM(CH525:CH528,CH530:CH531)</f>
        <v>0</v>
      </c>
      <c r="CI532" s="616">
        <f t="shared" si="281"/>
        <v>0</v>
      </c>
      <c r="CJ532" s="616">
        <f t="shared" si="281"/>
        <v>0</v>
      </c>
      <c r="CK532" s="616">
        <f t="shared" si="281"/>
        <v>0</v>
      </c>
      <c r="CL532" s="616">
        <f t="shared" si="281"/>
        <v>0</v>
      </c>
      <c r="CM532" s="616">
        <f t="shared" si="281"/>
        <v>0</v>
      </c>
      <c r="CN532" s="616">
        <f t="shared" si="281"/>
        <v>0</v>
      </c>
    </row>
    <row r="533" spans="8:92">
      <c r="H533" s="602" t="s">
        <v>940</v>
      </c>
      <c r="L533" s="618" t="s">
        <v>909</v>
      </c>
      <c r="M533" s="600" t="s">
        <v>974</v>
      </c>
      <c r="N533" s="615">
        <f>SUM(U533:AF533)</f>
        <v>0</v>
      </c>
      <c r="O533" s="615">
        <f>SUM(AG533:AR533)</f>
        <v>0</v>
      </c>
      <c r="P533" s="615">
        <f>SUM(AS533:BD533)</f>
        <v>0</v>
      </c>
      <c r="Q533" s="615">
        <f>SUM(BE533:BP533)</f>
        <v>0</v>
      </c>
      <c r="R533" s="615">
        <f>SUM(BQ533:CB533)</f>
        <v>0</v>
      </c>
      <c r="S533" s="615">
        <f>SUM(CC533:CN533)</f>
        <v>0</v>
      </c>
      <c r="U533" s="616">
        <f>U532*N$420/100</f>
        <v>0</v>
      </c>
      <c r="V533" s="616">
        <f t="shared" ref="V533:AF533" si="282">V532*O$420/100</f>
        <v>0</v>
      </c>
      <c r="W533" s="616">
        <f t="shared" si="282"/>
        <v>0</v>
      </c>
      <c r="X533" s="616">
        <f t="shared" si="282"/>
        <v>0</v>
      </c>
      <c r="Y533" s="616">
        <f t="shared" si="282"/>
        <v>0</v>
      </c>
      <c r="Z533" s="616">
        <f t="shared" si="282"/>
        <v>0</v>
      </c>
      <c r="AA533" s="616">
        <f t="shared" si="282"/>
        <v>0</v>
      </c>
      <c r="AB533" s="616">
        <f t="shared" si="282"/>
        <v>0</v>
      </c>
      <c r="AC533" s="616">
        <f t="shared" si="282"/>
        <v>0</v>
      </c>
      <c r="AD533" s="616">
        <f t="shared" si="282"/>
        <v>0</v>
      </c>
      <c r="AE533" s="616">
        <f t="shared" si="282"/>
        <v>0</v>
      </c>
      <c r="AF533" s="616">
        <f t="shared" si="282"/>
        <v>0</v>
      </c>
      <c r="AG533" s="616">
        <f>AG532*N$420/100</f>
        <v>0</v>
      </c>
      <c r="AH533" s="616">
        <f t="shared" ref="AH533:AR533" si="283">AH532*O$420/100</f>
        <v>0</v>
      </c>
      <c r="AI533" s="616">
        <f t="shared" si="283"/>
        <v>0</v>
      </c>
      <c r="AJ533" s="616">
        <f t="shared" si="283"/>
        <v>0</v>
      </c>
      <c r="AK533" s="616">
        <f t="shared" si="283"/>
        <v>0</v>
      </c>
      <c r="AL533" s="616">
        <f t="shared" si="283"/>
        <v>0</v>
      </c>
      <c r="AM533" s="616">
        <f t="shared" si="283"/>
        <v>0</v>
      </c>
      <c r="AN533" s="616">
        <f t="shared" si="283"/>
        <v>0</v>
      </c>
      <c r="AO533" s="616">
        <f t="shared" si="283"/>
        <v>0</v>
      </c>
      <c r="AP533" s="616">
        <f t="shared" si="283"/>
        <v>0</v>
      </c>
      <c r="AQ533" s="616">
        <f t="shared" si="283"/>
        <v>0</v>
      </c>
      <c r="AR533" s="616">
        <f t="shared" si="283"/>
        <v>0</v>
      </c>
      <c r="AS533" s="616">
        <f>AS532*N$420/100</f>
        <v>0</v>
      </c>
      <c r="AT533" s="616">
        <f t="shared" ref="AT533:BD533" si="284">AT532*O$420/100</f>
        <v>0</v>
      </c>
      <c r="AU533" s="616">
        <f t="shared" si="284"/>
        <v>0</v>
      </c>
      <c r="AV533" s="616">
        <f t="shared" si="284"/>
        <v>0</v>
      </c>
      <c r="AW533" s="616">
        <f t="shared" si="284"/>
        <v>0</v>
      </c>
      <c r="AX533" s="616">
        <f t="shared" si="284"/>
        <v>0</v>
      </c>
      <c r="AY533" s="616">
        <f t="shared" si="284"/>
        <v>0</v>
      </c>
      <c r="AZ533" s="616">
        <f t="shared" si="284"/>
        <v>0</v>
      </c>
      <c r="BA533" s="616">
        <f t="shared" si="284"/>
        <v>0</v>
      </c>
      <c r="BB533" s="616">
        <f t="shared" si="284"/>
        <v>0</v>
      </c>
      <c r="BC533" s="616">
        <f t="shared" si="284"/>
        <v>0</v>
      </c>
      <c r="BD533" s="616">
        <f t="shared" si="284"/>
        <v>0</v>
      </c>
      <c r="BE533" s="616">
        <f>BE532*N$420/100</f>
        <v>0</v>
      </c>
      <c r="BF533" s="616">
        <f t="shared" ref="BF533:BP533" si="285">BF532*O$420/100</f>
        <v>0</v>
      </c>
      <c r="BG533" s="616">
        <f t="shared" si="285"/>
        <v>0</v>
      </c>
      <c r="BH533" s="616">
        <f t="shared" si="285"/>
        <v>0</v>
      </c>
      <c r="BI533" s="616">
        <f t="shared" si="285"/>
        <v>0</v>
      </c>
      <c r="BJ533" s="616">
        <f t="shared" si="285"/>
        <v>0</v>
      </c>
      <c r="BK533" s="616">
        <f t="shared" si="285"/>
        <v>0</v>
      </c>
      <c r="BL533" s="616">
        <f t="shared" si="285"/>
        <v>0</v>
      </c>
      <c r="BM533" s="616">
        <f t="shared" si="285"/>
        <v>0</v>
      </c>
      <c r="BN533" s="616">
        <f t="shared" si="285"/>
        <v>0</v>
      </c>
      <c r="BO533" s="616">
        <f t="shared" si="285"/>
        <v>0</v>
      </c>
      <c r="BP533" s="616">
        <f t="shared" si="285"/>
        <v>0</v>
      </c>
      <c r="BQ533" s="616">
        <f>BQ532*N$420/100</f>
        <v>0</v>
      </c>
      <c r="BR533" s="616">
        <f t="shared" ref="BR533:CB533" si="286">BR532*O$420/100</f>
        <v>0</v>
      </c>
      <c r="BS533" s="616">
        <f t="shared" si="286"/>
        <v>0</v>
      </c>
      <c r="BT533" s="616">
        <f t="shared" si="286"/>
        <v>0</v>
      </c>
      <c r="BU533" s="616">
        <f t="shared" si="286"/>
        <v>0</v>
      </c>
      <c r="BV533" s="616">
        <f t="shared" si="286"/>
        <v>0</v>
      </c>
      <c r="BW533" s="616">
        <f t="shared" si="286"/>
        <v>0</v>
      </c>
      <c r="BX533" s="616">
        <f t="shared" si="286"/>
        <v>0</v>
      </c>
      <c r="BY533" s="616">
        <f t="shared" si="286"/>
        <v>0</v>
      </c>
      <c r="BZ533" s="616">
        <f t="shared" si="286"/>
        <v>0</v>
      </c>
      <c r="CA533" s="616">
        <f t="shared" si="286"/>
        <v>0</v>
      </c>
      <c r="CB533" s="616">
        <f t="shared" si="286"/>
        <v>0</v>
      </c>
      <c r="CC533" s="616">
        <f>CC532*N$420/100</f>
        <v>0</v>
      </c>
      <c r="CD533" s="616">
        <f t="shared" ref="CD533:CN533" si="287">CD532*O$420/100</f>
        <v>0</v>
      </c>
      <c r="CE533" s="616">
        <f t="shared" si="287"/>
        <v>0</v>
      </c>
      <c r="CF533" s="616">
        <f t="shared" si="287"/>
        <v>0</v>
      </c>
      <c r="CG533" s="616">
        <f t="shared" si="287"/>
        <v>0</v>
      </c>
      <c r="CH533" s="616">
        <f t="shared" si="287"/>
        <v>0</v>
      </c>
      <c r="CI533" s="616">
        <f t="shared" si="287"/>
        <v>0</v>
      </c>
      <c r="CJ533" s="616">
        <f t="shared" si="287"/>
        <v>0</v>
      </c>
      <c r="CK533" s="616">
        <f t="shared" si="287"/>
        <v>0</v>
      </c>
      <c r="CL533" s="616">
        <f t="shared" si="287"/>
        <v>0</v>
      </c>
      <c r="CM533" s="616">
        <f t="shared" si="287"/>
        <v>0</v>
      </c>
      <c r="CN533" s="616">
        <f t="shared" si="287"/>
        <v>0</v>
      </c>
    </row>
    <row r="534" spans="8:92">
      <c r="H534" s="602" t="s">
        <v>940</v>
      </c>
      <c r="L534" s="618"/>
      <c r="M534" s="600"/>
      <c r="N534" s="615"/>
      <c r="O534" s="615"/>
      <c r="P534" s="615"/>
      <c r="Q534" s="615"/>
      <c r="R534" s="615"/>
      <c r="S534" s="615"/>
      <c r="U534" s="616"/>
      <c r="V534" s="616"/>
      <c r="W534" s="616"/>
      <c r="X534" s="616"/>
      <c r="Y534" s="616"/>
      <c r="Z534" s="616"/>
      <c r="AA534" s="616"/>
      <c r="AB534" s="616"/>
      <c r="AC534" s="616"/>
      <c r="AD534" s="616"/>
      <c r="AE534" s="616"/>
      <c r="AF534" s="616"/>
      <c r="AG534" s="616"/>
      <c r="AH534" s="616"/>
      <c r="AI534" s="616"/>
      <c r="AJ534" s="616"/>
      <c r="AK534" s="616"/>
      <c r="AL534" s="616"/>
      <c r="AM534" s="616"/>
      <c r="AN534" s="616"/>
      <c r="AO534" s="616"/>
      <c r="AP534" s="616"/>
      <c r="AQ534" s="616"/>
      <c r="AR534" s="616"/>
      <c r="AS534" s="616"/>
      <c r="AT534" s="616"/>
      <c r="AU534" s="616"/>
      <c r="AV534" s="616"/>
      <c r="AW534" s="616"/>
      <c r="AX534" s="616"/>
      <c r="AY534" s="616"/>
      <c r="AZ534" s="616"/>
      <c r="BA534" s="616"/>
      <c r="BB534" s="616"/>
      <c r="BC534" s="616"/>
      <c r="BD534" s="616"/>
      <c r="BE534" s="616"/>
      <c r="BF534" s="616"/>
      <c r="BG534" s="616"/>
      <c r="BH534" s="616"/>
      <c r="BI534" s="616"/>
      <c r="BJ534" s="616"/>
      <c r="BK534" s="616"/>
      <c r="BL534" s="616"/>
      <c r="BM534" s="616"/>
      <c r="BN534" s="616"/>
      <c r="BO534" s="616"/>
      <c r="BP534" s="616"/>
      <c r="BQ534" s="616"/>
      <c r="BR534" s="616"/>
      <c r="BS534" s="616"/>
      <c r="BT534" s="616"/>
      <c r="BU534" s="616"/>
      <c r="BV534" s="616"/>
      <c r="BW534" s="616"/>
      <c r="BX534" s="616"/>
      <c r="BY534" s="616"/>
      <c r="BZ534" s="616"/>
      <c r="CA534" s="616"/>
      <c r="CB534" s="616"/>
      <c r="CC534" s="616"/>
      <c r="CD534" s="616"/>
      <c r="CE534" s="616"/>
      <c r="CF534" s="616"/>
      <c r="CG534" s="616"/>
      <c r="CH534" s="616"/>
      <c r="CI534" s="616"/>
      <c r="CJ534" s="616"/>
      <c r="CK534" s="616"/>
      <c r="CL534" s="616"/>
      <c r="CM534" s="616"/>
      <c r="CN534" s="616"/>
    </row>
    <row r="535" spans="8:92">
      <c r="H535" s="602" t="s">
        <v>940</v>
      </c>
      <c r="L535" s="618" t="s">
        <v>1305</v>
      </c>
      <c r="M535" s="600" t="s">
        <v>974</v>
      </c>
      <c r="N535" s="615">
        <f t="shared" si="212"/>
        <v>0</v>
      </c>
      <c r="O535" s="615">
        <f t="shared" si="213"/>
        <v>0</v>
      </c>
      <c r="P535" s="615">
        <f t="shared" si="214"/>
        <v>0</v>
      </c>
      <c r="Q535" s="615">
        <f t="shared" si="215"/>
        <v>0</v>
      </c>
      <c r="R535" s="615">
        <f t="shared" si="216"/>
        <v>0</v>
      </c>
      <c r="S535" s="615">
        <f t="shared" si="217"/>
        <v>0</v>
      </c>
      <c r="U535" s="616">
        <f>SUM(U532:U533)</f>
        <v>0</v>
      </c>
      <c r="V535" s="616">
        <f t="shared" ref="V535:CG535" si="288">SUM(V532:V533)</f>
        <v>0</v>
      </c>
      <c r="W535" s="616">
        <f t="shared" si="288"/>
        <v>0</v>
      </c>
      <c r="X535" s="616">
        <f t="shared" si="288"/>
        <v>0</v>
      </c>
      <c r="Y535" s="616">
        <f t="shared" si="288"/>
        <v>0</v>
      </c>
      <c r="Z535" s="616">
        <f t="shared" si="288"/>
        <v>0</v>
      </c>
      <c r="AA535" s="616">
        <f t="shared" si="288"/>
        <v>0</v>
      </c>
      <c r="AB535" s="616">
        <f t="shared" si="288"/>
        <v>0</v>
      </c>
      <c r="AC535" s="616">
        <f t="shared" si="288"/>
        <v>0</v>
      </c>
      <c r="AD535" s="616">
        <f t="shared" si="288"/>
        <v>0</v>
      </c>
      <c r="AE535" s="616">
        <f t="shared" si="288"/>
        <v>0</v>
      </c>
      <c r="AF535" s="616">
        <f t="shared" si="288"/>
        <v>0</v>
      </c>
      <c r="AG535" s="616">
        <f t="shared" si="288"/>
        <v>0</v>
      </c>
      <c r="AH535" s="616">
        <f t="shared" si="288"/>
        <v>0</v>
      </c>
      <c r="AI535" s="616">
        <f t="shared" si="288"/>
        <v>0</v>
      </c>
      <c r="AJ535" s="616">
        <f t="shared" si="288"/>
        <v>0</v>
      </c>
      <c r="AK535" s="616">
        <f t="shared" si="288"/>
        <v>0</v>
      </c>
      <c r="AL535" s="616">
        <f t="shared" si="288"/>
        <v>0</v>
      </c>
      <c r="AM535" s="616">
        <f t="shared" si="288"/>
        <v>0</v>
      </c>
      <c r="AN535" s="616">
        <f t="shared" si="288"/>
        <v>0</v>
      </c>
      <c r="AO535" s="616">
        <f t="shared" si="288"/>
        <v>0</v>
      </c>
      <c r="AP535" s="616">
        <f t="shared" si="288"/>
        <v>0</v>
      </c>
      <c r="AQ535" s="616">
        <f t="shared" si="288"/>
        <v>0</v>
      </c>
      <c r="AR535" s="616">
        <f t="shared" si="288"/>
        <v>0</v>
      </c>
      <c r="AS535" s="616">
        <f t="shared" si="288"/>
        <v>0</v>
      </c>
      <c r="AT535" s="616">
        <f t="shared" si="288"/>
        <v>0</v>
      </c>
      <c r="AU535" s="616">
        <f t="shared" si="288"/>
        <v>0</v>
      </c>
      <c r="AV535" s="616">
        <f t="shared" si="288"/>
        <v>0</v>
      </c>
      <c r="AW535" s="616">
        <f t="shared" si="288"/>
        <v>0</v>
      </c>
      <c r="AX535" s="616">
        <f t="shared" si="288"/>
        <v>0</v>
      </c>
      <c r="AY535" s="616">
        <f t="shared" si="288"/>
        <v>0</v>
      </c>
      <c r="AZ535" s="616">
        <f t="shared" si="288"/>
        <v>0</v>
      </c>
      <c r="BA535" s="616">
        <f t="shared" si="288"/>
        <v>0</v>
      </c>
      <c r="BB535" s="616">
        <f t="shared" si="288"/>
        <v>0</v>
      </c>
      <c r="BC535" s="616">
        <f t="shared" si="288"/>
        <v>0</v>
      </c>
      <c r="BD535" s="616">
        <f t="shared" si="288"/>
        <v>0</v>
      </c>
      <c r="BE535" s="616">
        <f t="shared" si="288"/>
        <v>0</v>
      </c>
      <c r="BF535" s="616">
        <f t="shared" si="288"/>
        <v>0</v>
      </c>
      <c r="BG535" s="616">
        <f t="shared" si="288"/>
        <v>0</v>
      </c>
      <c r="BH535" s="616">
        <f t="shared" si="288"/>
        <v>0</v>
      </c>
      <c r="BI535" s="616">
        <f t="shared" si="288"/>
        <v>0</v>
      </c>
      <c r="BJ535" s="616">
        <f t="shared" si="288"/>
        <v>0</v>
      </c>
      <c r="BK535" s="616">
        <f t="shared" si="288"/>
        <v>0</v>
      </c>
      <c r="BL535" s="616">
        <f t="shared" si="288"/>
        <v>0</v>
      </c>
      <c r="BM535" s="616">
        <f t="shared" si="288"/>
        <v>0</v>
      </c>
      <c r="BN535" s="616">
        <f t="shared" si="288"/>
        <v>0</v>
      </c>
      <c r="BO535" s="616">
        <f t="shared" si="288"/>
        <v>0</v>
      </c>
      <c r="BP535" s="616">
        <f t="shared" si="288"/>
        <v>0</v>
      </c>
      <c r="BQ535" s="616">
        <f t="shared" si="288"/>
        <v>0</v>
      </c>
      <c r="BR535" s="616">
        <f t="shared" si="288"/>
        <v>0</v>
      </c>
      <c r="BS535" s="616">
        <f t="shared" si="288"/>
        <v>0</v>
      </c>
      <c r="BT535" s="616">
        <f t="shared" si="288"/>
        <v>0</v>
      </c>
      <c r="BU535" s="616">
        <f t="shared" si="288"/>
        <v>0</v>
      </c>
      <c r="BV535" s="616">
        <f t="shared" si="288"/>
        <v>0</v>
      </c>
      <c r="BW535" s="616">
        <f t="shared" si="288"/>
        <v>0</v>
      </c>
      <c r="BX535" s="616">
        <f t="shared" si="288"/>
        <v>0</v>
      </c>
      <c r="BY535" s="616">
        <f t="shared" si="288"/>
        <v>0</v>
      </c>
      <c r="BZ535" s="616">
        <f t="shared" si="288"/>
        <v>0</v>
      </c>
      <c r="CA535" s="616">
        <f t="shared" si="288"/>
        <v>0</v>
      </c>
      <c r="CB535" s="616">
        <f t="shared" si="288"/>
        <v>0</v>
      </c>
      <c r="CC535" s="616">
        <f t="shared" si="288"/>
        <v>0</v>
      </c>
      <c r="CD535" s="616">
        <f t="shared" si="288"/>
        <v>0</v>
      </c>
      <c r="CE535" s="616">
        <f t="shared" si="288"/>
        <v>0</v>
      </c>
      <c r="CF535" s="616">
        <f t="shared" si="288"/>
        <v>0</v>
      </c>
      <c r="CG535" s="616">
        <f t="shared" si="288"/>
        <v>0</v>
      </c>
      <c r="CH535" s="616">
        <f t="shared" ref="CH535:CN535" si="289">SUM(CH532:CH533)</f>
        <v>0</v>
      </c>
      <c r="CI535" s="616">
        <f t="shared" si="289"/>
        <v>0</v>
      </c>
      <c r="CJ535" s="616">
        <f t="shared" si="289"/>
        <v>0</v>
      </c>
      <c r="CK535" s="616">
        <f t="shared" si="289"/>
        <v>0</v>
      </c>
      <c r="CL535" s="616">
        <f t="shared" si="289"/>
        <v>0</v>
      </c>
      <c r="CM535" s="616">
        <f t="shared" si="289"/>
        <v>0</v>
      </c>
      <c r="CN535" s="616">
        <f t="shared" si="289"/>
        <v>0</v>
      </c>
    </row>
    <row r="536" spans="8:92" ht="13.5" thickBot="1">
      <c r="H536" s="602" t="s">
        <v>940</v>
      </c>
    </row>
    <row r="537" spans="8:92" ht="13.5" thickTop="1">
      <c r="H537" s="602" t="s">
        <v>940</v>
      </c>
      <c r="L537" s="757" t="s">
        <v>1306</v>
      </c>
      <c r="M537" s="758"/>
      <c r="N537" s="758"/>
      <c r="O537" s="758"/>
      <c r="P537" s="758"/>
      <c r="Q537" s="758"/>
      <c r="R537" s="758"/>
      <c r="S537" s="758"/>
      <c r="T537" s="758"/>
      <c r="U537" s="758"/>
      <c r="V537" s="758"/>
      <c r="W537" s="758"/>
      <c r="X537" s="758"/>
      <c r="Y537" s="758"/>
      <c r="Z537" s="758"/>
      <c r="AA537" s="758"/>
      <c r="AB537" s="758"/>
      <c r="AC537" s="758"/>
      <c r="AD537" s="758"/>
      <c r="AE537" s="758"/>
      <c r="AF537" s="758"/>
      <c r="AG537" s="758"/>
      <c r="AH537" s="758"/>
      <c r="AI537" s="758"/>
      <c r="AJ537" s="758"/>
      <c r="AK537" s="758"/>
      <c r="AL537" s="758"/>
      <c r="AM537" s="758"/>
      <c r="AN537" s="758"/>
      <c r="AO537" s="758"/>
      <c r="AP537" s="758"/>
      <c r="AQ537" s="758"/>
      <c r="AR537" s="758"/>
      <c r="AS537" s="758"/>
      <c r="AT537" s="758"/>
      <c r="AU537" s="758"/>
      <c r="AV537" s="758"/>
      <c r="AW537" s="758"/>
      <c r="AX537" s="758"/>
      <c r="AY537" s="758"/>
      <c r="AZ537" s="758"/>
      <c r="BA537" s="758"/>
      <c r="BB537" s="758"/>
      <c r="BC537" s="758"/>
      <c r="BD537" s="758"/>
      <c r="BE537" s="758"/>
      <c r="BF537" s="758"/>
      <c r="BG537" s="758"/>
      <c r="BH537" s="758"/>
      <c r="BI537" s="758"/>
      <c r="BJ537" s="758"/>
      <c r="BK537" s="758"/>
      <c r="BL537" s="758"/>
      <c r="BM537" s="758"/>
      <c r="BN537" s="758"/>
      <c r="BO537" s="758"/>
      <c r="BP537" s="758"/>
      <c r="BQ537" s="758"/>
      <c r="BR537" s="758"/>
      <c r="BS537" s="758"/>
      <c r="BT537" s="758"/>
      <c r="BU537" s="758"/>
      <c r="BV537" s="758"/>
      <c r="BW537" s="758"/>
      <c r="BX537" s="758"/>
      <c r="BY537" s="758"/>
      <c r="BZ537" s="758"/>
      <c r="CA537" s="758"/>
      <c r="CB537" s="758"/>
      <c r="CC537" s="758"/>
      <c r="CD537" s="758"/>
      <c r="CE537" s="758"/>
      <c r="CF537" s="758"/>
      <c r="CG537" s="758"/>
      <c r="CH537" s="758"/>
      <c r="CI537" s="758"/>
      <c r="CJ537" s="758"/>
      <c r="CK537" s="758"/>
      <c r="CL537" s="758"/>
      <c r="CM537" s="758"/>
      <c r="CN537" s="758"/>
    </row>
    <row r="538" spans="8:92">
      <c r="H538" s="602" t="s">
        <v>940</v>
      </c>
      <c r="L538" s="609"/>
      <c r="M538" s="609" t="s">
        <v>359</v>
      </c>
      <c r="N538" s="704" t="s">
        <v>929</v>
      </c>
      <c r="O538" s="704" t="s">
        <v>1193</v>
      </c>
      <c r="P538" s="704" t="s">
        <v>1194</v>
      </c>
      <c r="Q538" s="704" t="s">
        <v>1195</v>
      </c>
      <c r="R538" s="704" t="s">
        <v>1196</v>
      </c>
      <c r="S538" s="704" t="s">
        <v>1197</v>
      </c>
      <c r="T538" s="753"/>
      <c r="U538" s="692" t="s">
        <v>929</v>
      </c>
      <c r="AF538" s="753"/>
      <c r="AG538" s="704" t="s">
        <v>1193</v>
      </c>
      <c r="AR538" s="753"/>
      <c r="AS538" s="704" t="s">
        <v>1194</v>
      </c>
      <c r="BD538" s="753"/>
      <c r="BE538" s="704" t="s">
        <v>1195</v>
      </c>
      <c r="BP538" s="753"/>
      <c r="BQ538" s="704" t="s">
        <v>1196</v>
      </c>
      <c r="CB538" s="753"/>
      <c r="CC538" s="704" t="s">
        <v>1197</v>
      </c>
    </row>
    <row r="539" spans="8:92">
      <c r="H539" s="602" t="s">
        <v>940</v>
      </c>
      <c r="L539" s="611"/>
      <c r="M539" s="611"/>
      <c r="N539" s="754" t="s">
        <v>405</v>
      </c>
      <c r="O539" s="754" t="s">
        <v>405</v>
      </c>
      <c r="P539" s="754" t="s">
        <v>405</v>
      </c>
      <c r="Q539" s="754" t="s">
        <v>405</v>
      </c>
      <c r="R539" s="754" t="s">
        <v>405</v>
      </c>
      <c r="S539" s="754" t="s">
        <v>405</v>
      </c>
      <c r="T539" s="755"/>
      <c r="U539" s="754" t="s">
        <v>1259</v>
      </c>
      <c r="V539" s="754" t="s">
        <v>1260</v>
      </c>
      <c r="W539" s="754" t="s">
        <v>1261</v>
      </c>
      <c r="X539" s="754" t="s">
        <v>1262</v>
      </c>
      <c r="Y539" s="754" t="s">
        <v>947</v>
      </c>
      <c r="Z539" s="754" t="s">
        <v>1263</v>
      </c>
      <c r="AA539" s="754" t="s">
        <v>1264</v>
      </c>
      <c r="AB539" s="754" t="s">
        <v>1265</v>
      </c>
      <c r="AC539" s="754" t="s">
        <v>1266</v>
      </c>
      <c r="AD539" s="754" t="s">
        <v>1267</v>
      </c>
      <c r="AE539" s="754" t="s">
        <v>1268</v>
      </c>
      <c r="AF539" s="756" t="s">
        <v>1269</v>
      </c>
      <c r="AG539" s="754" t="s">
        <v>1259</v>
      </c>
      <c r="AH539" s="754" t="s">
        <v>1260</v>
      </c>
      <c r="AI539" s="754" t="s">
        <v>1261</v>
      </c>
      <c r="AJ539" s="754" t="s">
        <v>1262</v>
      </c>
      <c r="AK539" s="754" t="s">
        <v>947</v>
      </c>
      <c r="AL539" s="754" t="s">
        <v>1263</v>
      </c>
      <c r="AM539" s="754" t="s">
        <v>1264</v>
      </c>
      <c r="AN539" s="754" t="s">
        <v>1265</v>
      </c>
      <c r="AO539" s="754" t="s">
        <v>1266</v>
      </c>
      <c r="AP539" s="754" t="s">
        <v>1267</v>
      </c>
      <c r="AQ539" s="754" t="s">
        <v>1268</v>
      </c>
      <c r="AR539" s="756" t="s">
        <v>1269</v>
      </c>
      <c r="AS539" s="754" t="s">
        <v>1259</v>
      </c>
      <c r="AT539" s="754" t="s">
        <v>1260</v>
      </c>
      <c r="AU539" s="754" t="s">
        <v>1261</v>
      </c>
      <c r="AV539" s="754" t="s">
        <v>1262</v>
      </c>
      <c r="AW539" s="754" t="s">
        <v>947</v>
      </c>
      <c r="AX539" s="754" t="s">
        <v>1263</v>
      </c>
      <c r="AY539" s="754" t="s">
        <v>1264</v>
      </c>
      <c r="AZ539" s="754" t="s">
        <v>1265</v>
      </c>
      <c r="BA539" s="754" t="s">
        <v>1266</v>
      </c>
      <c r="BB539" s="754" t="s">
        <v>1267</v>
      </c>
      <c r="BC539" s="754" t="s">
        <v>1268</v>
      </c>
      <c r="BD539" s="756" t="s">
        <v>1269</v>
      </c>
      <c r="BE539" s="754" t="s">
        <v>1259</v>
      </c>
      <c r="BF539" s="754" t="s">
        <v>1260</v>
      </c>
      <c r="BG539" s="754" t="s">
        <v>1261</v>
      </c>
      <c r="BH539" s="754" t="s">
        <v>1262</v>
      </c>
      <c r="BI539" s="754" t="s">
        <v>947</v>
      </c>
      <c r="BJ539" s="754" t="s">
        <v>1263</v>
      </c>
      <c r="BK539" s="754" t="s">
        <v>1264</v>
      </c>
      <c r="BL539" s="754" t="s">
        <v>1265</v>
      </c>
      <c r="BM539" s="754" t="s">
        <v>1266</v>
      </c>
      <c r="BN539" s="754" t="s">
        <v>1267</v>
      </c>
      <c r="BO539" s="754" t="s">
        <v>1268</v>
      </c>
      <c r="BP539" s="756" t="s">
        <v>1269</v>
      </c>
      <c r="BQ539" s="754" t="s">
        <v>1259</v>
      </c>
      <c r="BR539" s="754" t="s">
        <v>1260</v>
      </c>
      <c r="BS539" s="754" t="s">
        <v>1261</v>
      </c>
      <c r="BT539" s="754" t="s">
        <v>1262</v>
      </c>
      <c r="BU539" s="754" t="s">
        <v>947</v>
      </c>
      <c r="BV539" s="754" t="s">
        <v>1263</v>
      </c>
      <c r="BW539" s="754" t="s">
        <v>1264</v>
      </c>
      <c r="BX539" s="754" t="s">
        <v>1265</v>
      </c>
      <c r="BY539" s="754" t="s">
        <v>1266</v>
      </c>
      <c r="BZ539" s="754" t="s">
        <v>1267</v>
      </c>
      <c r="CA539" s="754" t="s">
        <v>1268</v>
      </c>
      <c r="CB539" s="756" t="s">
        <v>1269</v>
      </c>
      <c r="CC539" s="754" t="s">
        <v>1259</v>
      </c>
      <c r="CD539" s="754" t="s">
        <v>1260</v>
      </c>
      <c r="CE539" s="754" t="s">
        <v>1261</v>
      </c>
      <c r="CF539" s="754" t="s">
        <v>1262</v>
      </c>
      <c r="CG539" s="754" t="s">
        <v>947</v>
      </c>
      <c r="CH539" s="754" t="s">
        <v>1263</v>
      </c>
      <c r="CI539" s="754" t="s">
        <v>1264</v>
      </c>
      <c r="CJ539" s="754" t="s">
        <v>1265</v>
      </c>
      <c r="CK539" s="754" t="s">
        <v>1266</v>
      </c>
      <c r="CL539" s="754" t="s">
        <v>1267</v>
      </c>
      <c r="CM539" s="754" t="s">
        <v>1268</v>
      </c>
      <c r="CN539" s="754" t="s">
        <v>1269</v>
      </c>
    </row>
    <row r="540" spans="8:92">
      <c r="H540" s="602" t="s">
        <v>940</v>
      </c>
      <c r="L540" s="609"/>
    </row>
    <row r="541" spans="8:92">
      <c r="H541" s="602" t="s">
        <v>940</v>
      </c>
      <c r="L541" s="618" t="s">
        <v>1290</v>
      </c>
      <c r="M541" s="600" t="s">
        <v>898</v>
      </c>
      <c r="N541" s="615">
        <f>SUM(U541:AF541)</f>
        <v>3213.2888953999422</v>
      </c>
      <c r="O541" s="615">
        <f>SUM(AG541:AR541)</f>
        <v>3780.3398769411083</v>
      </c>
      <c r="P541" s="615">
        <f>SUM(AS541:BD541)</f>
        <v>5291.7521242308831</v>
      </c>
      <c r="Q541" s="615">
        <f>SUM(BE541:BP541)</f>
        <v>6803.1643715206583</v>
      </c>
      <c r="R541" s="615">
        <f>SUM(BQ541:CB541)</f>
        <v>8314.5766188104317</v>
      </c>
      <c r="S541" s="615">
        <f>SUM(CC541:CN541)</f>
        <v>9825.988866100206</v>
      </c>
      <c r="U541" s="615">
        <f>U488</f>
        <v>267.77407461666178</v>
      </c>
      <c r="V541" s="615">
        <f t="shared" ref="V541:CG541" si="290">V488</f>
        <v>267.77407461666178</v>
      </c>
      <c r="W541" s="615">
        <f t="shared" si="290"/>
        <v>267.77407461666178</v>
      </c>
      <c r="X541" s="615">
        <f t="shared" si="290"/>
        <v>267.77407461666178</v>
      </c>
      <c r="Y541" s="615">
        <f t="shared" si="290"/>
        <v>267.77407461666178</v>
      </c>
      <c r="Z541" s="615">
        <f t="shared" si="290"/>
        <v>267.77407461666178</v>
      </c>
      <c r="AA541" s="615">
        <f t="shared" si="290"/>
        <v>267.77407461666178</v>
      </c>
      <c r="AB541" s="615">
        <f t="shared" si="290"/>
        <v>267.77407461666178</v>
      </c>
      <c r="AC541" s="615">
        <f t="shared" si="290"/>
        <v>267.77407461666178</v>
      </c>
      <c r="AD541" s="615">
        <f t="shared" si="290"/>
        <v>267.77407461666178</v>
      </c>
      <c r="AE541" s="615">
        <f t="shared" si="290"/>
        <v>267.77407461666178</v>
      </c>
      <c r="AF541" s="615">
        <f t="shared" si="290"/>
        <v>267.77407461666178</v>
      </c>
      <c r="AG541" s="615">
        <f t="shared" si="290"/>
        <v>315.02832307842567</v>
      </c>
      <c r="AH541" s="615">
        <f t="shared" si="290"/>
        <v>315.02832307842567</v>
      </c>
      <c r="AI541" s="615">
        <f t="shared" si="290"/>
        <v>315.02832307842567</v>
      </c>
      <c r="AJ541" s="615">
        <f t="shared" si="290"/>
        <v>315.02832307842567</v>
      </c>
      <c r="AK541" s="615">
        <f t="shared" si="290"/>
        <v>315.02832307842567</v>
      </c>
      <c r="AL541" s="615">
        <f t="shared" si="290"/>
        <v>315.02832307842567</v>
      </c>
      <c r="AM541" s="615">
        <f t="shared" si="290"/>
        <v>315.02832307842567</v>
      </c>
      <c r="AN541" s="615">
        <f t="shared" si="290"/>
        <v>315.02832307842567</v>
      </c>
      <c r="AO541" s="615">
        <f t="shared" si="290"/>
        <v>315.02832307842567</v>
      </c>
      <c r="AP541" s="615">
        <f t="shared" si="290"/>
        <v>315.02832307842567</v>
      </c>
      <c r="AQ541" s="615">
        <f t="shared" si="290"/>
        <v>315.02832307842567</v>
      </c>
      <c r="AR541" s="615">
        <f t="shared" si="290"/>
        <v>315.02832307842567</v>
      </c>
      <c r="AS541" s="615">
        <f t="shared" si="290"/>
        <v>440.97934368590688</v>
      </c>
      <c r="AT541" s="615">
        <f t="shared" si="290"/>
        <v>440.97934368590688</v>
      </c>
      <c r="AU541" s="615">
        <f t="shared" si="290"/>
        <v>440.97934368590688</v>
      </c>
      <c r="AV541" s="615">
        <f t="shared" si="290"/>
        <v>440.97934368590688</v>
      </c>
      <c r="AW541" s="615">
        <f t="shared" si="290"/>
        <v>440.97934368590688</v>
      </c>
      <c r="AX541" s="615">
        <f t="shared" si="290"/>
        <v>440.97934368590688</v>
      </c>
      <c r="AY541" s="615">
        <f t="shared" si="290"/>
        <v>440.97934368590688</v>
      </c>
      <c r="AZ541" s="615">
        <f t="shared" si="290"/>
        <v>440.97934368590688</v>
      </c>
      <c r="BA541" s="615">
        <f t="shared" si="290"/>
        <v>440.97934368590688</v>
      </c>
      <c r="BB541" s="615">
        <f t="shared" si="290"/>
        <v>440.97934368590688</v>
      </c>
      <c r="BC541" s="615">
        <f t="shared" si="290"/>
        <v>440.97934368590688</v>
      </c>
      <c r="BD541" s="615">
        <f t="shared" si="290"/>
        <v>440.97934368590688</v>
      </c>
      <c r="BE541" s="615">
        <f t="shared" si="290"/>
        <v>566.93036429338804</v>
      </c>
      <c r="BF541" s="615">
        <f t="shared" si="290"/>
        <v>566.93036429338804</v>
      </c>
      <c r="BG541" s="615">
        <f t="shared" si="290"/>
        <v>566.93036429338804</v>
      </c>
      <c r="BH541" s="615">
        <f t="shared" si="290"/>
        <v>566.93036429338804</v>
      </c>
      <c r="BI541" s="615">
        <f t="shared" si="290"/>
        <v>566.93036429338804</v>
      </c>
      <c r="BJ541" s="615">
        <f t="shared" si="290"/>
        <v>566.93036429338804</v>
      </c>
      <c r="BK541" s="615">
        <f t="shared" si="290"/>
        <v>566.93036429338804</v>
      </c>
      <c r="BL541" s="615">
        <f t="shared" si="290"/>
        <v>566.93036429338804</v>
      </c>
      <c r="BM541" s="615">
        <f t="shared" si="290"/>
        <v>566.93036429338804</v>
      </c>
      <c r="BN541" s="615">
        <f t="shared" si="290"/>
        <v>566.93036429338804</v>
      </c>
      <c r="BO541" s="615">
        <f t="shared" si="290"/>
        <v>566.93036429338804</v>
      </c>
      <c r="BP541" s="615">
        <f t="shared" si="290"/>
        <v>566.93036429338804</v>
      </c>
      <c r="BQ541" s="615">
        <f t="shared" si="290"/>
        <v>692.88138490086931</v>
      </c>
      <c r="BR541" s="615">
        <f t="shared" si="290"/>
        <v>692.88138490086931</v>
      </c>
      <c r="BS541" s="615">
        <f t="shared" si="290"/>
        <v>692.88138490086931</v>
      </c>
      <c r="BT541" s="615">
        <f t="shared" si="290"/>
        <v>692.88138490086931</v>
      </c>
      <c r="BU541" s="615">
        <f t="shared" si="290"/>
        <v>692.88138490086931</v>
      </c>
      <c r="BV541" s="615">
        <f t="shared" si="290"/>
        <v>692.88138490086931</v>
      </c>
      <c r="BW541" s="615">
        <f t="shared" si="290"/>
        <v>692.88138490086931</v>
      </c>
      <c r="BX541" s="615">
        <f t="shared" si="290"/>
        <v>692.88138490086931</v>
      </c>
      <c r="BY541" s="615">
        <f t="shared" si="290"/>
        <v>692.88138490086931</v>
      </c>
      <c r="BZ541" s="615">
        <f t="shared" si="290"/>
        <v>692.88138490086931</v>
      </c>
      <c r="CA541" s="615">
        <f t="shared" si="290"/>
        <v>692.88138490086931</v>
      </c>
      <c r="CB541" s="615">
        <f t="shared" si="290"/>
        <v>692.88138490086931</v>
      </c>
      <c r="CC541" s="615">
        <f t="shared" si="290"/>
        <v>818.83240550835046</v>
      </c>
      <c r="CD541" s="615">
        <f t="shared" si="290"/>
        <v>818.83240550835046</v>
      </c>
      <c r="CE541" s="615">
        <f t="shared" si="290"/>
        <v>818.83240550835046</v>
      </c>
      <c r="CF541" s="615">
        <f t="shared" si="290"/>
        <v>818.83240550835046</v>
      </c>
      <c r="CG541" s="615">
        <f t="shared" si="290"/>
        <v>818.83240550835046</v>
      </c>
      <c r="CH541" s="615">
        <f t="shared" ref="CH541:CN541" si="291">CH488</f>
        <v>818.83240550835046</v>
      </c>
      <c r="CI541" s="615">
        <f t="shared" si="291"/>
        <v>818.83240550835046</v>
      </c>
      <c r="CJ541" s="615">
        <f t="shared" si="291"/>
        <v>818.83240550835046</v>
      </c>
      <c r="CK541" s="615">
        <f t="shared" si="291"/>
        <v>818.83240550835046</v>
      </c>
      <c r="CL541" s="615">
        <f t="shared" si="291"/>
        <v>818.83240550835046</v>
      </c>
      <c r="CM541" s="615">
        <f t="shared" si="291"/>
        <v>818.83240550835046</v>
      </c>
      <c r="CN541" s="615">
        <f t="shared" si="291"/>
        <v>818.83240550835046</v>
      </c>
    </row>
    <row r="542" spans="8:92">
      <c r="H542" s="602" t="s">
        <v>940</v>
      </c>
      <c r="L542" s="609"/>
      <c r="N542" s="615"/>
      <c r="O542" s="615"/>
      <c r="P542" s="615"/>
      <c r="Q542" s="615"/>
      <c r="R542" s="615"/>
      <c r="S542" s="615"/>
    </row>
    <row r="543" spans="8:92">
      <c r="H543" s="602" t="s">
        <v>940</v>
      </c>
      <c r="L543" s="618" t="s">
        <v>1296</v>
      </c>
      <c r="M543" s="600" t="s">
        <v>898</v>
      </c>
      <c r="N543" s="615">
        <f>SUM(U543:AF543)</f>
        <v>3213.2888953999422</v>
      </c>
      <c r="O543" s="615">
        <f>SUM(AG543:AR543)</f>
        <v>3780.3398769411083</v>
      </c>
      <c r="P543" s="615">
        <f>SUM(AS543:BD543)</f>
        <v>5291.7521242308831</v>
      </c>
      <c r="Q543" s="615">
        <f>SUM(BE543:BP543)</f>
        <v>6803.1643715206583</v>
      </c>
      <c r="R543" s="615">
        <f>SUM(BQ543:CB543)</f>
        <v>8314.5766188104317</v>
      </c>
      <c r="S543" s="615">
        <f>SUM(CC543:CN543)</f>
        <v>9825.988866100206</v>
      </c>
      <c r="U543" s="615">
        <f t="shared" ref="U543:AF543" si="292">MIN(U541,N$422)</f>
        <v>267.77407461666178</v>
      </c>
      <c r="V543" s="615">
        <f t="shared" si="292"/>
        <v>267.77407461666178</v>
      </c>
      <c r="W543" s="615">
        <f t="shared" si="292"/>
        <v>267.77407461666178</v>
      </c>
      <c r="X543" s="615">
        <f t="shared" si="292"/>
        <v>267.77407461666178</v>
      </c>
      <c r="Y543" s="615">
        <f t="shared" si="292"/>
        <v>267.77407461666178</v>
      </c>
      <c r="Z543" s="615">
        <f t="shared" si="292"/>
        <v>267.77407461666178</v>
      </c>
      <c r="AA543" s="615">
        <f t="shared" si="292"/>
        <v>267.77407461666178</v>
      </c>
      <c r="AB543" s="615">
        <f t="shared" si="292"/>
        <v>267.77407461666178</v>
      </c>
      <c r="AC543" s="615">
        <f t="shared" si="292"/>
        <v>267.77407461666178</v>
      </c>
      <c r="AD543" s="615">
        <f t="shared" si="292"/>
        <v>267.77407461666178</v>
      </c>
      <c r="AE543" s="615">
        <f t="shared" si="292"/>
        <v>267.77407461666178</v>
      </c>
      <c r="AF543" s="615">
        <f t="shared" si="292"/>
        <v>267.77407461666178</v>
      </c>
      <c r="AG543" s="615">
        <f t="shared" ref="AG543:AR543" si="293">MIN(AG541,N$422)</f>
        <v>315.02832307842567</v>
      </c>
      <c r="AH543" s="615">
        <f t="shared" si="293"/>
        <v>315.02832307842567</v>
      </c>
      <c r="AI543" s="615">
        <f t="shared" si="293"/>
        <v>315.02832307842567</v>
      </c>
      <c r="AJ543" s="615">
        <f t="shared" si="293"/>
        <v>315.02832307842567</v>
      </c>
      <c r="AK543" s="615">
        <f t="shared" si="293"/>
        <v>315.02832307842567</v>
      </c>
      <c r="AL543" s="615">
        <f t="shared" si="293"/>
        <v>315.02832307842567</v>
      </c>
      <c r="AM543" s="615">
        <f t="shared" si="293"/>
        <v>315.02832307842567</v>
      </c>
      <c r="AN543" s="615">
        <f t="shared" si="293"/>
        <v>315.02832307842567</v>
      </c>
      <c r="AO543" s="615">
        <f t="shared" si="293"/>
        <v>315.02832307842567</v>
      </c>
      <c r="AP543" s="615">
        <f t="shared" si="293"/>
        <v>315.02832307842567</v>
      </c>
      <c r="AQ543" s="615">
        <f t="shared" si="293"/>
        <v>315.02832307842567</v>
      </c>
      <c r="AR543" s="615">
        <f t="shared" si="293"/>
        <v>315.02832307842567</v>
      </c>
      <c r="AS543" s="615">
        <f t="shared" ref="AS543:BD543" si="294">MIN(AS541,N$422)</f>
        <v>440.97934368590688</v>
      </c>
      <c r="AT543" s="615">
        <f t="shared" si="294"/>
        <v>440.97934368590688</v>
      </c>
      <c r="AU543" s="615">
        <f t="shared" si="294"/>
        <v>440.97934368590688</v>
      </c>
      <c r="AV543" s="615">
        <f t="shared" si="294"/>
        <v>440.97934368590688</v>
      </c>
      <c r="AW543" s="615">
        <f t="shared" si="294"/>
        <v>440.97934368590688</v>
      </c>
      <c r="AX543" s="615">
        <f t="shared" si="294"/>
        <v>440.97934368590688</v>
      </c>
      <c r="AY543" s="615">
        <f t="shared" si="294"/>
        <v>440.97934368590688</v>
      </c>
      <c r="AZ543" s="615">
        <f t="shared" si="294"/>
        <v>440.97934368590688</v>
      </c>
      <c r="BA543" s="615">
        <f t="shared" si="294"/>
        <v>440.97934368590688</v>
      </c>
      <c r="BB543" s="615">
        <f t="shared" si="294"/>
        <v>440.97934368590688</v>
      </c>
      <c r="BC543" s="615">
        <f t="shared" si="294"/>
        <v>440.97934368590688</v>
      </c>
      <c r="BD543" s="615">
        <f t="shared" si="294"/>
        <v>440.97934368590688</v>
      </c>
      <c r="BE543" s="615">
        <f t="shared" ref="BE543:BP543" si="295">MIN(BE541,N$422)</f>
        <v>566.93036429338804</v>
      </c>
      <c r="BF543" s="615">
        <f t="shared" si="295"/>
        <v>566.93036429338804</v>
      </c>
      <c r="BG543" s="615">
        <f t="shared" si="295"/>
        <v>566.93036429338804</v>
      </c>
      <c r="BH543" s="615">
        <f t="shared" si="295"/>
        <v>566.93036429338804</v>
      </c>
      <c r="BI543" s="615">
        <f t="shared" si="295"/>
        <v>566.93036429338804</v>
      </c>
      <c r="BJ543" s="615">
        <f t="shared" si="295"/>
        <v>566.93036429338804</v>
      </c>
      <c r="BK543" s="615">
        <f t="shared" si="295"/>
        <v>566.93036429338804</v>
      </c>
      <c r="BL543" s="615">
        <f t="shared" si="295"/>
        <v>566.93036429338804</v>
      </c>
      <c r="BM543" s="615">
        <f t="shared" si="295"/>
        <v>566.93036429338804</v>
      </c>
      <c r="BN543" s="615">
        <f t="shared" si="295"/>
        <v>566.93036429338804</v>
      </c>
      <c r="BO543" s="615">
        <f t="shared" si="295"/>
        <v>566.93036429338804</v>
      </c>
      <c r="BP543" s="615">
        <f t="shared" si="295"/>
        <v>566.93036429338804</v>
      </c>
      <c r="BQ543" s="615">
        <f t="shared" ref="BQ543:CB543" si="296">MIN(BQ541,N$422)</f>
        <v>692.88138490086931</v>
      </c>
      <c r="BR543" s="615">
        <f t="shared" si="296"/>
        <v>692.88138490086931</v>
      </c>
      <c r="BS543" s="615">
        <f t="shared" si="296"/>
        <v>692.88138490086931</v>
      </c>
      <c r="BT543" s="615">
        <f t="shared" si="296"/>
        <v>692.88138490086931</v>
      </c>
      <c r="BU543" s="615">
        <f t="shared" si="296"/>
        <v>692.88138490086931</v>
      </c>
      <c r="BV543" s="615">
        <f t="shared" si="296"/>
        <v>692.88138490086931</v>
      </c>
      <c r="BW543" s="615">
        <f t="shared" si="296"/>
        <v>692.88138490086931</v>
      </c>
      <c r="BX543" s="615">
        <f t="shared" si="296"/>
        <v>692.88138490086931</v>
      </c>
      <c r="BY543" s="615">
        <f t="shared" si="296"/>
        <v>692.88138490086931</v>
      </c>
      <c r="BZ543" s="615">
        <f t="shared" si="296"/>
        <v>692.88138490086931</v>
      </c>
      <c r="CA543" s="615">
        <f t="shared" si="296"/>
        <v>692.88138490086931</v>
      </c>
      <c r="CB543" s="615">
        <f t="shared" si="296"/>
        <v>692.88138490086931</v>
      </c>
      <c r="CC543" s="615">
        <f t="shared" ref="CC543:CN543" si="297">MIN(CC541,N$422)</f>
        <v>818.83240550835046</v>
      </c>
      <c r="CD543" s="615">
        <f t="shared" si="297"/>
        <v>818.83240550835046</v>
      </c>
      <c r="CE543" s="615">
        <f t="shared" si="297"/>
        <v>818.83240550835046</v>
      </c>
      <c r="CF543" s="615">
        <f t="shared" si="297"/>
        <v>818.83240550835046</v>
      </c>
      <c r="CG543" s="615">
        <f t="shared" si="297"/>
        <v>818.83240550835046</v>
      </c>
      <c r="CH543" s="615">
        <f t="shared" si="297"/>
        <v>818.83240550835046</v>
      </c>
      <c r="CI543" s="615">
        <f t="shared" si="297"/>
        <v>818.83240550835046</v>
      </c>
      <c r="CJ543" s="615">
        <f t="shared" si="297"/>
        <v>818.83240550835046</v>
      </c>
      <c r="CK543" s="615">
        <f t="shared" si="297"/>
        <v>818.83240550835046</v>
      </c>
      <c r="CL543" s="615">
        <f t="shared" si="297"/>
        <v>818.83240550835046</v>
      </c>
      <c r="CM543" s="615">
        <f t="shared" si="297"/>
        <v>818.83240550835046</v>
      </c>
      <c r="CN543" s="615">
        <f t="shared" si="297"/>
        <v>818.83240550835046</v>
      </c>
    </row>
    <row r="544" spans="8:92">
      <c r="H544" s="602" t="s">
        <v>940</v>
      </c>
      <c r="L544" s="618" t="s">
        <v>1297</v>
      </c>
      <c r="M544" s="600" t="s">
        <v>898</v>
      </c>
      <c r="N544" s="615">
        <f>SUM(U544:AF544)</f>
        <v>0</v>
      </c>
      <c r="O544" s="615">
        <f>SUM(AG544:AR544)</f>
        <v>0</v>
      </c>
      <c r="P544" s="615">
        <f>SUM(AS544:BD544)</f>
        <v>0</v>
      </c>
      <c r="Q544" s="615">
        <f>SUM(BE544:BP544)</f>
        <v>0</v>
      </c>
      <c r="R544" s="615">
        <f>SUM(BQ544:CB544)</f>
        <v>0</v>
      </c>
      <c r="S544" s="615">
        <f>SUM(CC544:CN544)</f>
        <v>0</v>
      </c>
      <c r="U544" s="615">
        <f t="shared" ref="U544:AF544" si="298">MIN(U541-U543,N$423)</f>
        <v>0</v>
      </c>
      <c r="V544" s="615">
        <f t="shared" si="298"/>
        <v>0</v>
      </c>
      <c r="W544" s="615">
        <f t="shared" si="298"/>
        <v>0</v>
      </c>
      <c r="X544" s="615">
        <f t="shared" si="298"/>
        <v>0</v>
      </c>
      <c r="Y544" s="615">
        <f t="shared" si="298"/>
        <v>0</v>
      </c>
      <c r="Z544" s="615">
        <f t="shared" si="298"/>
        <v>0</v>
      </c>
      <c r="AA544" s="615">
        <f t="shared" si="298"/>
        <v>0</v>
      </c>
      <c r="AB544" s="615">
        <f t="shared" si="298"/>
        <v>0</v>
      </c>
      <c r="AC544" s="615">
        <f t="shared" si="298"/>
        <v>0</v>
      </c>
      <c r="AD544" s="615">
        <f t="shared" si="298"/>
        <v>0</v>
      </c>
      <c r="AE544" s="615">
        <f t="shared" si="298"/>
        <v>0</v>
      </c>
      <c r="AF544" s="615">
        <f t="shared" si="298"/>
        <v>0</v>
      </c>
      <c r="AG544" s="615">
        <f t="shared" ref="AG544:AR544" si="299">MIN(AG541-AG543,N$423)</f>
        <v>0</v>
      </c>
      <c r="AH544" s="615">
        <f t="shared" si="299"/>
        <v>0</v>
      </c>
      <c r="AI544" s="615">
        <f t="shared" si="299"/>
        <v>0</v>
      </c>
      <c r="AJ544" s="615">
        <f t="shared" si="299"/>
        <v>0</v>
      </c>
      <c r="AK544" s="615">
        <f t="shared" si="299"/>
        <v>0</v>
      </c>
      <c r="AL544" s="615">
        <f t="shared" si="299"/>
        <v>0</v>
      </c>
      <c r="AM544" s="615">
        <f t="shared" si="299"/>
        <v>0</v>
      </c>
      <c r="AN544" s="615">
        <f t="shared" si="299"/>
        <v>0</v>
      </c>
      <c r="AO544" s="615">
        <f t="shared" si="299"/>
        <v>0</v>
      </c>
      <c r="AP544" s="615">
        <f t="shared" si="299"/>
        <v>0</v>
      </c>
      <c r="AQ544" s="615">
        <f t="shared" si="299"/>
        <v>0</v>
      </c>
      <c r="AR544" s="615">
        <f t="shared" si="299"/>
        <v>0</v>
      </c>
      <c r="AS544" s="615">
        <f t="shared" ref="AS544:BD544" si="300">MIN(AS541-AS543,N$423)</f>
        <v>0</v>
      </c>
      <c r="AT544" s="615">
        <f t="shared" si="300"/>
        <v>0</v>
      </c>
      <c r="AU544" s="615">
        <f t="shared" si="300"/>
        <v>0</v>
      </c>
      <c r="AV544" s="615">
        <f t="shared" si="300"/>
        <v>0</v>
      </c>
      <c r="AW544" s="615">
        <f t="shared" si="300"/>
        <v>0</v>
      </c>
      <c r="AX544" s="615">
        <f t="shared" si="300"/>
        <v>0</v>
      </c>
      <c r="AY544" s="615">
        <f t="shared" si="300"/>
        <v>0</v>
      </c>
      <c r="AZ544" s="615">
        <f t="shared" si="300"/>
        <v>0</v>
      </c>
      <c r="BA544" s="615">
        <f t="shared" si="300"/>
        <v>0</v>
      </c>
      <c r="BB544" s="615">
        <f t="shared" si="300"/>
        <v>0</v>
      </c>
      <c r="BC544" s="615">
        <f t="shared" si="300"/>
        <v>0</v>
      </c>
      <c r="BD544" s="615">
        <f t="shared" si="300"/>
        <v>0</v>
      </c>
      <c r="BE544" s="615">
        <f t="shared" ref="BE544:BP544" si="301">MIN(BE541-BE543,N$423)</f>
        <v>0</v>
      </c>
      <c r="BF544" s="615">
        <f t="shared" si="301"/>
        <v>0</v>
      </c>
      <c r="BG544" s="615">
        <f t="shared" si="301"/>
        <v>0</v>
      </c>
      <c r="BH544" s="615">
        <f t="shared" si="301"/>
        <v>0</v>
      </c>
      <c r="BI544" s="615">
        <f t="shared" si="301"/>
        <v>0</v>
      </c>
      <c r="BJ544" s="615">
        <f t="shared" si="301"/>
        <v>0</v>
      </c>
      <c r="BK544" s="615">
        <f t="shared" si="301"/>
        <v>0</v>
      </c>
      <c r="BL544" s="615">
        <f t="shared" si="301"/>
        <v>0</v>
      </c>
      <c r="BM544" s="615">
        <f t="shared" si="301"/>
        <v>0</v>
      </c>
      <c r="BN544" s="615">
        <f t="shared" si="301"/>
        <v>0</v>
      </c>
      <c r="BO544" s="615">
        <f t="shared" si="301"/>
        <v>0</v>
      </c>
      <c r="BP544" s="615">
        <f t="shared" si="301"/>
        <v>0</v>
      </c>
      <c r="BQ544" s="615">
        <f t="shared" ref="BQ544:CB544" si="302">MIN(BQ541-BQ543,N$423)</f>
        <v>0</v>
      </c>
      <c r="BR544" s="615">
        <f t="shared" si="302"/>
        <v>0</v>
      </c>
      <c r="BS544" s="615">
        <f t="shared" si="302"/>
        <v>0</v>
      </c>
      <c r="BT544" s="615">
        <f t="shared" si="302"/>
        <v>0</v>
      </c>
      <c r="BU544" s="615">
        <f t="shared" si="302"/>
        <v>0</v>
      </c>
      <c r="BV544" s="615">
        <f t="shared" si="302"/>
        <v>0</v>
      </c>
      <c r="BW544" s="615">
        <f t="shared" si="302"/>
        <v>0</v>
      </c>
      <c r="BX544" s="615">
        <f t="shared" si="302"/>
        <v>0</v>
      </c>
      <c r="BY544" s="615">
        <f t="shared" si="302"/>
        <v>0</v>
      </c>
      <c r="BZ544" s="615">
        <f t="shared" si="302"/>
        <v>0</v>
      </c>
      <c r="CA544" s="615">
        <f t="shared" si="302"/>
        <v>0</v>
      </c>
      <c r="CB544" s="615">
        <f t="shared" si="302"/>
        <v>0</v>
      </c>
      <c r="CC544" s="615">
        <f t="shared" ref="CC544:CN544" si="303">MIN(CC541-CC543,N$423)</f>
        <v>0</v>
      </c>
      <c r="CD544" s="615">
        <f t="shared" si="303"/>
        <v>0</v>
      </c>
      <c r="CE544" s="615">
        <f t="shared" si="303"/>
        <v>0</v>
      </c>
      <c r="CF544" s="615">
        <f t="shared" si="303"/>
        <v>0</v>
      </c>
      <c r="CG544" s="615">
        <f t="shared" si="303"/>
        <v>0</v>
      </c>
      <c r="CH544" s="615">
        <f t="shared" si="303"/>
        <v>0</v>
      </c>
      <c r="CI544" s="615">
        <f t="shared" si="303"/>
        <v>0</v>
      </c>
      <c r="CJ544" s="615">
        <f t="shared" si="303"/>
        <v>0</v>
      </c>
      <c r="CK544" s="615">
        <f t="shared" si="303"/>
        <v>0</v>
      </c>
      <c r="CL544" s="615">
        <f t="shared" si="303"/>
        <v>0</v>
      </c>
      <c r="CM544" s="615">
        <f t="shared" si="303"/>
        <v>0</v>
      </c>
      <c r="CN544" s="615">
        <f t="shared" si="303"/>
        <v>0</v>
      </c>
    </row>
    <row r="545" spans="8:92">
      <c r="H545" s="602" t="s">
        <v>940</v>
      </c>
      <c r="L545" s="618" t="s">
        <v>1298</v>
      </c>
      <c r="M545" s="600" t="s">
        <v>898</v>
      </c>
      <c r="N545" s="615">
        <f>SUM(U545:AF545)</f>
        <v>0</v>
      </c>
      <c r="O545" s="615">
        <f>SUM(AG545:AR545)</f>
        <v>0</v>
      </c>
      <c r="P545" s="615">
        <f>SUM(AS545:BD545)</f>
        <v>0</v>
      </c>
      <c r="Q545" s="615">
        <f>SUM(BE545:BP545)</f>
        <v>0</v>
      </c>
      <c r="R545" s="615">
        <f>SUM(BQ545:CB545)</f>
        <v>0</v>
      </c>
      <c r="S545" s="615">
        <f>SUM(CC545:CN545)</f>
        <v>0</v>
      </c>
      <c r="U545" s="615">
        <f t="shared" ref="U545:AF545" si="304">MIN(U541-(U543+U544),N$424)</f>
        <v>0</v>
      </c>
      <c r="V545" s="615">
        <f t="shared" si="304"/>
        <v>0</v>
      </c>
      <c r="W545" s="615">
        <f t="shared" si="304"/>
        <v>0</v>
      </c>
      <c r="X545" s="615">
        <f t="shared" si="304"/>
        <v>0</v>
      </c>
      <c r="Y545" s="615">
        <f t="shared" si="304"/>
        <v>0</v>
      </c>
      <c r="Z545" s="615">
        <f t="shared" si="304"/>
        <v>0</v>
      </c>
      <c r="AA545" s="615">
        <f t="shared" si="304"/>
        <v>0</v>
      </c>
      <c r="AB545" s="615">
        <f t="shared" si="304"/>
        <v>0</v>
      </c>
      <c r="AC545" s="615">
        <f t="shared" si="304"/>
        <v>0</v>
      </c>
      <c r="AD545" s="615">
        <f t="shared" si="304"/>
        <v>0</v>
      </c>
      <c r="AE545" s="615">
        <f t="shared" si="304"/>
        <v>0</v>
      </c>
      <c r="AF545" s="615">
        <f t="shared" si="304"/>
        <v>0</v>
      </c>
      <c r="AG545" s="615">
        <f t="shared" ref="AG545:AR545" si="305">MIN(AG541-(AG543+AG544),N$424)</f>
        <v>0</v>
      </c>
      <c r="AH545" s="615">
        <f t="shared" si="305"/>
        <v>0</v>
      </c>
      <c r="AI545" s="615">
        <f t="shared" si="305"/>
        <v>0</v>
      </c>
      <c r="AJ545" s="615">
        <f t="shared" si="305"/>
        <v>0</v>
      </c>
      <c r="AK545" s="615">
        <f t="shared" si="305"/>
        <v>0</v>
      </c>
      <c r="AL545" s="615">
        <f t="shared" si="305"/>
        <v>0</v>
      </c>
      <c r="AM545" s="615">
        <f t="shared" si="305"/>
        <v>0</v>
      </c>
      <c r="AN545" s="615">
        <f t="shared" si="305"/>
        <v>0</v>
      </c>
      <c r="AO545" s="615">
        <f t="shared" si="305"/>
        <v>0</v>
      </c>
      <c r="AP545" s="615">
        <f t="shared" si="305"/>
        <v>0</v>
      </c>
      <c r="AQ545" s="615">
        <f t="shared" si="305"/>
        <v>0</v>
      </c>
      <c r="AR545" s="615">
        <f t="shared" si="305"/>
        <v>0</v>
      </c>
      <c r="AS545" s="615">
        <f t="shared" ref="AS545:BD545" si="306">MIN(AS541-(AS543+AS544),N$424)</f>
        <v>0</v>
      </c>
      <c r="AT545" s="615">
        <f t="shared" si="306"/>
        <v>0</v>
      </c>
      <c r="AU545" s="615">
        <f t="shared" si="306"/>
        <v>0</v>
      </c>
      <c r="AV545" s="615">
        <f t="shared" si="306"/>
        <v>0</v>
      </c>
      <c r="AW545" s="615">
        <f t="shared" si="306"/>
        <v>0</v>
      </c>
      <c r="AX545" s="615">
        <f t="shared" si="306"/>
        <v>0</v>
      </c>
      <c r="AY545" s="615">
        <f t="shared" si="306"/>
        <v>0</v>
      </c>
      <c r="AZ545" s="615">
        <f t="shared" si="306"/>
        <v>0</v>
      </c>
      <c r="BA545" s="615">
        <f t="shared" si="306"/>
        <v>0</v>
      </c>
      <c r="BB545" s="615">
        <f t="shared" si="306"/>
        <v>0</v>
      </c>
      <c r="BC545" s="615">
        <f t="shared" si="306"/>
        <v>0</v>
      </c>
      <c r="BD545" s="615">
        <f t="shared" si="306"/>
        <v>0</v>
      </c>
      <c r="BE545" s="615">
        <f t="shared" ref="BE545:BP545" si="307">MIN(BE541-(BE543+BE544),N$424)</f>
        <v>0</v>
      </c>
      <c r="BF545" s="615">
        <f t="shared" si="307"/>
        <v>0</v>
      </c>
      <c r="BG545" s="615">
        <f t="shared" si="307"/>
        <v>0</v>
      </c>
      <c r="BH545" s="615">
        <f t="shared" si="307"/>
        <v>0</v>
      </c>
      <c r="BI545" s="615">
        <f t="shared" si="307"/>
        <v>0</v>
      </c>
      <c r="BJ545" s="615">
        <f t="shared" si="307"/>
        <v>0</v>
      </c>
      <c r="BK545" s="615">
        <f t="shared" si="307"/>
        <v>0</v>
      </c>
      <c r="BL545" s="615">
        <f t="shared" si="307"/>
        <v>0</v>
      </c>
      <c r="BM545" s="615">
        <f t="shared" si="307"/>
        <v>0</v>
      </c>
      <c r="BN545" s="615">
        <f t="shared" si="307"/>
        <v>0</v>
      </c>
      <c r="BO545" s="615">
        <f t="shared" si="307"/>
        <v>0</v>
      </c>
      <c r="BP545" s="615">
        <f t="shared" si="307"/>
        <v>0</v>
      </c>
      <c r="BQ545" s="615">
        <f t="shared" ref="BQ545:CB545" si="308">MIN(BQ541-(BQ543+BQ544),N$424)</f>
        <v>0</v>
      </c>
      <c r="BR545" s="615">
        <f t="shared" si="308"/>
        <v>0</v>
      </c>
      <c r="BS545" s="615">
        <f t="shared" si="308"/>
        <v>0</v>
      </c>
      <c r="BT545" s="615">
        <f t="shared" si="308"/>
        <v>0</v>
      </c>
      <c r="BU545" s="615">
        <f t="shared" si="308"/>
        <v>0</v>
      </c>
      <c r="BV545" s="615">
        <f t="shared" si="308"/>
        <v>0</v>
      </c>
      <c r="BW545" s="615">
        <f t="shared" si="308"/>
        <v>0</v>
      </c>
      <c r="BX545" s="615">
        <f t="shared" si="308"/>
        <v>0</v>
      </c>
      <c r="BY545" s="615">
        <f t="shared" si="308"/>
        <v>0</v>
      </c>
      <c r="BZ545" s="615">
        <f t="shared" si="308"/>
        <v>0</v>
      </c>
      <c r="CA545" s="615">
        <f t="shared" si="308"/>
        <v>0</v>
      </c>
      <c r="CB545" s="615">
        <f t="shared" si="308"/>
        <v>0</v>
      </c>
      <c r="CC545" s="615">
        <f t="shared" ref="CC545:CN545" si="309">MIN(CC541-(CC543+CC544),N$424)</f>
        <v>0</v>
      </c>
      <c r="CD545" s="615">
        <f t="shared" si="309"/>
        <v>0</v>
      </c>
      <c r="CE545" s="615">
        <f t="shared" si="309"/>
        <v>0</v>
      </c>
      <c r="CF545" s="615">
        <f t="shared" si="309"/>
        <v>0</v>
      </c>
      <c r="CG545" s="615">
        <f t="shared" si="309"/>
        <v>0</v>
      </c>
      <c r="CH545" s="615">
        <f t="shared" si="309"/>
        <v>0</v>
      </c>
      <c r="CI545" s="615">
        <f t="shared" si="309"/>
        <v>0</v>
      </c>
      <c r="CJ545" s="615">
        <f t="shared" si="309"/>
        <v>0</v>
      </c>
      <c r="CK545" s="615">
        <f t="shared" si="309"/>
        <v>0</v>
      </c>
      <c r="CL545" s="615">
        <f t="shared" si="309"/>
        <v>0</v>
      </c>
      <c r="CM545" s="615">
        <f t="shared" si="309"/>
        <v>0</v>
      </c>
      <c r="CN545" s="615">
        <f t="shared" si="309"/>
        <v>0</v>
      </c>
    </row>
    <row r="546" spans="8:92">
      <c r="H546" s="602" t="s">
        <v>940</v>
      </c>
      <c r="L546" s="618" t="s">
        <v>1299</v>
      </c>
      <c r="M546" s="600" t="s">
        <v>898</v>
      </c>
      <c r="N546" s="615">
        <f>SUM(U546:AF546)</f>
        <v>0</v>
      </c>
      <c r="O546" s="615">
        <f>SUM(AG546:AR546)</f>
        <v>0</v>
      </c>
      <c r="P546" s="615">
        <f>SUM(AS546:BD546)</f>
        <v>0</v>
      </c>
      <c r="Q546" s="615">
        <f>SUM(BE546:BP546)</f>
        <v>0</v>
      </c>
      <c r="R546" s="615">
        <f>SUM(BQ546:CB546)</f>
        <v>0</v>
      </c>
      <c r="S546" s="615">
        <f>SUM(CC546:CN546)</f>
        <v>0</v>
      </c>
      <c r="U546" s="615">
        <f t="shared" ref="U546:AF546" si="310">MIN(U541-(U543+U544+U545),N$425)</f>
        <v>0</v>
      </c>
      <c r="V546" s="615">
        <f t="shared" si="310"/>
        <v>0</v>
      </c>
      <c r="W546" s="615">
        <f t="shared" si="310"/>
        <v>0</v>
      </c>
      <c r="X546" s="615">
        <f t="shared" si="310"/>
        <v>0</v>
      </c>
      <c r="Y546" s="615">
        <f t="shared" si="310"/>
        <v>0</v>
      </c>
      <c r="Z546" s="615">
        <f t="shared" si="310"/>
        <v>0</v>
      </c>
      <c r="AA546" s="615">
        <f t="shared" si="310"/>
        <v>0</v>
      </c>
      <c r="AB546" s="615">
        <f t="shared" si="310"/>
        <v>0</v>
      </c>
      <c r="AC546" s="615">
        <f t="shared" si="310"/>
        <v>0</v>
      </c>
      <c r="AD546" s="615">
        <f t="shared" si="310"/>
        <v>0</v>
      </c>
      <c r="AE546" s="615">
        <f t="shared" si="310"/>
        <v>0</v>
      </c>
      <c r="AF546" s="615">
        <f t="shared" si="310"/>
        <v>0</v>
      </c>
      <c r="AG546" s="615">
        <f t="shared" ref="AG546:AR546" si="311">MIN(AG541-(AG543+AG544+AG545),N$425)</f>
        <v>0</v>
      </c>
      <c r="AH546" s="615">
        <f t="shared" si="311"/>
        <v>0</v>
      </c>
      <c r="AI546" s="615">
        <f t="shared" si="311"/>
        <v>0</v>
      </c>
      <c r="AJ546" s="615">
        <f t="shared" si="311"/>
        <v>0</v>
      </c>
      <c r="AK546" s="615">
        <f t="shared" si="311"/>
        <v>0</v>
      </c>
      <c r="AL546" s="615">
        <f t="shared" si="311"/>
        <v>0</v>
      </c>
      <c r="AM546" s="615">
        <f t="shared" si="311"/>
        <v>0</v>
      </c>
      <c r="AN546" s="615">
        <f t="shared" si="311"/>
        <v>0</v>
      </c>
      <c r="AO546" s="615">
        <f t="shared" si="311"/>
        <v>0</v>
      </c>
      <c r="AP546" s="615">
        <f t="shared" si="311"/>
        <v>0</v>
      </c>
      <c r="AQ546" s="615">
        <f t="shared" si="311"/>
        <v>0</v>
      </c>
      <c r="AR546" s="615">
        <f t="shared" si="311"/>
        <v>0</v>
      </c>
      <c r="AS546" s="615">
        <f t="shared" ref="AS546:BD546" si="312">MIN(AS541-(AS543+AS544+AS545),N$425)</f>
        <v>0</v>
      </c>
      <c r="AT546" s="615">
        <f t="shared" si="312"/>
        <v>0</v>
      </c>
      <c r="AU546" s="615">
        <f t="shared" si="312"/>
        <v>0</v>
      </c>
      <c r="AV546" s="615">
        <f t="shared" si="312"/>
        <v>0</v>
      </c>
      <c r="AW546" s="615">
        <f t="shared" si="312"/>
        <v>0</v>
      </c>
      <c r="AX546" s="615">
        <f t="shared" si="312"/>
        <v>0</v>
      </c>
      <c r="AY546" s="615">
        <f t="shared" si="312"/>
        <v>0</v>
      </c>
      <c r="AZ546" s="615">
        <f t="shared" si="312"/>
        <v>0</v>
      </c>
      <c r="BA546" s="615">
        <f t="shared" si="312"/>
        <v>0</v>
      </c>
      <c r="BB546" s="615">
        <f t="shared" si="312"/>
        <v>0</v>
      </c>
      <c r="BC546" s="615">
        <f t="shared" si="312"/>
        <v>0</v>
      </c>
      <c r="BD546" s="615">
        <f t="shared" si="312"/>
        <v>0</v>
      </c>
      <c r="BE546" s="615">
        <f t="shared" ref="BE546:BP546" si="313">MIN(BE541-(BE543+BE544+BE545),N$425)</f>
        <v>0</v>
      </c>
      <c r="BF546" s="615">
        <f t="shared" si="313"/>
        <v>0</v>
      </c>
      <c r="BG546" s="615">
        <f t="shared" si="313"/>
        <v>0</v>
      </c>
      <c r="BH546" s="615">
        <f t="shared" si="313"/>
        <v>0</v>
      </c>
      <c r="BI546" s="615">
        <f t="shared" si="313"/>
        <v>0</v>
      </c>
      <c r="BJ546" s="615">
        <f t="shared" si="313"/>
        <v>0</v>
      </c>
      <c r="BK546" s="615">
        <f t="shared" si="313"/>
        <v>0</v>
      </c>
      <c r="BL546" s="615">
        <f t="shared" si="313"/>
        <v>0</v>
      </c>
      <c r="BM546" s="615">
        <f t="shared" si="313"/>
        <v>0</v>
      </c>
      <c r="BN546" s="615">
        <f t="shared" si="313"/>
        <v>0</v>
      </c>
      <c r="BO546" s="615">
        <f t="shared" si="313"/>
        <v>0</v>
      </c>
      <c r="BP546" s="615">
        <f t="shared" si="313"/>
        <v>0</v>
      </c>
      <c r="BQ546" s="615">
        <f t="shared" ref="BQ546:CB546" si="314">MIN(BQ541-(BQ543+BQ544+BQ545),N$425)</f>
        <v>0</v>
      </c>
      <c r="BR546" s="615">
        <f t="shared" si="314"/>
        <v>0</v>
      </c>
      <c r="BS546" s="615">
        <f t="shared" si="314"/>
        <v>0</v>
      </c>
      <c r="BT546" s="615">
        <f t="shared" si="314"/>
        <v>0</v>
      </c>
      <c r="BU546" s="615">
        <f t="shared" si="314"/>
        <v>0</v>
      </c>
      <c r="BV546" s="615">
        <f t="shared" si="314"/>
        <v>0</v>
      </c>
      <c r="BW546" s="615">
        <f t="shared" si="314"/>
        <v>0</v>
      </c>
      <c r="BX546" s="615">
        <f t="shared" si="314"/>
        <v>0</v>
      </c>
      <c r="BY546" s="615">
        <f t="shared" si="314"/>
        <v>0</v>
      </c>
      <c r="BZ546" s="615">
        <f t="shared" si="314"/>
        <v>0</v>
      </c>
      <c r="CA546" s="615">
        <f t="shared" si="314"/>
        <v>0</v>
      </c>
      <c r="CB546" s="615">
        <f t="shared" si="314"/>
        <v>0</v>
      </c>
      <c r="CC546" s="615">
        <f t="shared" ref="CC546:CN546" si="315">MIN(CC541-(CC543+CC544+CC545),N$425)</f>
        <v>0</v>
      </c>
      <c r="CD546" s="615">
        <f t="shared" si="315"/>
        <v>0</v>
      </c>
      <c r="CE546" s="615">
        <f t="shared" si="315"/>
        <v>0</v>
      </c>
      <c r="CF546" s="615">
        <f t="shared" si="315"/>
        <v>0</v>
      </c>
      <c r="CG546" s="615">
        <f t="shared" si="315"/>
        <v>0</v>
      </c>
      <c r="CH546" s="615">
        <f t="shared" si="315"/>
        <v>0</v>
      </c>
      <c r="CI546" s="615">
        <f t="shared" si="315"/>
        <v>0</v>
      </c>
      <c r="CJ546" s="615">
        <f t="shared" si="315"/>
        <v>0</v>
      </c>
      <c r="CK546" s="615">
        <f t="shared" si="315"/>
        <v>0</v>
      </c>
      <c r="CL546" s="615">
        <f t="shared" si="315"/>
        <v>0</v>
      </c>
      <c r="CM546" s="615">
        <f t="shared" si="315"/>
        <v>0</v>
      </c>
      <c r="CN546" s="615">
        <f t="shared" si="315"/>
        <v>0</v>
      </c>
    </row>
    <row r="547" spans="8:92">
      <c r="H547" s="602" t="s">
        <v>940</v>
      </c>
      <c r="L547" s="618"/>
      <c r="M547" s="600"/>
      <c r="N547" s="615"/>
      <c r="O547" s="615"/>
      <c r="P547" s="615"/>
      <c r="Q547" s="615"/>
      <c r="R547" s="615"/>
      <c r="S547" s="615"/>
    </row>
    <row r="548" spans="8:92">
      <c r="H548" s="602" t="s">
        <v>940</v>
      </c>
      <c r="L548" s="618" t="s">
        <v>1300</v>
      </c>
      <c r="M548" s="600" t="s">
        <v>974</v>
      </c>
      <c r="N548" s="615">
        <f>SUM(U548:AF548)</f>
        <v>0</v>
      </c>
      <c r="O548" s="615">
        <f>SUM(AG548:AR548)</f>
        <v>0</v>
      </c>
      <c r="P548" s="615">
        <f>SUM(AS548:BD548)</f>
        <v>0</v>
      </c>
      <c r="Q548" s="615">
        <f>SUM(BE548:BP548)</f>
        <v>0</v>
      </c>
      <c r="R548" s="615">
        <f>SUM(BQ548:CB548)</f>
        <v>0</v>
      </c>
      <c r="S548" s="615">
        <f>SUM(CC548:CN548)</f>
        <v>0</v>
      </c>
      <c r="U548" s="616">
        <f t="shared" ref="U548:AF548" si="316">U543*N$427</f>
        <v>0</v>
      </c>
      <c r="V548" s="616">
        <f t="shared" si="316"/>
        <v>0</v>
      </c>
      <c r="W548" s="616">
        <f t="shared" si="316"/>
        <v>0</v>
      </c>
      <c r="X548" s="616">
        <f t="shared" si="316"/>
        <v>0</v>
      </c>
      <c r="Y548" s="616">
        <f t="shared" si="316"/>
        <v>0</v>
      </c>
      <c r="Z548" s="616">
        <f t="shared" si="316"/>
        <v>0</v>
      </c>
      <c r="AA548" s="616">
        <f t="shared" si="316"/>
        <v>0</v>
      </c>
      <c r="AB548" s="616">
        <f t="shared" si="316"/>
        <v>0</v>
      </c>
      <c r="AC548" s="616">
        <f t="shared" si="316"/>
        <v>0</v>
      </c>
      <c r="AD548" s="616">
        <f t="shared" si="316"/>
        <v>0</v>
      </c>
      <c r="AE548" s="616">
        <f t="shared" si="316"/>
        <v>0</v>
      </c>
      <c r="AF548" s="616">
        <f t="shared" si="316"/>
        <v>0</v>
      </c>
      <c r="AG548" s="616">
        <f t="shared" ref="AG548:AR548" si="317">AG543*N$427</f>
        <v>0</v>
      </c>
      <c r="AH548" s="616">
        <f t="shared" si="317"/>
        <v>0</v>
      </c>
      <c r="AI548" s="616">
        <f t="shared" si="317"/>
        <v>0</v>
      </c>
      <c r="AJ548" s="616">
        <f t="shared" si="317"/>
        <v>0</v>
      </c>
      <c r="AK548" s="616">
        <f t="shared" si="317"/>
        <v>0</v>
      </c>
      <c r="AL548" s="616">
        <f t="shared" si="317"/>
        <v>0</v>
      </c>
      <c r="AM548" s="616">
        <f t="shared" si="317"/>
        <v>0</v>
      </c>
      <c r="AN548" s="616">
        <f t="shared" si="317"/>
        <v>0</v>
      </c>
      <c r="AO548" s="616">
        <f t="shared" si="317"/>
        <v>0</v>
      </c>
      <c r="AP548" s="616">
        <f t="shared" si="317"/>
        <v>0</v>
      </c>
      <c r="AQ548" s="616">
        <f t="shared" si="317"/>
        <v>0</v>
      </c>
      <c r="AR548" s="616">
        <f t="shared" si="317"/>
        <v>0</v>
      </c>
      <c r="AS548" s="616">
        <f t="shared" ref="AS548:BD548" si="318">AS543*N$427</f>
        <v>0</v>
      </c>
      <c r="AT548" s="616">
        <f t="shared" si="318"/>
        <v>0</v>
      </c>
      <c r="AU548" s="616">
        <f t="shared" si="318"/>
        <v>0</v>
      </c>
      <c r="AV548" s="616">
        <f t="shared" si="318"/>
        <v>0</v>
      </c>
      <c r="AW548" s="616">
        <f t="shared" si="318"/>
        <v>0</v>
      </c>
      <c r="AX548" s="616">
        <f t="shared" si="318"/>
        <v>0</v>
      </c>
      <c r="AY548" s="616">
        <f t="shared" si="318"/>
        <v>0</v>
      </c>
      <c r="AZ548" s="616">
        <f t="shared" si="318"/>
        <v>0</v>
      </c>
      <c r="BA548" s="616">
        <f t="shared" si="318"/>
        <v>0</v>
      </c>
      <c r="BB548" s="616">
        <f t="shared" si="318"/>
        <v>0</v>
      </c>
      <c r="BC548" s="616">
        <f t="shared" si="318"/>
        <v>0</v>
      </c>
      <c r="BD548" s="616">
        <f t="shared" si="318"/>
        <v>0</v>
      </c>
      <c r="BE548" s="616">
        <f t="shared" ref="BE548:BP548" si="319">BE543*N$427</f>
        <v>0</v>
      </c>
      <c r="BF548" s="616">
        <f t="shared" si="319"/>
        <v>0</v>
      </c>
      <c r="BG548" s="616">
        <f t="shared" si="319"/>
        <v>0</v>
      </c>
      <c r="BH548" s="616">
        <f t="shared" si="319"/>
        <v>0</v>
      </c>
      <c r="BI548" s="616">
        <f t="shared" si="319"/>
        <v>0</v>
      </c>
      <c r="BJ548" s="616">
        <f t="shared" si="319"/>
        <v>0</v>
      </c>
      <c r="BK548" s="616">
        <f t="shared" si="319"/>
        <v>0</v>
      </c>
      <c r="BL548" s="616">
        <f t="shared" si="319"/>
        <v>0</v>
      </c>
      <c r="BM548" s="616">
        <f t="shared" si="319"/>
        <v>0</v>
      </c>
      <c r="BN548" s="616">
        <f t="shared" si="319"/>
        <v>0</v>
      </c>
      <c r="BO548" s="616">
        <f t="shared" si="319"/>
        <v>0</v>
      </c>
      <c r="BP548" s="616">
        <f t="shared" si="319"/>
        <v>0</v>
      </c>
      <c r="BQ548" s="616">
        <f t="shared" ref="BQ548:CB548" si="320">BQ543*N$427</f>
        <v>0</v>
      </c>
      <c r="BR548" s="616">
        <f t="shared" si="320"/>
        <v>0</v>
      </c>
      <c r="BS548" s="616">
        <f t="shared" si="320"/>
        <v>0</v>
      </c>
      <c r="BT548" s="616">
        <f t="shared" si="320"/>
        <v>0</v>
      </c>
      <c r="BU548" s="616">
        <f t="shared" si="320"/>
        <v>0</v>
      </c>
      <c r="BV548" s="616">
        <f t="shared" si="320"/>
        <v>0</v>
      </c>
      <c r="BW548" s="616">
        <f t="shared" si="320"/>
        <v>0</v>
      </c>
      <c r="BX548" s="616">
        <f t="shared" si="320"/>
        <v>0</v>
      </c>
      <c r="BY548" s="616">
        <f t="shared" si="320"/>
        <v>0</v>
      </c>
      <c r="BZ548" s="616">
        <f t="shared" si="320"/>
        <v>0</v>
      </c>
      <c r="CA548" s="616">
        <f t="shared" si="320"/>
        <v>0</v>
      </c>
      <c r="CB548" s="616">
        <f t="shared" si="320"/>
        <v>0</v>
      </c>
      <c r="CC548" s="616">
        <f t="shared" ref="CC548:CN548" si="321">CC543*N$427</f>
        <v>0</v>
      </c>
      <c r="CD548" s="616">
        <f t="shared" si="321"/>
        <v>0</v>
      </c>
      <c r="CE548" s="616">
        <f t="shared" si="321"/>
        <v>0</v>
      </c>
      <c r="CF548" s="616">
        <f t="shared" si="321"/>
        <v>0</v>
      </c>
      <c r="CG548" s="616">
        <f t="shared" si="321"/>
        <v>0</v>
      </c>
      <c r="CH548" s="616">
        <f t="shared" si="321"/>
        <v>0</v>
      </c>
      <c r="CI548" s="616">
        <f t="shared" si="321"/>
        <v>0</v>
      </c>
      <c r="CJ548" s="616">
        <f t="shared" si="321"/>
        <v>0</v>
      </c>
      <c r="CK548" s="616">
        <f t="shared" si="321"/>
        <v>0</v>
      </c>
      <c r="CL548" s="616">
        <f t="shared" si="321"/>
        <v>0</v>
      </c>
      <c r="CM548" s="616">
        <f t="shared" si="321"/>
        <v>0</v>
      </c>
      <c r="CN548" s="616">
        <f t="shared" si="321"/>
        <v>0</v>
      </c>
    </row>
    <row r="549" spans="8:92">
      <c r="H549" s="602" t="s">
        <v>940</v>
      </c>
      <c r="L549" s="618" t="s">
        <v>1301</v>
      </c>
      <c r="M549" s="600" t="s">
        <v>974</v>
      </c>
      <c r="N549" s="615">
        <f>SUM(U549:AF549)</f>
        <v>0</v>
      </c>
      <c r="O549" s="615">
        <f>SUM(AG549:AR549)</f>
        <v>0</v>
      </c>
      <c r="P549" s="615">
        <f>SUM(AS549:BD549)</f>
        <v>0</v>
      </c>
      <c r="Q549" s="615">
        <f>SUM(BE549:BP549)</f>
        <v>0</v>
      </c>
      <c r="R549" s="615">
        <f>SUM(BQ549:CB549)</f>
        <v>0</v>
      </c>
      <c r="S549" s="615">
        <f>SUM(CC549:CN549)</f>
        <v>0</v>
      </c>
      <c r="U549" s="616">
        <f t="shared" ref="U549:AF549" si="322">U544*N$428</f>
        <v>0</v>
      </c>
      <c r="V549" s="616">
        <f t="shared" si="322"/>
        <v>0</v>
      </c>
      <c r="W549" s="616">
        <f t="shared" si="322"/>
        <v>0</v>
      </c>
      <c r="X549" s="616">
        <f t="shared" si="322"/>
        <v>0</v>
      </c>
      <c r="Y549" s="616">
        <f t="shared" si="322"/>
        <v>0</v>
      </c>
      <c r="Z549" s="616">
        <f t="shared" si="322"/>
        <v>0</v>
      </c>
      <c r="AA549" s="616">
        <f t="shared" si="322"/>
        <v>0</v>
      </c>
      <c r="AB549" s="616">
        <f t="shared" si="322"/>
        <v>0</v>
      </c>
      <c r="AC549" s="616">
        <f t="shared" si="322"/>
        <v>0</v>
      </c>
      <c r="AD549" s="616">
        <f t="shared" si="322"/>
        <v>0</v>
      </c>
      <c r="AE549" s="616">
        <f t="shared" si="322"/>
        <v>0</v>
      </c>
      <c r="AF549" s="616">
        <f t="shared" si="322"/>
        <v>0</v>
      </c>
      <c r="AG549" s="616">
        <f t="shared" ref="AG549:AR549" si="323">AG544*N$428</f>
        <v>0</v>
      </c>
      <c r="AH549" s="616">
        <f t="shared" si="323"/>
        <v>0</v>
      </c>
      <c r="AI549" s="616">
        <f t="shared" si="323"/>
        <v>0</v>
      </c>
      <c r="AJ549" s="616">
        <f t="shared" si="323"/>
        <v>0</v>
      </c>
      <c r="AK549" s="616">
        <f t="shared" si="323"/>
        <v>0</v>
      </c>
      <c r="AL549" s="616">
        <f t="shared" si="323"/>
        <v>0</v>
      </c>
      <c r="AM549" s="616">
        <f t="shared" si="323"/>
        <v>0</v>
      </c>
      <c r="AN549" s="616">
        <f t="shared" si="323"/>
        <v>0</v>
      </c>
      <c r="AO549" s="616">
        <f t="shared" si="323"/>
        <v>0</v>
      </c>
      <c r="AP549" s="616">
        <f t="shared" si="323"/>
        <v>0</v>
      </c>
      <c r="AQ549" s="616">
        <f t="shared" si="323"/>
        <v>0</v>
      </c>
      <c r="AR549" s="616">
        <f t="shared" si="323"/>
        <v>0</v>
      </c>
      <c r="AS549" s="616">
        <f t="shared" ref="AS549:BD549" si="324">AS544*N$428</f>
        <v>0</v>
      </c>
      <c r="AT549" s="616">
        <f t="shared" si="324"/>
        <v>0</v>
      </c>
      <c r="AU549" s="616">
        <f t="shared" si="324"/>
        <v>0</v>
      </c>
      <c r="AV549" s="616">
        <f t="shared" si="324"/>
        <v>0</v>
      </c>
      <c r="AW549" s="616">
        <f t="shared" si="324"/>
        <v>0</v>
      </c>
      <c r="AX549" s="616">
        <f t="shared" si="324"/>
        <v>0</v>
      </c>
      <c r="AY549" s="616">
        <f t="shared" si="324"/>
        <v>0</v>
      </c>
      <c r="AZ549" s="616">
        <f t="shared" si="324"/>
        <v>0</v>
      </c>
      <c r="BA549" s="616">
        <f t="shared" si="324"/>
        <v>0</v>
      </c>
      <c r="BB549" s="616">
        <f t="shared" si="324"/>
        <v>0</v>
      </c>
      <c r="BC549" s="616">
        <f t="shared" si="324"/>
        <v>0</v>
      </c>
      <c r="BD549" s="616">
        <f t="shared" si="324"/>
        <v>0</v>
      </c>
      <c r="BE549" s="616">
        <f t="shared" ref="BE549:BP549" si="325">BE544*N$428</f>
        <v>0</v>
      </c>
      <c r="BF549" s="616">
        <f t="shared" si="325"/>
        <v>0</v>
      </c>
      <c r="BG549" s="616">
        <f t="shared" si="325"/>
        <v>0</v>
      </c>
      <c r="BH549" s="616">
        <f t="shared" si="325"/>
        <v>0</v>
      </c>
      <c r="BI549" s="616">
        <f t="shared" si="325"/>
        <v>0</v>
      </c>
      <c r="BJ549" s="616">
        <f t="shared" si="325"/>
        <v>0</v>
      </c>
      <c r="BK549" s="616">
        <f t="shared" si="325"/>
        <v>0</v>
      </c>
      <c r="BL549" s="616">
        <f t="shared" si="325"/>
        <v>0</v>
      </c>
      <c r="BM549" s="616">
        <f t="shared" si="325"/>
        <v>0</v>
      </c>
      <c r="BN549" s="616">
        <f t="shared" si="325"/>
        <v>0</v>
      </c>
      <c r="BO549" s="616">
        <f t="shared" si="325"/>
        <v>0</v>
      </c>
      <c r="BP549" s="616">
        <f t="shared" si="325"/>
        <v>0</v>
      </c>
      <c r="BQ549" s="616">
        <f t="shared" ref="BQ549:CB549" si="326">BQ544*N$428</f>
        <v>0</v>
      </c>
      <c r="BR549" s="616">
        <f t="shared" si="326"/>
        <v>0</v>
      </c>
      <c r="BS549" s="616">
        <f t="shared" si="326"/>
        <v>0</v>
      </c>
      <c r="BT549" s="616">
        <f t="shared" si="326"/>
        <v>0</v>
      </c>
      <c r="BU549" s="616">
        <f t="shared" si="326"/>
        <v>0</v>
      </c>
      <c r="BV549" s="616">
        <f t="shared" si="326"/>
        <v>0</v>
      </c>
      <c r="BW549" s="616">
        <f t="shared" si="326"/>
        <v>0</v>
      </c>
      <c r="BX549" s="616">
        <f t="shared" si="326"/>
        <v>0</v>
      </c>
      <c r="BY549" s="616">
        <f t="shared" si="326"/>
        <v>0</v>
      </c>
      <c r="BZ549" s="616">
        <f t="shared" si="326"/>
        <v>0</v>
      </c>
      <c r="CA549" s="616">
        <f t="shared" si="326"/>
        <v>0</v>
      </c>
      <c r="CB549" s="616">
        <f t="shared" si="326"/>
        <v>0</v>
      </c>
      <c r="CC549" s="616">
        <f t="shared" ref="CC549:CN549" si="327">CC544*N$428</f>
        <v>0</v>
      </c>
      <c r="CD549" s="616">
        <f t="shared" si="327"/>
        <v>0</v>
      </c>
      <c r="CE549" s="616">
        <f t="shared" si="327"/>
        <v>0</v>
      </c>
      <c r="CF549" s="616">
        <f t="shared" si="327"/>
        <v>0</v>
      </c>
      <c r="CG549" s="616">
        <f t="shared" si="327"/>
        <v>0</v>
      </c>
      <c r="CH549" s="616">
        <f t="shared" si="327"/>
        <v>0</v>
      </c>
      <c r="CI549" s="616">
        <f t="shared" si="327"/>
        <v>0</v>
      </c>
      <c r="CJ549" s="616">
        <f t="shared" si="327"/>
        <v>0</v>
      </c>
      <c r="CK549" s="616">
        <f t="shared" si="327"/>
        <v>0</v>
      </c>
      <c r="CL549" s="616">
        <f t="shared" si="327"/>
        <v>0</v>
      </c>
      <c r="CM549" s="616">
        <f t="shared" si="327"/>
        <v>0</v>
      </c>
      <c r="CN549" s="616">
        <f t="shared" si="327"/>
        <v>0</v>
      </c>
    </row>
    <row r="550" spans="8:92">
      <c r="H550" s="602" t="s">
        <v>940</v>
      </c>
      <c r="L550" s="618" t="s">
        <v>1302</v>
      </c>
      <c r="M550" s="600" t="s">
        <v>974</v>
      </c>
      <c r="N550" s="615">
        <f>SUM(U550:AF550)</f>
        <v>0</v>
      </c>
      <c r="O550" s="615">
        <f>SUM(AG550:AR550)</f>
        <v>0</v>
      </c>
      <c r="P550" s="615">
        <f>SUM(AS550:BD550)</f>
        <v>0</v>
      </c>
      <c r="Q550" s="615">
        <f>SUM(BE550:BP550)</f>
        <v>0</v>
      </c>
      <c r="R550" s="615">
        <f>SUM(BQ550:CB550)</f>
        <v>0</v>
      </c>
      <c r="S550" s="615">
        <f>SUM(CC550:CN550)</f>
        <v>0</v>
      </c>
      <c r="U550" s="616">
        <f t="shared" ref="U550:AF550" si="328">U545*N$429</f>
        <v>0</v>
      </c>
      <c r="V550" s="616">
        <f t="shared" si="328"/>
        <v>0</v>
      </c>
      <c r="W550" s="616">
        <f t="shared" si="328"/>
        <v>0</v>
      </c>
      <c r="X550" s="616">
        <f t="shared" si="328"/>
        <v>0</v>
      </c>
      <c r="Y550" s="616">
        <f t="shared" si="328"/>
        <v>0</v>
      </c>
      <c r="Z550" s="616">
        <f t="shared" si="328"/>
        <v>0</v>
      </c>
      <c r="AA550" s="616">
        <f t="shared" si="328"/>
        <v>0</v>
      </c>
      <c r="AB550" s="616">
        <f t="shared" si="328"/>
        <v>0</v>
      </c>
      <c r="AC550" s="616">
        <f t="shared" si="328"/>
        <v>0</v>
      </c>
      <c r="AD550" s="616">
        <f t="shared" si="328"/>
        <v>0</v>
      </c>
      <c r="AE550" s="616">
        <f t="shared" si="328"/>
        <v>0</v>
      </c>
      <c r="AF550" s="616">
        <f t="shared" si="328"/>
        <v>0</v>
      </c>
      <c r="AG550" s="616">
        <f t="shared" ref="AG550:AR550" si="329">AG545*N$429</f>
        <v>0</v>
      </c>
      <c r="AH550" s="616">
        <f t="shared" si="329"/>
        <v>0</v>
      </c>
      <c r="AI550" s="616">
        <f t="shared" si="329"/>
        <v>0</v>
      </c>
      <c r="AJ550" s="616">
        <f t="shared" si="329"/>
        <v>0</v>
      </c>
      <c r="AK550" s="616">
        <f t="shared" si="329"/>
        <v>0</v>
      </c>
      <c r="AL550" s="616">
        <f t="shared" si="329"/>
        <v>0</v>
      </c>
      <c r="AM550" s="616">
        <f t="shared" si="329"/>
        <v>0</v>
      </c>
      <c r="AN550" s="616">
        <f t="shared" si="329"/>
        <v>0</v>
      </c>
      <c r="AO550" s="616">
        <f t="shared" si="329"/>
        <v>0</v>
      </c>
      <c r="AP550" s="616">
        <f t="shared" si="329"/>
        <v>0</v>
      </c>
      <c r="AQ550" s="616">
        <f t="shared" si="329"/>
        <v>0</v>
      </c>
      <c r="AR550" s="616">
        <f t="shared" si="329"/>
        <v>0</v>
      </c>
      <c r="AS550" s="616">
        <f t="shared" ref="AS550:BD550" si="330">AS545*N$429</f>
        <v>0</v>
      </c>
      <c r="AT550" s="616">
        <f t="shared" si="330"/>
        <v>0</v>
      </c>
      <c r="AU550" s="616">
        <f t="shared" si="330"/>
        <v>0</v>
      </c>
      <c r="AV550" s="616">
        <f t="shared" si="330"/>
        <v>0</v>
      </c>
      <c r="AW550" s="616">
        <f t="shared" si="330"/>
        <v>0</v>
      </c>
      <c r="AX550" s="616">
        <f t="shared" si="330"/>
        <v>0</v>
      </c>
      <c r="AY550" s="616">
        <f t="shared" si="330"/>
        <v>0</v>
      </c>
      <c r="AZ550" s="616">
        <f t="shared" si="330"/>
        <v>0</v>
      </c>
      <c r="BA550" s="616">
        <f t="shared" si="330"/>
        <v>0</v>
      </c>
      <c r="BB550" s="616">
        <f t="shared" si="330"/>
        <v>0</v>
      </c>
      <c r="BC550" s="616">
        <f t="shared" si="330"/>
        <v>0</v>
      </c>
      <c r="BD550" s="616">
        <f t="shared" si="330"/>
        <v>0</v>
      </c>
      <c r="BE550" s="616">
        <f t="shared" ref="BE550:BP550" si="331">BE545*N$429</f>
        <v>0</v>
      </c>
      <c r="BF550" s="616">
        <f t="shared" si="331"/>
        <v>0</v>
      </c>
      <c r="BG550" s="616">
        <f t="shared" si="331"/>
        <v>0</v>
      </c>
      <c r="BH550" s="616">
        <f t="shared" si="331"/>
        <v>0</v>
      </c>
      <c r="BI550" s="616">
        <f t="shared" si="331"/>
        <v>0</v>
      </c>
      <c r="BJ550" s="616">
        <f t="shared" si="331"/>
        <v>0</v>
      </c>
      <c r="BK550" s="616">
        <f t="shared" si="331"/>
        <v>0</v>
      </c>
      <c r="BL550" s="616">
        <f t="shared" si="331"/>
        <v>0</v>
      </c>
      <c r="BM550" s="616">
        <f t="shared" si="331"/>
        <v>0</v>
      </c>
      <c r="BN550" s="616">
        <f t="shared" si="331"/>
        <v>0</v>
      </c>
      <c r="BO550" s="616">
        <f t="shared" si="331"/>
        <v>0</v>
      </c>
      <c r="BP550" s="616">
        <f t="shared" si="331"/>
        <v>0</v>
      </c>
      <c r="BQ550" s="616">
        <f t="shared" ref="BQ550:CB550" si="332">BQ545*N$429</f>
        <v>0</v>
      </c>
      <c r="BR550" s="616">
        <f t="shared" si="332"/>
        <v>0</v>
      </c>
      <c r="BS550" s="616">
        <f t="shared" si="332"/>
        <v>0</v>
      </c>
      <c r="BT550" s="616">
        <f t="shared" si="332"/>
        <v>0</v>
      </c>
      <c r="BU550" s="616">
        <f t="shared" si="332"/>
        <v>0</v>
      </c>
      <c r="BV550" s="616">
        <f t="shared" si="332"/>
        <v>0</v>
      </c>
      <c r="BW550" s="616">
        <f t="shared" si="332"/>
        <v>0</v>
      </c>
      <c r="BX550" s="616">
        <f t="shared" si="332"/>
        <v>0</v>
      </c>
      <c r="BY550" s="616">
        <f t="shared" si="332"/>
        <v>0</v>
      </c>
      <c r="BZ550" s="616">
        <f t="shared" si="332"/>
        <v>0</v>
      </c>
      <c r="CA550" s="616">
        <f t="shared" si="332"/>
        <v>0</v>
      </c>
      <c r="CB550" s="616">
        <f t="shared" si="332"/>
        <v>0</v>
      </c>
      <c r="CC550" s="616">
        <f t="shared" ref="CC550:CN550" si="333">CC545*N$429</f>
        <v>0</v>
      </c>
      <c r="CD550" s="616">
        <f t="shared" si="333"/>
        <v>0</v>
      </c>
      <c r="CE550" s="616">
        <f t="shared" si="333"/>
        <v>0</v>
      </c>
      <c r="CF550" s="616">
        <f t="shared" si="333"/>
        <v>0</v>
      </c>
      <c r="CG550" s="616">
        <f t="shared" si="333"/>
        <v>0</v>
      </c>
      <c r="CH550" s="616">
        <f t="shared" si="333"/>
        <v>0</v>
      </c>
      <c r="CI550" s="616">
        <f t="shared" si="333"/>
        <v>0</v>
      </c>
      <c r="CJ550" s="616">
        <f t="shared" si="333"/>
        <v>0</v>
      </c>
      <c r="CK550" s="616">
        <f t="shared" si="333"/>
        <v>0</v>
      </c>
      <c r="CL550" s="616">
        <f t="shared" si="333"/>
        <v>0</v>
      </c>
      <c r="CM550" s="616">
        <f t="shared" si="333"/>
        <v>0</v>
      </c>
      <c r="CN550" s="616">
        <f t="shared" si="333"/>
        <v>0</v>
      </c>
    </row>
    <row r="551" spans="8:92">
      <c r="H551" s="602" t="s">
        <v>940</v>
      </c>
      <c r="L551" s="618" t="s">
        <v>1303</v>
      </c>
      <c r="M551" s="600" t="s">
        <v>974</v>
      </c>
      <c r="N551" s="615">
        <f>SUM(U551:AF551)</f>
        <v>0</v>
      </c>
      <c r="O551" s="615">
        <f>SUM(AG551:AR551)</f>
        <v>0</v>
      </c>
      <c r="P551" s="615">
        <f>SUM(AS551:BD551)</f>
        <v>0</v>
      </c>
      <c r="Q551" s="615">
        <f>SUM(BE551:BP551)</f>
        <v>0</v>
      </c>
      <c r="R551" s="615">
        <f>SUM(BQ551:CB551)</f>
        <v>0</v>
      </c>
      <c r="S551" s="615">
        <f>SUM(CC551:CN551)</f>
        <v>0</v>
      </c>
      <c r="U551" s="616">
        <f t="shared" ref="U551:AF551" si="334">U546*N$430</f>
        <v>0</v>
      </c>
      <c r="V551" s="616">
        <f t="shared" si="334"/>
        <v>0</v>
      </c>
      <c r="W551" s="616">
        <f t="shared" si="334"/>
        <v>0</v>
      </c>
      <c r="X551" s="616">
        <f t="shared" si="334"/>
        <v>0</v>
      </c>
      <c r="Y551" s="616">
        <f t="shared" si="334"/>
        <v>0</v>
      </c>
      <c r="Z551" s="616">
        <f t="shared" si="334"/>
        <v>0</v>
      </c>
      <c r="AA551" s="616">
        <f t="shared" si="334"/>
        <v>0</v>
      </c>
      <c r="AB551" s="616">
        <f t="shared" si="334"/>
        <v>0</v>
      </c>
      <c r="AC551" s="616">
        <f t="shared" si="334"/>
        <v>0</v>
      </c>
      <c r="AD551" s="616">
        <f t="shared" si="334"/>
        <v>0</v>
      </c>
      <c r="AE551" s="616">
        <f t="shared" si="334"/>
        <v>0</v>
      </c>
      <c r="AF551" s="616">
        <f t="shared" si="334"/>
        <v>0</v>
      </c>
      <c r="AG551" s="616">
        <f t="shared" ref="AG551:AR551" si="335">AG546*N$430</f>
        <v>0</v>
      </c>
      <c r="AH551" s="616">
        <f t="shared" si="335"/>
        <v>0</v>
      </c>
      <c r="AI551" s="616">
        <f t="shared" si="335"/>
        <v>0</v>
      </c>
      <c r="AJ551" s="616">
        <f t="shared" si="335"/>
        <v>0</v>
      </c>
      <c r="AK551" s="616">
        <f t="shared" si="335"/>
        <v>0</v>
      </c>
      <c r="AL551" s="616">
        <f t="shared" si="335"/>
        <v>0</v>
      </c>
      <c r="AM551" s="616">
        <f t="shared" si="335"/>
        <v>0</v>
      </c>
      <c r="AN551" s="616">
        <f t="shared" si="335"/>
        <v>0</v>
      </c>
      <c r="AO551" s="616">
        <f t="shared" si="335"/>
        <v>0</v>
      </c>
      <c r="AP551" s="616">
        <f t="shared" si="335"/>
        <v>0</v>
      </c>
      <c r="AQ551" s="616">
        <f t="shared" si="335"/>
        <v>0</v>
      </c>
      <c r="AR551" s="616">
        <f t="shared" si="335"/>
        <v>0</v>
      </c>
      <c r="AS551" s="616">
        <f t="shared" ref="AS551:BD551" si="336">AS546*N$430</f>
        <v>0</v>
      </c>
      <c r="AT551" s="616">
        <f t="shared" si="336"/>
        <v>0</v>
      </c>
      <c r="AU551" s="616">
        <f t="shared" si="336"/>
        <v>0</v>
      </c>
      <c r="AV551" s="616">
        <f t="shared" si="336"/>
        <v>0</v>
      </c>
      <c r="AW551" s="616">
        <f t="shared" si="336"/>
        <v>0</v>
      </c>
      <c r="AX551" s="616">
        <f t="shared" si="336"/>
        <v>0</v>
      </c>
      <c r="AY551" s="616">
        <f t="shared" si="336"/>
        <v>0</v>
      </c>
      <c r="AZ551" s="616">
        <f t="shared" si="336"/>
        <v>0</v>
      </c>
      <c r="BA551" s="616">
        <f t="shared" si="336"/>
        <v>0</v>
      </c>
      <c r="BB551" s="616">
        <f t="shared" si="336"/>
        <v>0</v>
      </c>
      <c r="BC551" s="616">
        <f t="shared" si="336"/>
        <v>0</v>
      </c>
      <c r="BD551" s="616">
        <f t="shared" si="336"/>
        <v>0</v>
      </c>
      <c r="BE551" s="616">
        <f t="shared" ref="BE551:BP551" si="337">BE546*N$430</f>
        <v>0</v>
      </c>
      <c r="BF551" s="616">
        <f t="shared" si="337"/>
        <v>0</v>
      </c>
      <c r="BG551" s="616">
        <f t="shared" si="337"/>
        <v>0</v>
      </c>
      <c r="BH551" s="616">
        <f t="shared" si="337"/>
        <v>0</v>
      </c>
      <c r="BI551" s="616">
        <f t="shared" si="337"/>
        <v>0</v>
      </c>
      <c r="BJ551" s="616">
        <f t="shared" si="337"/>
        <v>0</v>
      </c>
      <c r="BK551" s="616">
        <f t="shared" si="337"/>
        <v>0</v>
      </c>
      <c r="BL551" s="616">
        <f t="shared" si="337"/>
        <v>0</v>
      </c>
      <c r="BM551" s="616">
        <f t="shared" si="337"/>
        <v>0</v>
      </c>
      <c r="BN551" s="616">
        <f t="shared" si="337"/>
        <v>0</v>
      </c>
      <c r="BO551" s="616">
        <f t="shared" si="337"/>
        <v>0</v>
      </c>
      <c r="BP551" s="616">
        <f t="shared" si="337"/>
        <v>0</v>
      </c>
      <c r="BQ551" s="616">
        <f t="shared" ref="BQ551:CB551" si="338">BQ546*N$430</f>
        <v>0</v>
      </c>
      <c r="BR551" s="616">
        <f t="shared" si="338"/>
        <v>0</v>
      </c>
      <c r="BS551" s="616">
        <f t="shared" si="338"/>
        <v>0</v>
      </c>
      <c r="BT551" s="616">
        <f t="shared" si="338"/>
        <v>0</v>
      </c>
      <c r="BU551" s="616">
        <f t="shared" si="338"/>
        <v>0</v>
      </c>
      <c r="BV551" s="616">
        <f t="shared" si="338"/>
        <v>0</v>
      </c>
      <c r="BW551" s="616">
        <f t="shared" si="338"/>
        <v>0</v>
      </c>
      <c r="BX551" s="616">
        <f t="shared" si="338"/>
        <v>0</v>
      </c>
      <c r="BY551" s="616">
        <f t="shared" si="338"/>
        <v>0</v>
      </c>
      <c r="BZ551" s="616">
        <f t="shared" si="338"/>
        <v>0</v>
      </c>
      <c r="CA551" s="616">
        <f t="shared" si="338"/>
        <v>0</v>
      </c>
      <c r="CB551" s="616">
        <f t="shared" si="338"/>
        <v>0</v>
      </c>
      <c r="CC551" s="616">
        <f t="shared" ref="CC551:CN551" si="339">CC546*N$430</f>
        <v>0</v>
      </c>
      <c r="CD551" s="616">
        <f t="shared" si="339"/>
        <v>0</v>
      </c>
      <c r="CE551" s="616">
        <f t="shared" si="339"/>
        <v>0</v>
      </c>
      <c r="CF551" s="616">
        <f t="shared" si="339"/>
        <v>0</v>
      </c>
      <c r="CG551" s="616">
        <f t="shared" si="339"/>
        <v>0</v>
      </c>
      <c r="CH551" s="616">
        <f t="shared" si="339"/>
        <v>0</v>
      </c>
      <c r="CI551" s="616">
        <f t="shared" si="339"/>
        <v>0</v>
      </c>
      <c r="CJ551" s="616">
        <f t="shared" si="339"/>
        <v>0</v>
      </c>
      <c r="CK551" s="616">
        <f t="shared" si="339"/>
        <v>0</v>
      </c>
      <c r="CL551" s="616">
        <f t="shared" si="339"/>
        <v>0</v>
      </c>
      <c r="CM551" s="616">
        <f t="shared" si="339"/>
        <v>0</v>
      </c>
      <c r="CN551" s="616">
        <f t="shared" si="339"/>
        <v>0</v>
      </c>
    </row>
    <row r="552" spans="8:92">
      <c r="H552" s="602" t="s">
        <v>940</v>
      </c>
      <c r="L552" s="618"/>
      <c r="M552" s="600"/>
      <c r="N552" s="615"/>
      <c r="O552" s="615"/>
      <c r="P552" s="615"/>
      <c r="Q552" s="615"/>
      <c r="R552" s="615"/>
      <c r="S552" s="615"/>
      <c r="U552" s="616"/>
      <c r="V552" s="616"/>
      <c r="W552" s="616"/>
      <c r="X552" s="616"/>
      <c r="Y552" s="616"/>
      <c r="Z552" s="616"/>
      <c r="AA552" s="616"/>
      <c r="AB552" s="616"/>
      <c r="AC552" s="616"/>
      <c r="AD552" s="616"/>
      <c r="AE552" s="616"/>
      <c r="AF552" s="616"/>
      <c r="AG552" s="616"/>
      <c r="AH552" s="616"/>
      <c r="AI552" s="616"/>
      <c r="AJ552" s="616"/>
      <c r="AK552" s="616"/>
      <c r="AL552" s="616"/>
      <c r="AM552" s="616"/>
      <c r="AN552" s="616"/>
      <c r="AO552" s="616"/>
      <c r="AP552" s="616"/>
      <c r="AQ552" s="616"/>
      <c r="AR552" s="616"/>
      <c r="AS552" s="616"/>
      <c r="AT552" s="616"/>
      <c r="AU552" s="616"/>
      <c r="AV552" s="616"/>
      <c r="AW552" s="616"/>
      <c r="AX552" s="616"/>
      <c r="AY552" s="616"/>
      <c r="AZ552" s="616"/>
      <c r="BA552" s="616"/>
      <c r="BB552" s="616"/>
      <c r="BC552" s="616"/>
      <c r="BD552" s="616"/>
      <c r="BE552" s="616"/>
      <c r="BF552" s="616"/>
      <c r="BG552" s="616"/>
      <c r="BH552" s="616"/>
      <c r="BI552" s="616"/>
      <c r="BJ552" s="616"/>
      <c r="BK552" s="616"/>
      <c r="BL552" s="616"/>
      <c r="BM552" s="616"/>
      <c r="BN552" s="616"/>
      <c r="BO552" s="616"/>
      <c r="BP552" s="616"/>
      <c r="BQ552" s="616"/>
      <c r="BR552" s="616"/>
      <c r="BS552" s="616"/>
      <c r="BT552" s="616"/>
      <c r="BU552" s="616"/>
      <c r="BV552" s="616"/>
      <c r="BW552" s="616"/>
      <c r="BX552" s="616"/>
      <c r="BY552" s="616"/>
      <c r="BZ552" s="616"/>
      <c r="CA552" s="616"/>
      <c r="CB552" s="616"/>
      <c r="CC552" s="616"/>
      <c r="CD552" s="616"/>
      <c r="CE552" s="616"/>
      <c r="CF552" s="616"/>
      <c r="CG552" s="616"/>
      <c r="CH552" s="616"/>
      <c r="CI552" s="616"/>
      <c r="CJ552" s="616"/>
      <c r="CK552" s="616"/>
      <c r="CL552" s="616"/>
      <c r="CM552" s="616"/>
      <c r="CN552" s="616"/>
    </row>
    <row r="553" spans="8:92">
      <c r="H553" s="602" t="s">
        <v>940</v>
      </c>
      <c r="L553" s="618" t="s">
        <v>1247</v>
      </c>
      <c r="M553" s="600" t="s">
        <v>974</v>
      </c>
      <c r="N553" s="615">
        <f>SUM(U553:AF553)</f>
        <v>0</v>
      </c>
      <c r="O553" s="615">
        <f>SUM(AG553:AR553)</f>
        <v>0</v>
      </c>
      <c r="P553" s="615">
        <f>SUM(AS553:BD553)</f>
        <v>0</v>
      </c>
      <c r="Q553" s="615">
        <f>SUM(BE553:BP553)</f>
        <v>0</v>
      </c>
      <c r="R553" s="615">
        <f>SUM(BQ553:CB553)</f>
        <v>0</v>
      </c>
      <c r="S553" s="615">
        <f>SUM(CC553:CN553)</f>
        <v>0</v>
      </c>
      <c r="U553" s="616">
        <f t="shared" ref="U553:AF553" si="340">N$418</f>
        <v>0</v>
      </c>
      <c r="V553" s="616">
        <f t="shared" si="340"/>
        <v>0</v>
      </c>
      <c r="W553" s="616">
        <f t="shared" si="340"/>
        <v>0</v>
      </c>
      <c r="X553" s="616">
        <f t="shared" si="340"/>
        <v>0</v>
      </c>
      <c r="Y553" s="616">
        <f t="shared" si="340"/>
        <v>0</v>
      </c>
      <c r="Z553" s="616">
        <f t="shared" si="340"/>
        <v>0</v>
      </c>
      <c r="AA553" s="616">
        <f t="shared" si="340"/>
        <v>0</v>
      </c>
      <c r="AB553" s="616">
        <f t="shared" si="340"/>
        <v>0</v>
      </c>
      <c r="AC553" s="616">
        <f t="shared" si="340"/>
        <v>0</v>
      </c>
      <c r="AD553" s="616">
        <f t="shared" si="340"/>
        <v>0</v>
      </c>
      <c r="AE553" s="616">
        <f t="shared" si="340"/>
        <v>0</v>
      </c>
      <c r="AF553" s="616">
        <f t="shared" si="340"/>
        <v>0</v>
      </c>
      <c r="AG553" s="616">
        <f t="shared" ref="AG553:AR553" si="341">N$418</f>
        <v>0</v>
      </c>
      <c r="AH553" s="616">
        <f t="shared" si="341"/>
        <v>0</v>
      </c>
      <c r="AI553" s="616">
        <f t="shared" si="341"/>
        <v>0</v>
      </c>
      <c r="AJ553" s="616">
        <f t="shared" si="341"/>
        <v>0</v>
      </c>
      <c r="AK553" s="616">
        <f t="shared" si="341"/>
        <v>0</v>
      </c>
      <c r="AL553" s="616">
        <f t="shared" si="341"/>
        <v>0</v>
      </c>
      <c r="AM553" s="616">
        <f t="shared" si="341"/>
        <v>0</v>
      </c>
      <c r="AN553" s="616">
        <f t="shared" si="341"/>
        <v>0</v>
      </c>
      <c r="AO553" s="616">
        <f t="shared" si="341"/>
        <v>0</v>
      </c>
      <c r="AP553" s="616">
        <f t="shared" si="341"/>
        <v>0</v>
      </c>
      <c r="AQ553" s="616">
        <f t="shared" si="341"/>
        <v>0</v>
      </c>
      <c r="AR553" s="616">
        <f t="shared" si="341"/>
        <v>0</v>
      </c>
      <c r="AS553" s="616">
        <f t="shared" ref="AS553:BD553" si="342">N$418</f>
        <v>0</v>
      </c>
      <c r="AT553" s="616">
        <f t="shared" si="342"/>
        <v>0</v>
      </c>
      <c r="AU553" s="616">
        <f t="shared" si="342"/>
        <v>0</v>
      </c>
      <c r="AV553" s="616">
        <f t="shared" si="342"/>
        <v>0</v>
      </c>
      <c r="AW553" s="616">
        <f t="shared" si="342"/>
        <v>0</v>
      </c>
      <c r="AX553" s="616">
        <f t="shared" si="342"/>
        <v>0</v>
      </c>
      <c r="AY553" s="616">
        <f t="shared" si="342"/>
        <v>0</v>
      </c>
      <c r="AZ553" s="616">
        <f t="shared" si="342"/>
        <v>0</v>
      </c>
      <c r="BA553" s="616">
        <f t="shared" si="342"/>
        <v>0</v>
      </c>
      <c r="BB553" s="616">
        <f t="shared" si="342"/>
        <v>0</v>
      </c>
      <c r="BC553" s="616">
        <f t="shared" si="342"/>
        <v>0</v>
      </c>
      <c r="BD553" s="616">
        <f t="shared" si="342"/>
        <v>0</v>
      </c>
      <c r="BE553" s="616">
        <f t="shared" ref="BE553:BP553" si="343">N$418</f>
        <v>0</v>
      </c>
      <c r="BF553" s="616">
        <f t="shared" si="343"/>
        <v>0</v>
      </c>
      <c r="BG553" s="616">
        <f t="shared" si="343"/>
        <v>0</v>
      </c>
      <c r="BH553" s="616">
        <f t="shared" si="343"/>
        <v>0</v>
      </c>
      <c r="BI553" s="616">
        <f t="shared" si="343"/>
        <v>0</v>
      </c>
      <c r="BJ553" s="616">
        <f t="shared" si="343"/>
        <v>0</v>
      </c>
      <c r="BK553" s="616">
        <f t="shared" si="343"/>
        <v>0</v>
      </c>
      <c r="BL553" s="616">
        <f t="shared" si="343"/>
        <v>0</v>
      </c>
      <c r="BM553" s="616">
        <f t="shared" si="343"/>
        <v>0</v>
      </c>
      <c r="BN553" s="616">
        <f t="shared" si="343"/>
        <v>0</v>
      </c>
      <c r="BO553" s="616">
        <f t="shared" si="343"/>
        <v>0</v>
      </c>
      <c r="BP553" s="616">
        <f t="shared" si="343"/>
        <v>0</v>
      </c>
      <c r="BQ553" s="616">
        <f t="shared" ref="BQ553:CB553" si="344">N$418</f>
        <v>0</v>
      </c>
      <c r="BR553" s="616">
        <f t="shared" si="344"/>
        <v>0</v>
      </c>
      <c r="BS553" s="616">
        <f t="shared" si="344"/>
        <v>0</v>
      </c>
      <c r="BT553" s="616">
        <f t="shared" si="344"/>
        <v>0</v>
      </c>
      <c r="BU553" s="616">
        <f t="shared" si="344"/>
        <v>0</v>
      </c>
      <c r="BV553" s="616">
        <f t="shared" si="344"/>
        <v>0</v>
      </c>
      <c r="BW553" s="616">
        <f t="shared" si="344"/>
        <v>0</v>
      </c>
      <c r="BX553" s="616">
        <f t="shared" si="344"/>
        <v>0</v>
      </c>
      <c r="BY553" s="616">
        <f t="shared" si="344"/>
        <v>0</v>
      </c>
      <c r="BZ553" s="616">
        <f t="shared" si="344"/>
        <v>0</v>
      </c>
      <c r="CA553" s="616">
        <f t="shared" si="344"/>
        <v>0</v>
      </c>
      <c r="CB553" s="616">
        <f t="shared" si="344"/>
        <v>0</v>
      </c>
      <c r="CC553" s="616">
        <f t="shared" ref="CC553:CN553" si="345">N$418</f>
        <v>0</v>
      </c>
      <c r="CD553" s="616">
        <f t="shared" si="345"/>
        <v>0</v>
      </c>
      <c r="CE553" s="616">
        <f t="shared" si="345"/>
        <v>0</v>
      </c>
      <c r="CF553" s="616">
        <f t="shared" si="345"/>
        <v>0</v>
      </c>
      <c r="CG553" s="616">
        <f t="shared" si="345"/>
        <v>0</v>
      </c>
      <c r="CH553" s="616">
        <f t="shared" si="345"/>
        <v>0</v>
      </c>
      <c r="CI553" s="616">
        <f t="shared" si="345"/>
        <v>0</v>
      </c>
      <c r="CJ553" s="616">
        <f t="shared" si="345"/>
        <v>0</v>
      </c>
      <c r="CK553" s="616">
        <f t="shared" si="345"/>
        <v>0</v>
      </c>
      <c r="CL553" s="616">
        <f t="shared" si="345"/>
        <v>0</v>
      </c>
      <c r="CM553" s="616">
        <f t="shared" si="345"/>
        <v>0</v>
      </c>
      <c r="CN553" s="616">
        <f t="shared" si="345"/>
        <v>0</v>
      </c>
    </row>
    <row r="554" spans="8:92">
      <c r="H554" s="602" t="s">
        <v>940</v>
      </c>
      <c r="L554" s="618" t="s">
        <v>908</v>
      </c>
      <c r="M554" s="600" t="s">
        <v>974</v>
      </c>
      <c r="N554" s="615">
        <f>SUM(U554:AF554)</f>
        <v>0</v>
      </c>
      <c r="O554" s="615">
        <f>SUM(AG554:AR554)</f>
        <v>0</v>
      </c>
      <c r="P554" s="615">
        <f>SUM(AS554:BD554)</f>
        <v>0</v>
      </c>
      <c r="Q554" s="615">
        <f>SUM(BE554:BP554)</f>
        <v>0</v>
      </c>
      <c r="R554" s="615">
        <f>SUM(BQ554:CB554)</f>
        <v>0</v>
      </c>
      <c r="S554" s="615">
        <f>SUM(CC554:CN554)</f>
        <v>0</v>
      </c>
      <c r="U554" s="616">
        <f t="shared" ref="U554:AF554" si="346">U541*N$419</f>
        <v>0</v>
      </c>
      <c r="V554" s="616">
        <f t="shared" si="346"/>
        <v>0</v>
      </c>
      <c r="W554" s="616">
        <f t="shared" si="346"/>
        <v>0</v>
      </c>
      <c r="X554" s="616">
        <f t="shared" si="346"/>
        <v>0</v>
      </c>
      <c r="Y554" s="616">
        <f t="shared" si="346"/>
        <v>0</v>
      </c>
      <c r="Z554" s="616">
        <f t="shared" si="346"/>
        <v>0</v>
      </c>
      <c r="AA554" s="616">
        <f t="shared" si="346"/>
        <v>0</v>
      </c>
      <c r="AB554" s="616">
        <f t="shared" si="346"/>
        <v>0</v>
      </c>
      <c r="AC554" s="616">
        <f t="shared" si="346"/>
        <v>0</v>
      </c>
      <c r="AD554" s="616">
        <f t="shared" si="346"/>
        <v>0</v>
      </c>
      <c r="AE554" s="616">
        <f t="shared" si="346"/>
        <v>0</v>
      </c>
      <c r="AF554" s="616">
        <f t="shared" si="346"/>
        <v>0</v>
      </c>
      <c r="AG554" s="616">
        <f t="shared" ref="AG554:AR554" si="347">AG541*N$419</f>
        <v>0</v>
      </c>
      <c r="AH554" s="616">
        <f t="shared" si="347"/>
        <v>0</v>
      </c>
      <c r="AI554" s="616">
        <f t="shared" si="347"/>
        <v>0</v>
      </c>
      <c r="AJ554" s="616">
        <f t="shared" si="347"/>
        <v>0</v>
      </c>
      <c r="AK554" s="616">
        <f t="shared" si="347"/>
        <v>0</v>
      </c>
      <c r="AL554" s="616">
        <f t="shared" si="347"/>
        <v>0</v>
      </c>
      <c r="AM554" s="616">
        <f t="shared" si="347"/>
        <v>0</v>
      </c>
      <c r="AN554" s="616">
        <f t="shared" si="347"/>
        <v>0</v>
      </c>
      <c r="AO554" s="616">
        <f t="shared" si="347"/>
        <v>0</v>
      </c>
      <c r="AP554" s="616">
        <f t="shared" si="347"/>
        <v>0</v>
      </c>
      <c r="AQ554" s="616">
        <f t="shared" si="347"/>
        <v>0</v>
      </c>
      <c r="AR554" s="616">
        <f t="shared" si="347"/>
        <v>0</v>
      </c>
      <c r="AS554" s="616">
        <f t="shared" ref="AS554:BD554" si="348">AS541*N$419</f>
        <v>0</v>
      </c>
      <c r="AT554" s="616">
        <f t="shared" si="348"/>
        <v>0</v>
      </c>
      <c r="AU554" s="616">
        <f t="shared" si="348"/>
        <v>0</v>
      </c>
      <c r="AV554" s="616">
        <f t="shared" si="348"/>
        <v>0</v>
      </c>
      <c r="AW554" s="616">
        <f t="shared" si="348"/>
        <v>0</v>
      </c>
      <c r="AX554" s="616">
        <f t="shared" si="348"/>
        <v>0</v>
      </c>
      <c r="AY554" s="616">
        <f t="shared" si="348"/>
        <v>0</v>
      </c>
      <c r="AZ554" s="616">
        <f t="shared" si="348"/>
        <v>0</v>
      </c>
      <c r="BA554" s="616">
        <f t="shared" si="348"/>
        <v>0</v>
      </c>
      <c r="BB554" s="616">
        <f t="shared" si="348"/>
        <v>0</v>
      </c>
      <c r="BC554" s="616">
        <f t="shared" si="348"/>
        <v>0</v>
      </c>
      <c r="BD554" s="616">
        <f t="shared" si="348"/>
        <v>0</v>
      </c>
      <c r="BE554" s="616">
        <f t="shared" ref="BE554:BP554" si="349">BE541*N$419</f>
        <v>0</v>
      </c>
      <c r="BF554" s="616">
        <f t="shared" si="349"/>
        <v>0</v>
      </c>
      <c r="BG554" s="616">
        <f t="shared" si="349"/>
        <v>0</v>
      </c>
      <c r="BH554" s="616">
        <f t="shared" si="349"/>
        <v>0</v>
      </c>
      <c r="BI554" s="616">
        <f t="shared" si="349"/>
        <v>0</v>
      </c>
      <c r="BJ554" s="616">
        <f t="shared" si="349"/>
        <v>0</v>
      </c>
      <c r="BK554" s="616">
        <f t="shared" si="349"/>
        <v>0</v>
      </c>
      <c r="BL554" s="616">
        <f t="shared" si="349"/>
        <v>0</v>
      </c>
      <c r="BM554" s="616">
        <f t="shared" si="349"/>
        <v>0</v>
      </c>
      <c r="BN554" s="616">
        <f t="shared" si="349"/>
        <v>0</v>
      </c>
      <c r="BO554" s="616">
        <f t="shared" si="349"/>
        <v>0</v>
      </c>
      <c r="BP554" s="616">
        <f t="shared" si="349"/>
        <v>0</v>
      </c>
      <c r="BQ554" s="616">
        <f t="shared" ref="BQ554:CB554" si="350">BQ541*N$419</f>
        <v>0</v>
      </c>
      <c r="BR554" s="616">
        <f t="shared" si="350"/>
        <v>0</v>
      </c>
      <c r="BS554" s="616">
        <f t="shared" si="350"/>
        <v>0</v>
      </c>
      <c r="BT554" s="616">
        <f t="shared" si="350"/>
        <v>0</v>
      </c>
      <c r="BU554" s="616">
        <f t="shared" si="350"/>
        <v>0</v>
      </c>
      <c r="BV554" s="616">
        <f t="shared" si="350"/>
        <v>0</v>
      </c>
      <c r="BW554" s="616">
        <f t="shared" si="350"/>
        <v>0</v>
      </c>
      <c r="BX554" s="616">
        <f t="shared" si="350"/>
        <v>0</v>
      </c>
      <c r="BY554" s="616">
        <f t="shared" si="350"/>
        <v>0</v>
      </c>
      <c r="BZ554" s="616">
        <f t="shared" si="350"/>
        <v>0</v>
      </c>
      <c r="CA554" s="616">
        <f t="shared" si="350"/>
        <v>0</v>
      </c>
      <c r="CB554" s="616">
        <f t="shared" si="350"/>
        <v>0</v>
      </c>
      <c r="CC554" s="616">
        <f t="shared" ref="CC554:CN554" si="351">CC541*N$419</f>
        <v>0</v>
      </c>
      <c r="CD554" s="616">
        <f t="shared" si="351"/>
        <v>0</v>
      </c>
      <c r="CE554" s="616">
        <f t="shared" si="351"/>
        <v>0</v>
      </c>
      <c r="CF554" s="616">
        <f t="shared" si="351"/>
        <v>0</v>
      </c>
      <c r="CG554" s="616">
        <f t="shared" si="351"/>
        <v>0</v>
      </c>
      <c r="CH554" s="616">
        <f t="shared" si="351"/>
        <v>0</v>
      </c>
      <c r="CI554" s="616">
        <f t="shared" si="351"/>
        <v>0</v>
      </c>
      <c r="CJ554" s="616">
        <f t="shared" si="351"/>
        <v>0</v>
      </c>
      <c r="CK554" s="616">
        <f t="shared" si="351"/>
        <v>0</v>
      </c>
      <c r="CL554" s="616">
        <f t="shared" si="351"/>
        <v>0</v>
      </c>
      <c r="CM554" s="616">
        <f t="shared" si="351"/>
        <v>0</v>
      </c>
      <c r="CN554" s="616">
        <f t="shared" si="351"/>
        <v>0</v>
      </c>
    </row>
    <row r="555" spans="8:92">
      <c r="H555" s="602" t="s">
        <v>940</v>
      </c>
      <c r="L555" s="618" t="s">
        <v>1304</v>
      </c>
      <c r="M555" s="600" t="s">
        <v>974</v>
      </c>
      <c r="N555" s="615">
        <f>SUM(U555:AF555)</f>
        <v>0</v>
      </c>
      <c r="O555" s="615">
        <f>SUM(AG555:AR555)</f>
        <v>0</v>
      </c>
      <c r="P555" s="615">
        <f>SUM(AS555:BD555)</f>
        <v>0</v>
      </c>
      <c r="Q555" s="615">
        <f>SUM(BE555:BP555)</f>
        <v>0</v>
      </c>
      <c r="R555" s="615">
        <f>SUM(BQ555:CB555)</f>
        <v>0</v>
      </c>
      <c r="S555" s="615">
        <f>SUM(CC555:CN555)</f>
        <v>0</v>
      </c>
      <c r="U555" s="616">
        <f t="shared" ref="U555:CF555" si="352">SUM(U548:U551,U553:U554)</f>
        <v>0</v>
      </c>
      <c r="V555" s="616">
        <f t="shared" si="352"/>
        <v>0</v>
      </c>
      <c r="W555" s="616">
        <f t="shared" si="352"/>
        <v>0</v>
      </c>
      <c r="X555" s="616">
        <f t="shared" si="352"/>
        <v>0</v>
      </c>
      <c r="Y555" s="616">
        <f t="shared" si="352"/>
        <v>0</v>
      </c>
      <c r="Z555" s="616">
        <f t="shared" si="352"/>
        <v>0</v>
      </c>
      <c r="AA555" s="616">
        <f t="shared" si="352"/>
        <v>0</v>
      </c>
      <c r="AB555" s="616">
        <f t="shared" si="352"/>
        <v>0</v>
      </c>
      <c r="AC555" s="616">
        <f t="shared" si="352"/>
        <v>0</v>
      </c>
      <c r="AD555" s="616">
        <f t="shared" si="352"/>
        <v>0</v>
      </c>
      <c r="AE555" s="616">
        <f t="shared" si="352"/>
        <v>0</v>
      </c>
      <c r="AF555" s="616">
        <f t="shared" si="352"/>
        <v>0</v>
      </c>
      <c r="AG555" s="616">
        <f t="shared" si="352"/>
        <v>0</v>
      </c>
      <c r="AH555" s="616">
        <f t="shared" si="352"/>
        <v>0</v>
      </c>
      <c r="AI555" s="616">
        <f t="shared" si="352"/>
        <v>0</v>
      </c>
      <c r="AJ555" s="616">
        <f t="shared" si="352"/>
        <v>0</v>
      </c>
      <c r="AK555" s="616">
        <f t="shared" si="352"/>
        <v>0</v>
      </c>
      <c r="AL555" s="616">
        <f t="shared" si="352"/>
        <v>0</v>
      </c>
      <c r="AM555" s="616">
        <f t="shared" si="352"/>
        <v>0</v>
      </c>
      <c r="AN555" s="616">
        <f t="shared" si="352"/>
        <v>0</v>
      </c>
      <c r="AO555" s="616">
        <f t="shared" si="352"/>
        <v>0</v>
      </c>
      <c r="AP555" s="616">
        <f t="shared" si="352"/>
        <v>0</v>
      </c>
      <c r="AQ555" s="616">
        <f t="shared" si="352"/>
        <v>0</v>
      </c>
      <c r="AR555" s="616">
        <f t="shared" si="352"/>
        <v>0</v>
      </c>
      <c r="AS555" s="616">
        <f t="shared" si="352"/>
        <v>0</v>
      </c>
      <c r="AT555" s="616">
        <f t="shared" si="352"/>
        <v>0</v>
      </c>
      <c r="AU555" s="616">
        <f t="shared" si="352"/>
        <v>0</v>
      </c>
      <c r="AV555" s="616">
        <f t="shared" si="352"/>
        <v>0</v>
      </c>
      <c r="AW555" s="616">
        <f t="shared" si="352"/>
        <v>0</v>
      </c>
      <c r="AX555" s="616">
        <f t="shared" si="352"/>
        <v>0</v>
      </c>
      <c r="AY555" s="616">
        <f t="shared" si="352"/>
        <v>0</v>
      </c>
      <c r="AZ555" s="616">
        <f t="shared" si="352"/>
        <v>0</v>
      </c>
      <c r="BA555" s="616">
        <f t="shared" si="352"/>
        <v>0</v>
      </c>
      <c r="BB555" s="616">
        <f t="shared" si="352"/>
        <v>0</v>
      </c>
      <c r="BC555" s="616">
        <f t="shared" si="352"/>
        <v>0</v>
      </c>
      <c r="BD555" s="616">
        <f t="shared" si="352"/>
        <v>0</v>
      </c>
      <c r="BE555" s="616">
        <f t="shared" si="352"/>
        <v>0</v>
      </c>
      <c r="BF555" s="616">
        <f t="shared" si="352"/>
        <v>0</v>
      </c>
      <c r="BG555" s="616">
        <f t="shared" si="352"/>
        <v>0</v>
      </c>
      <c r="BH555" s="616">
        <f t="shared" si="352"/>
        <v>0</v>
      </c>
      <c r="BI555" s="616">
        <f t="shared" si="352"/>
        <v>0</v>
      </c>
      <c r="BJ555" s="616">
        <f t="shared" si="352"/>
        <v>0</v>
      </c>
      <c r="BK555" s="616">
        <f t="shared" si="352"/>
        <v>0</v>
      </c>
      <c r="BL555" s="616">
        <f t="shared" si="352"/>
        <v>0</v>
      </c>
      <c r="BM555" s="616">
        <f t="shared" si="352"/>
        <v>0</v>
      </c>
      <c r="BN555" s="616">
        <f t="shared" si="352"/>
        <v>0</v>
      </c>
      <c r="BO555" s="616">
        <f t="shared" si="352"/>
        <v>0</v>
      </c>
      <c r="BP555" s="616">
        <f t="shared" si="352"/>
        <v>0</v>
      </c>
      <c r="BQ555" s="616">
        <f t="shared" si="352"/>
        <v>0</v>
      </c>
      <c r="BR555" s="616">
        <f t="shared" si="352"/>
        <v>0</v>
      </c>
      <c r="BS555" s="616">
        <f t="shared" si="352"/>
        <v>0</v>
      </c>
      <c r="BT555" s="616">
        <f t="shared" si="352"/>
        <v>0</v>
      </c>
      <c r="BU555" s="616">
        <f t="shared" si="352"/>
        <v>0</v>
      </c>
      <c r="BV555" s="616">
        <f t="shared" si="352"/>
        <v>0</v>
      </c>
      <c r="BW555" s="616">
        <f t="shared" si="352"/>
        <v>0</v>
      </c>
      <c r="BX555" s="616">
        <f t="shared" si="352"/>
        <v>0</v>
      </c>
      <c r="BY555" s="616">
        <f t="shared" si="352"/>
        <v>0</v>
      </c>
      <c r="BZ555" s="616">
        <f t="shared" si="352"/>
        <v>0</v>
      </c>
      <c r="CA555" s="616">
        <f t="shared" si="352"/>
        <v>0</v>
      </c>
      <c r="CB555" s="616">
        <f t="shared" si="352"/>
        <v>0</v>
      </c>
      <c r="CC555" s="616">
        <f t="shared" si="352"/>
        <v>0</v>
      </c>
      <c r="CD555" s="616">
        <f t="shared" si="352"/>
        <v>0</v>
      </c>
      <c r="CE555" s="616">
        <f t="shared" si="352"/>
        <v>0</v>
      </c>
      <c r="CF555" s="616">
        <f t="shared" si="352"/>
        <v>0</v>
      </c>
      <c r="CG555" s="616">
        <f t="shared" ref="CG555:CN555" si="353">SUM(CG548:CG551,CG553:CG554)</f>
        <v>0</v>
      </c>
      <c r="CH555" s="616">
        <f t="shared" si="353"/>
        <v>0</v>
      </c>
      <c r="CI555" s="616">
        <f t="shared" si="353"/>
        <v>0</v>
      </c>
      <c r="CJ555" s="616">
        <f t="shared" si="353"/>
        <v>0</v>
      </c>
      <c r="CK555" s="616">
        <f t="shared" si="353"/>
        <v>0</v>
      </c>
      <c r="CL555" s="616">
        <f t="shared" si="353"/>
        <v>0</v>
      </c>
      <c r="CM555" s="616">
        <f t="shared" si="353"/>
        <v>0</v>
      </c>
      <c r="CN555" s="616">
        <f t="shared" si="353"/>
        <v>0</v>
      </c>
    </row>
    <row r="556" spans="8:92">
      <c r="H556" s="602" t="s">
        <v>940</v>
      </c>
      <c r="L556" s="618" t="s">
        <v>909</v>
      </c>
      <c r="M556" s="600" t="s">
        <v>974</v>
      </c>
      <c r="N556" s="615">
        <f>SUM(U556:AF556)</f>
        <v>0</v>
      </c>
      <c r="O556" s="615">
        <f>SUM(AG556:AR556)</f>
        <v>0</v>
      </c>
      <c r="P556" s="615">
        <f>SUM(AS556:BD556)</f>
        <v>0</v>
      </c>
      <c r="Q556" s="615">
        <f>SUM(BE556:BP556)</f>
        <v>0</v>
      </c>
      <c r="R556" s="615">
        <f>SUM(BQ556:CB556)</f>
        <v>0</v>
      </c>
      <c r="S556" s="615">
        <f>SUM(CC556:CN556)</f>
        <v>0</v>
      </c>
      <c r="U556" s="616">
        <f t="shared" ref="U556:AF556" si="354">U555*N$420/100</f>
        <v>0</v>
      </c>
      <c r="V556" s="616">
        <f t="shared" si="354"/>
        <v>0</v>
      </c>
      <c r="W556" s="616">
        <f t="shared" si="354"/>
        <v>0</v>
      </c>
      <c r="X556" s="616">
        <f t="shared" si="354"/>
        <v>0</v>
      </c>
      <c r="Y556" s="616">
        <f t="shared" si="354"/>
        <v>0</v>
      </c>
      <c r="Z556" s="616">
        <f t="shared" si="354"/>
        <v>0</v>
      </c>
      <c r="AA556" s="616">
        <f t="shared" si="354"/>
        <v>0</v>
      </c>
      <c r="AB556" s="616">
        <f t="shared" si="354"/>
        <v>0</v>
      </c>
      <c r="AC556" s="616">
        <f t="shared" si="354"/>
        <v>0</v>
      </c>
      <c r="AD556" s="616">
        <f t="shared" si="354"/>
        <v>0</v>
      </c>
      <c r="AE556" s="616">
        <f t="shared" si="354"/>
        <v>0</v>
      </c>
      <c r="AF556" s="616">
        <f t="shared" si="354"/>
        <v>0</v>
      </c>
      <c r="AG556" s="616">
        <f t="shared" ref="AG556:AR556" si="355">AG555*N$420/100</f>
        <v>0</v>
      </c>
      <c r="AH556" s="616">
        <f t="shared" si="355"/>
        <v>0</v>
      </c>
      <c r="AI556" s="616">
        <f t="shared" si="355"/>
        <v>0</v>
      </c>
      <c r="AJ556" s="616">
        <f t="shared" si="355"/>
        <v>0</v>
      </c>
      <c r="AK556" s="616">
        <f t="shared" si="355"/>
        <v>0</v>
      </c>
      <c r="AL556" s="616">
        <f t="shared" si="355"/>
        <v>0</v>
      </c>
      <c r="AM556" s="616">
        <f t="shared" si="355"/>
        <v>0</v>
      </c>
      <c r="AN556" s="616">
        <f t="shared" si="355"/>
        <v>0</v>
      </c>
      <c r="AO556" s="616">
        <f t="shared" si="355"/>
        <v>0</v>
      </c>
      <c r="AP556" s="616">
        <f t="shared" si="355"/>
        <v>0</v>
      </c>
      <c r="AQ556" s="616">
        <f t="shared" si="355"/>
        <v>0</v>
      </c>
      <c r="AR556" s="616">
        <f t="shared" si="355"/>
        <v>0</v>
      </c>
      <c r="AS556" s="616">
        <f t="shared" ref="AS556:BD556" si="356">AS555*N$420/100</f>
        <v>0</v>
      </c>
      <c r="AT556" s="616">
        <f t="shared" si="356"/>
        <v>0</v>
      </c>
      <c r="AU556" s="616">
        <f t="shared" si="356"/>
        <v>0</v>
      </c>
      <c r="AV556" s="616">
        <f t="shared" si="356"/>
        <v>0</v>
      </c>
      <c r="AW556" s="616">
        <f t="shared" si="356"/>
        <v>0</v>
      </c>
      <c r="AX556" s="616">
        <f t="shared" si="356"/>
        <v>0</v>
      </c>
      <c r="AY556" s="616">
        <f t="shared" si="356"/>
        <v>0</v>
      </c>
      <c r="AZ556" s="616">
        <f t="shared" si="356"/>
        <v>0</v>
      </c>
      <c r="BA556" s="616">
        <f t="shared" si="356"/>
        <v>0</v>
      </c>
      <c r="BB556" s="616">
        <f t="shared" si="356"/>
        <v>0</v>
      </c>
      <c r="BC556" s="616">
        <f t="shared" si="356"/>
        <v>0</v>
      </c>
      <c r="BD556" s="616">
        <f t="shared" si="356"/>
        <v>0</v>
      </c>
      <c r="BE556" s="616">
        <f t="shared" ref="BE556:BP556" si="357">BE555*N$420/100</f>
        <v>0</v>
      </c>
      <c r="BF556" s="616">
        <f t="shared" si="357"/>
        <v>0</v>
      </c>
      <c r="BG556" s="616">
        <f t="shared" si="357"/>
        <v>0</v>
      </c>
      <c r="BH556" s="616">
        <f t="shared" si="357"/>
        <v>0</v>
      </c>
      <c r="BI556" s="616">
        <f t="shared" si="357"/>
        <v>0</v>
      </c>
      <c r="BJ556" s="616">
        <f t="shared" si="357"/>
        <v>0</v>
      </c>
      <c r="BK556" s="616">
        <f t="shared" si="357"/>
        <v>0</v>
      </c>
      <c r="BL556" s="616">
        <f t="shared" si="357"/>
        <v>0</v>
      </c>
      <c r="BM556" s="616">
        <f t="shared" si="357"/>
        <v>0</v>
      </c>
      <c r="BN556" s="616">
        <f t="shared" si="357"/>
        <v>0</v>
      </c>
      <c r="BO556" s="616">
        <f t="shared" si="357"/>
        <v>0</v>
      </c>
      <c r="BP556" s="616">
        <f t="shared" si="357"/>
        <v>0</v>
      </c>
      <c r="BQ556" s="616">
        <f t="shared" ref="BQ556:CB556" si="358">BQ555*N$420/100</f>
        <v>0</v>
      </c>
      <c r="BR556" s="616">
        <f t="shared" si="358"/>
        <v>0</v>
      </c>
      <c r="BS556" s="616">
        <f t="shared" si="358"/>
        <v>0</v>
      </c>
      <c r="BT556" s="616">
        <f t="shared" si="358"/>
        <v>0</v>
      </c>
      <c r="BU556" s="616">
        <f t="shared" si="358"/>
        <v>0</v>
      </c>
      <c r="BV556" s="616">
        <f t="shared" si="358"/>
        <v>0</v>
      </c>
      <c r="BW556" s="616">
        <f t="shared" si="358"/>
        <v>0</v>
      </c>
      <c r="BX556" s="616">
        <f t="shared" si="358"/>
        <v>0</v>
      </c>
      <c r="BY556" s="616">
        <f t="shared" si="358"/>
        <v>0</v>
      </c>
      <c r="BZ556" s="616">
        <f t="shared" si="358"/>
        <v>0</v>
      </c>
      <c r="CA556" s="616">
        <f t="shared" si="358"/>
        <v>0</v>
      </c>
      <c r="CB556" s="616">
        <f t="shared" si="358"/>
        <v>0</v>
      </c>
      <c r="CC556" s="616">
        <f t="shared" ref="CC556:CN556" si="359">CC555*N$420/100</f>
        <v>0</v>
      </c>
      <c r="CD556" s="616">
        <f t="shared" si="359"/>
        <v>0</v>
      </c>
      <c r="CE556" s="616">
        <f t="shared" si="359"/>
        <v>0</v>
      </c>
      <c r="CF556" s="616">
        <f t="shared" si="359"/>
        <v>0</v>
      </c>
      <c r="CG556" s="616">
        <f t="shared" si="359"/>
        <v>0</v>
      </c>
      <c r="CH556" s="616">
        <f t="shared" si="359"/>
        <v>0</v>
      </c>
      <c r="CI556" s="616">
        <f t="shared" si="359"/>
        <v>0</v>
      </c>
      <c r="CJ556" s="616">
        <f t="shared" si="359"/>
        <v>0</v>
      </c>
      <c r="CK556" s="616">
        <f t="shared" si="359"/>
        <v>0</v>
      </c>
      <c r="CL556" s="616">
        <f t="shared" si="359"/>
        <v>0</v>
      </c>
      <c r="CM556" s="616">
        <f t="shared" si="359"/>
        <v>0</v>
      </c>
      <c r="CN556" s="616">
        <f t="shared" si="359"/>
        <v>0</v>
      </c>
    </row>
    <row r="557" spans="8:92">
      <c r="H557" s="602" t="s">
        <v>940</v>
      </c>
      <c r="L557" s="618"/>
      <c r="M557" s="600"/>
      <c r="N557" s="615"/>
      <c r="O557" s="615"/>
      <c r="P557" s="615"/>
      <c r="Q557" s="615"/>
      <c r="R557" s="615"/>
      <c r="S557" s="615"/>
      <c r="U557" s="616"/>
      <c r="V557" s="616"/>
      <c r="W557" s="616"/>
      <c r="X557" s="616"/>
      <c r="Y557" s="616"/>
      <c r="Z557" s="616"/>
      <c r="AA557" s="616"/>
      <c r="AB557" s="616"/>
      <c r="AC557" s="616"/>
      <c r="AD557" s="616"/>
      <c r="AE557" s="616"/>
      <c r="AF557" s="616"/>
      <c r="AG557" s="616"/>
      <c r="AH557" s="616"/>
      <c r="AI557" s="616"/>
      <c r="AJ557" s="616"/>
      <c r="AK557" s="616"/>
      <c r="AL557" s="616"/>
      <c r="AM557" s="616"/>
      <c r="AN557" s="616"/>
      <c r="AO557" s="616"/>
      <c r="AP557" s="616"/>
      <c r="AQ557" s="616"/>
      <c r="AR557" s="616"/>
      <c r="AS557" s="616"/>
      <c r="AT557" s="616"/>
      <c r="AU557" s="616"/>
      <c r="AV557" s="616"/>
      <c r="AW557" s="616"/>
      <c r="AX557" s="616"/>
      <c r="AY557" s="616"/>
      <c r="AZ557" s="616"/>
      <c r="BA557" s="616"/>
      <c r="BB557" s="616"/>
      <c r="BC557" s="616"/>
      <c r="BD557" s="616"/>
      <c r="BE557" s="616"/>
      <c r="BF557" s="616"/>
      <c r="BG557" s="616"/>
      <c r="BH557" s="616"/>
      <c r="BI557" s="616"/>
      <c r="BJ557" s="616"/>
      <c r="BK557" s="616"/>
      <c r="BL557" s="616"/>
      <c r="BM557" s="616"/>
      <c r="BN557" s="616"/>
      <c r="BO557" s="616"/>
      <c r="BP557" s="616"/>
      <c r="BQ557" s="616"/>
      <c r="BR557" s="616"/>
      <c r="BS557" s="616"/>
      <c r="BT557" s="616"/>
      <c r="BU557" s="616"/>
      <c r="BV557" s="616"/>
      <c r="BW557" s="616"/>
      <c r="BX557" s="616"/>
      <c r="BY557" s="616"/>
      <c r="BZ557" s="616"/>
      <c r="CA557" s="616"/>
      <c r="CB557" s="616"/>
      <c r="CC557" s="616"/>
      <c r="CD557" s="616"/>
      <c r="CE557" s="616"/>
      <c r="CF557" s="616"/>
      <c r="CG557" s="616"/>
      <c r="CH557" s="616"/>
      <c r="CI557" s="616"/>
      <c r="CJ557" s="616"/>
      <c r="CK557" s="616"/>
      <c r="CL557" s="616"/>
      <c r="CM557" s="616"/>
      <c r="CN557" s="616"/>
    </row>
    <row r="558" spans="8:92">
      <c r="H558" s="602" t="s">
        <v>940</v>
      </c>
      <c r="L558" s="618" t="s">
        <v>1305</v>
      </c>
      <c r="M558" s="600" t="s">
        <v>974</v>
      </c>
      <c r="N558" s="615">
        <f>SUM(U558:AF558)</f>
        <v>0</v>
      </c>
      <c r="O558" s="615">
        <f>SUM(AG558:AR558)</f>
        <v>0</v>
      </c>
      <c r="P558" s="615">
        <f>SUM(AS558:BD558)</f>
        <v>0</v>
      </c>
      <c r="Q558" s="615">
        <f>SUM(BE558:BP558)</f>
        <v>0</v>
      </c>
      <c r="R558" s="615">
        <f>SUM(BQ558:CB558)</f>
        <v>0</v>
      </c>
      <c r="S558" s="615">
        <f>SUM(CC558:CN558)</f>
        <v>0</v>
      </c>
      <c r="U558" s="616">
        <f>SUM(U555:U556)</f>
        <v>0</v>
      </c>
      <c r="V558" s="616">
        <f t="shared" ref="V558:CG558" si="360">SUM(V555:V556)</f>
        <v>0</v>
      </c>
      <c r="W558" s="616">
        <f t="shared" si="360"/>
        <v>0</v>
      </c>
      <c r="X558" s="616">
        <f t="shared" si="360"/>
        <v>0</v>
      </c>
      <c r="Y558" s="616">
        <f t="shared" si="360"/>
        <v>0</v>
      </c>
      <c r="Z558" s="616">
        <f t="shared" si="360"/>
        <v>0</v>
      </c>
      <c r="AA558" s="616">
        <f t="shared" si="360"/>
        <v>0</v>
      </c>
      <c r="AB558" s="616">
        <f t="shared" si="360"/>
        <v>0</v>
      </c>
      <c r="AC558" s="616">
        <f t="shared" si="360"/>
        <v>0</v>
      </c>
      <c r="AD558" s="616">
        <f t="shared" si="360"/>
        <v>0</v>
      </c>
      <c r="AE558" s="616">
        <f t="shared" si="360"/>
        <v>0</v>
      </c>
      <c r="AF558" s="616">
        <f t="shared" si="360"/>
        <v>0</v>
      </c>
      <c r="AG558" s="616">
        <f t="shared" si="360"/>
        <v>0</v>
      </c>
      <c r="AH558" s="616">
        <f t="shared" si="360"/>
        <v>0</v>
      </c>
      <c r="AI558" s="616">
        <f t="shared" si="360"/>
        <v>0</v>
      </c>
      <c r="AJ558" s="616">
        <f t="shared" si="360"/>
        <v>0</v>
      </c>
      <c r="AK558" s="616">
        <f t="shared" si="360"/>
        <v>0</v>
      </c>
      <c r="AL558" s="616">
        <f t="shared" si="360"/>
        <v>0</v>
      </c>
      <c r="AM558" s="616">
        <f t="shared" si="360"/>
        <v>0</v>
      </c>
      <c r="AN558" s="616">
        <f t="shared" si="360"/>
        <v>0</v>
      </c>
      <c r="AO558" s="616">
        <f t="shared" si="360"/>
        <v>0</v>
      </c>
      <c r="AP558" s="616">
        <f t="shared" si="360"/>
        <v>0</v>
      </c>
      <c r="AQ558" s="616">
        <f t="shared" si="360"/>
        <v>0</v>
      </c>
      <c r="AR558" s="616">
        <f t="shared" si="360"/>
        <v>0</v>
      </c>
      <c r="AS558" s="616">
        <f t="shared" si="360"/>
        <v>0</v>
      </c>
      <c r="AT558" s="616">
        <f t="shared" si="360"/>
        <v>0</v>
      </c>
      <c r="AU558" s="616">
        <f t="shared" si="360"/>
        <v>0</v>
      </c>
      <c r="AV558" s="616">
        <f t="shared" si="360"/>
        <v>0</v>
      </c>
      <c r="AW558" s="616">
        <f t="shared" si="360"/>
        <v>0</v>
      </c>
      <c r="AX558" s="616">
        <f t="shared" si="360"/>
        <v>0</v>
      </c>
      <c r="AY558" s="616">
        <f t="shared" si="360"/>
        <v>0</v>
      </c>
      <c r="AZ558" s="616">
        <f t="shared" si="360"/>
        <v>0</v>
      </c>
      <c r="BA558" s="616">
        <f t="shared" si="360"/>
        <v>0</v>
      </c>
      <c r="BB558" s="616">
        <f t="shared" si="360"/>
        <v>0</v>
      </c>
      <c r="BC558" s="616">
        <f t="shared" si="360"/>
        <v>0</v>
      </c>
      <c r="BD558" s="616">
        <f t="shared" si="360"/>
        <v>0</v>
      </c>
      <c r="BE558" s="616">
        <f t="shared" si="360"/>
        <v>0</v>
      </c>
      <c r="BF558" s="616">
        <f t="shared" si="360"/>
        <v>0</v>
      </c>
      <c r="BG558" s="616">
        <f t="shared" si="360"/>
        <v>0</v>
      </c>
      <c r="BH558" s="616">
        <f t="shared" si="360"/>
        <v>0</v>
      </c>
      <c r="BI558" s="616">
        <f t="shared" si="360"/>
        <v>0</v>
      </c>
      <c r="BJ558" s="616">
        <f t="shared" si="360"/>
        <v>0</v>
      </c>
      <c r="BK558" s="616">
        <f t="shared" si="360"/>
        <v>0</v>
      </c>
      <c r="BL558" s="616">
        <f t="shared" si="360"/>
        <v>0</v>
      </c>
      <c r="BM558" s="616">
        <f t="shared" si="360"/>
        <v>0</v>
      </c>
      <c r="BN558" s="616">
        <f t="shared" si="360"/>
        <v>0</v>
      </c>
      <c r="BO558" s="616">
        <f t="shared" si="360"/>
        <v>0</v>
      </c>
      <c r="BP558" s="616">
        <f t="shared" si="360"/>
        <v>0</v>
      </c>
      <c r="BQ558" s="616">
        <f t="shared" si="360"/>
        <v>0</v>
      </c>
      <c r="BR558" s="616">
        <f t="shared" si="360"/>
        <v>0</v>
      </c>
      <c r="BS558" s="616">
        <f t="shared" si="360"/>
        <v>0</v>
      </c>
      <c r="BT558" s="616">
        <f t="shared" si="360"/>
        <v>0</v>
      </c>
      <c r="BU558" s="616">
        <f t="shared" si="360"/>
        <v>0</v>
      </c>
      <c r="BV558" s="616">
        <f t="shared" si="360"/>
        <v>0</v>
      </c>
      <c r="BW558" s="616">
        <f t="shared" si="360"/>
        <v>0</v>
      </c>
      <c r="BX558" s="616">
        <f t="shared" si="360"/>
        <v>0</v>
      </c>
      <c r="BY558" s="616">
        <f t="shared" si="360"/>
        <v>0</v>
      </c>
      <c r="BZ558" s="616">
        <f t="shared" si="360"/>
        <v>0</v>
      </c>
      <c r="CA558" s="616">
        <f t="shared" si="360"/>
        <v>0</v>
      </c>
      <c r="CB558" s="616">
        <f t="shared" si="360"/>
        <v>0</v>
      </c>
      <c r="CC558" s="616">
        <f t="shared" si="360"/>
        <v>0</v>
      </c>
      <c r="CD558" s="616">
        <f t="shared" si="360"/>
        <v>0</v>
      </c>
      <c r="CE558" s="616">
        <f t="shared" si="360"/>
        <v>0</v>
      </c>
      <c r="CF558" s="616">
        <f t="shared" si="360"/>
        <v>0</v>
      </c>
      <c r="CG558" s="616">
        <f t="shared" si="360"/>
        <v>0</v>
      </c>
      <c r="CH558" s="616">
        <f t="shared" ref="CH558:CN558" si="361">SUM(CH555:CH556)</f>
        <v>0</v>
      </c>
      <c r="CI558" s="616">
        <f t="shared" si="361"/>
        <v>0</v>
      </c>
      <c r="CJ558" s="616">
        <f t="shared" si="361"/>
        <v>0</v>
      </c>
      <c r="CK558" s="616">
        <f t="shared" si="361"/>
        <v>0</v>
      </c>
      <c r="CL558" s="616">
        <f t="shared" si="361"/>
        <v>0</v>
      </c>
      <c r="CM558" s="616">
        <f t="shared" si="361"/>
        <v>0</v>
      </c>
      <c r="CN558" s="616">
        <f t="shared" si="361"/>
        <v>0</v>
      </c>
    </row>
    <row r="559" spans="8:92">
      <c r="H559" s="602" t="s">
        <v>940</v>
      </c>
      <c r="L559" s="618" t="s">
        <v>1307</v>
      </c>
      <c r="M559" s="600" t="s">
        <v>974</v>
      </c>
      <c r="N559" s="615">
        <f>SUM(U559:AF559)</f>
        <v>0</v>
      </c>
      <c r="O559" s="615">
        <f>SUM(AG559:AR559)</f>
        <v>0</v>
      </c>
      <c r="P559" s="615">
        <f>SUM(AS559:BD559)</f>
        <v>0</v>
      </c>
      <c r="Q559" s="615">
        <f>SUM(BE559:BP559)</f>
        <v>0</v>
      </c>
      <c r="R559" s="615">
        <f>SUM(BQ559:CB559)</f>
        <v>0</v>
      </c>
      <c r="S559" s="615">
        <f>SUM(CC559:CN559)</f>
        <v>0</v>
      </c>
      <c r="U559" s="616">
        <f>U558-U535</f>
        <v>0</v>
      </c>
      <c r="V559" s="616">
        <f t="shared" ref="V559:CG559" si="362">V558-V535</f>
        <v>0</v>
      </c>
      <c r="W559" s="616">
        <f t="shared" si="362"/>
        <v>0</v>
      </c>
      <c r="X559" s="616">
        <f t="shared" si="362"/>
        <v>0</v>
      </c>
      <c r="Y559" s="616">
        <f t="shared" si="362"/>
        <v>0</v>
      </c>
      <c r="Z559" s="616">
        <f t="shared" si="362"/>
        <v>0</v>
      </c>
      <c r="AA559" s="616">
        <f t="shared" si="362"/>
        <v>0</v>
      </c>
      <c r="AB559" s="616">
        <f t="shared" si="362"/>
        <v>0</v>
      </c>
      <c r="AC559" s="616">
        <f t="shared" si="362"/>
        <v>0</v>
      </c>
      <c r="AD559" s="616">
        <f t="shared" si="362"/>
        <v>0</v>
      </c>
      <c r="AE559" s="616">
        <f t="shared" si="362"/>
        <v>0</v>
      </c>
      <c r="AF559" s="616">
        <f t="shared" si="362"/>
        <v>0</v>
      </c>
      <c r="AG559" s="616">
        <f t="shared" si="362"/>
        <v>0</v>
      </c>
      <c r="AH559" s="616">
        <f t="shared" si="362"/>
        <v>0</v>
      </c>
      <c r="AI559" s="616">
        <f t="shared" si="362"/>
        <v>0</v>
      </c>
      <c r="AJ559" s="616">
        <f t="shared" si="362"/>
        <v>0</v>
      </c>
      <c r="AK559" s="616">
        <f t="shared" si="362"/>
        <v>0</v>
      </c>
      <c r="AL559" s="616">
        <f t="shared" si="362"/>
        <v>0</v>
      </c>
      <c r="AM559" s="616">
        <f t="shared" si="362"/>
        <v>0</v>
      </c>
      <c r="AN559" s="616">
        <f t="shared" si="362"/>
        <v>0</v>
      </c>
      <c r="AO559" s="616">
        <f t="shared" si="362"/>
        <v>0</v>
      </c>
      <c r="AP559" s="616">
        <f t="shared" si="362"/>
        <v>0</v>
      </c>
      <c r="AQ559" s="616">
        <f t="shared" si="362"/>
        <v>0</v>
      </c>
      <c r="AR559" s="616">
        <f t="shared" si="362"/>
        <v>0</v>
      </c>
      <c r="AS559" s="616">
        <f t="shared" si="362"/>
        <v>0</v>
      </c>
      <c r="AT559" s="616">
        <f t="shared" si="362"/>
        <v>0</v>
      </c>
      <c r="AU559" s="616">
        <f t="shared" si="362"/>
        <v>0</v>
      </c>
      <c r="AV559" s="616">
        <f t="shared" si="362"/>
        <v>0</v>
      </c>
      <c r="AW559" s="616">
        <f t="shared" si="362"/>
        <v>0</v>
      </c>
      <c r="AX559" s="616">
        <f t="shared" si="362"/>
        <v>0</v>
      </c>
      <c r="AY559" s="616">
        <f t="shared" si="362"/>
        <v>0</v>
      </c>
      <c r="AZ559" s="616">
        <f t="shared" si="362"/>
        <v>0</v>
      </c>
      <c r="BA559" s="616">
        <f t="shared" si="362"/>
        <v>0</v>
      </c>
      <c r="BB559" s="616">
        <f t="shared" si="362"/>
        <v>0</v>
      </c>
      <c r="BC559" s="616">
        <f t="shared" si="362"/>
        <v>0</v>
      </c>
      <c r="BD559" s="616">
        <f t="shared" si="362"/>
        <v>0</v>
      </c>
      <c r="BE559" s="616">
        <f t="shared" si="362"/>
        <v>0</v>
      </c>
      <c r="BF559" s="616">
        <f t="shared" si="362"/>
        <v>0</v>
      </c>
      <c r="BG559" s="616">
        <f t="shared" si="362"/>
        <v>0</v>
      </c>
      <c r="BH559" s="616">
        <f t="shared" si="362"/>
        <v>0</v>
      </c>
      <c r="BI559" s="616">
        <f t="shared" si="362"/>
        <v>0</v>
      </c>
      <c r="BJ559" s="616">
        <f t="shared" si="362"/>
        <v>0</v>
      </c>
      <c r="BK559" s="616">
        <f t="shared" si="362"/>
        <v>0</v>
      </c>
      <c r="BL559" s="616">
        <f t="shared" si="362"/>
        <v>0</v>
      </c>
      <c r="BM559" s="616">
        <f t="shared" si="362"/>
        <v>0</v>
      </c>
      <c r="BN559" s="616">
        <f t="shared" si="362"/>
        <v>0</v>
      </c>
      <c r="BO559" s="616">
        <f t="shared" si="362"/>
        <v>0</v>
      </c>
      <c r="BP559" s="616">
        <f t="shared" si="362"/>
        <v>0</v>
      </c>
      <c r="BQ559" s="616">
        <f t="shared" si="362"/>
        <v>0</v>
      </c>
      <c r="BR559" s="616">
        <f t="shared" si="362"/>
        <v>0</v>
      </c>
      <c r="BS559" s="616">
        <f t="shared" si="362"/>
        <v>0</v>
      </c>
      <c r="BT559" s="616">
        <f t="shared" si="362"/>
        <v>0</v>
      </c>
      <c r="BU559" s="616">
        <f t="shared" si="362"/>
        <v>0</v>
      </c>
      <c r="BV559" s="616">
        <f t="shared" si="362"/>
        <v>0</v>
      </c>
      <c r="BW559" s="616">
        <f t="shared" si="362"/>
        <v>0</v>
      </c>
      <c r="BX559" s="616">
        <f t="shared" si="362"/>
        <v>0</v>
      </c>
      <c r="BY559" s="616">
        <f t="shared" si="362"/>
        <v>0</v>
      </c>
      <c r="BZ559" s="616">
        <f t="shared" si="362"/>
        <v>0</v>
      </c>
      <c r="CA559" s="616">
        <f t="shared" si="362"/>
        <v>0</v>
      </c>
      <c r="CB559" s="616">
        <f t="shared" si="362"/>
        <v>0</v>
      </c>
      <c r="CC559" s="616">
        <f t="shared" si="362"/>
        <v>0</v>
      </c>
      <c r="CD559" s="616">
        <f t="shared" si="362"/>
        <v>0</v>
      </c>
      <c r="CE559" s="616">
        <f t="shared" si="362"/>
        <v>0</v>
      </c>
      <c r="CF559" s="616">
        <f t="shared" si="362"/>
        <v>0</v>
      </c>
      <c r="CG559" s="616">
        <f t="shared" si="362"/>
        <v>0</v>
      </c>
      <c r="CH559" s="616">
        <f t="shared" ref="CH559:CN559" si="363">CH558-CH535</f>
        <v>0</v>
      </c>
      <c r="CI559" s="616">
        <f t="shared" si="363"/>
        <v>0</v>
      </c>
      <c r="CJ559" s="616">
        <f t="shared" si="363"/>
        <v>0</v>
      </c>
      <c r="CK559" s="616">
        <f t="shared" si="363"/>
        <v>0</v>
      </c>
      <c r="CL559" s="616">
        <f t="shared" si="363"/>
        <v>0</v>
      </c>
      <c r="CM559" s="616">
        <f t="shared" si="363"/>
        <v>0</v>
      </c>
      <c r="CN559" s="616">
        <f t="shared" si="363"/>
        <v>0</v>
      </c>
    </row>
    <row r="560" spans="8:92" ht="13.5" thickBot="1">
      <c r="H560" s="602" t="s">
        <v>940</v>
      </c>
    </row>
    <row r="561" spans="8:92" ht="13.5" thickTop="1">
      <c r="H561" s="602" t="s">
        <v>940</v>
      </c>
      <c r="L561" s="757" t="s">
        <v>1308</v>
      </c>
      <c r="M561" s="758"/>
      <c r="N561" s="758"/>
      <c r="O561" s="758"/>
      <c r="P561" s="758"/>
      <c r="Q561" s="758"/>
      <c r="R561" s="758"/>
      <c r="S561" s="758"/>
      <c r="T561" s="758"/>
      <c r="U561" s="758"/>
      <c r="V561" s="758"/>
      <c r="W561" s="758"/>
      <c r="X561" s="758"/>
      <c r="Y561" s="758"/>
      <c r="Z561" s="758"/>
      <c r="AA561" s="758"/>
      <c r="AB561" s="758"/>
      <c r="AC561" s="758"/>
      <c r="AD561" s="758"/>
      <c r="AE561" s="758"/>
      <c r="AF561" s="758"/>
      <c r="AG561" s="758"/>
      <c r="AH561" s="758"/>
      <c r="AI561" s="758"/>
      <c r="AJ561" s="758"/>
      <c r="AK561" s="758"/>
      <c r="AL561" s="758"/>
      <c r="AM561" s="758"/>
      <c r="AN561" s="758"/>
      <c r="AO561" s="758"/>
      <c r="AP561" s="758"/>
      <c r="AQ561" s="758"/>
      <c r="AR561" s="758"/>
      <c r="AS561" s="758"/>
      <c r="AT561" s="758"/>
      <c r="AU561" s="758"/>
      <c r="AV561" s="758"/>
      <c r="AW561" s="758"/>
      <c r="AX561" s="758"/>
      <c r="AY561" s="758"/>
      <c r="AZ561" s="758"/>
      <c r="BA561" s="758"/>
      <c r="BB561" s="758"/>
      <c r="BC561" s="758"/>
      <c r="BD561" s="758"/>
      <c r="BE561" s="758"/>
      <c r="BF561" s="758"/>
      <c r="BG561" s="758"/>
      <c r="BH561" s="758"/>
      <c r="BI561" s="758"/>
      <c r="BJ561" s="758"/>
      <c r="BK561" s="758"/>
      <c r="BL561" s="758"/>
      <c r="BM561" s="758"/>
      <c r="BN561" s="758"/>
      <c r="BO561" s="758"/>
      <c r="BP561" s="758"/>
      <c r="BQ561" s="758"/>
      <c r="BR561" s="758"/>
      <c r="BS561" s="758"/>
      <c r="BT561" s="758"/>
      <c r="BU561" s="758"/>
      <c r="BV561" s="758"/>
      <c r="BW561" s="758"/>
      <c r="BX561" s="758"/>
      <c r="BY561" s="758"/>
      <c r="BZ561" s="758"/>
      <c r="CA561" s="758"/>
      <c r="CB561" s="758"/>
      <c r="CC561" s="758"/>
      <c r="CD561" s="758"/>
      <c r="CE561" s="758"/>
      <c r="CF561" s="758"/>
      <c r="CG561" s="758"/>
      <c r="CH561" s="758"/>
      <c r="CI561" s="758"/>
      <c r="CJ561" s="758"/>
      <c r="CK561" s="758"/>
      <c r="CL561" s="758"/>
      <c r="CM561" s="758"/>
      <c r="CN561" s="758"/>
    </row>
    <row r="562" spans="8:92">
      <c r="H562" s="602" t="s">
        <v>940</v>
      </c>
      <c r="L562" s="609"/>
      <c r="M562" s="609" t="s">
        <v>359</v>
      </c>
      <c r="N562" s="704" t="s">
        <v>929</v>
      </c>
      <c r="O562" s="704" t="s">
        <v>1193</v>
      </c>
      <c r="P562" s="704" t="s">
        <v>1194</v>
      </c>
      <c r="Q562" s="704" t="s">
        <v>1195</v>
      </c>
      <c r="R562" s="704" t="s">
        <v>1196</v>
      </c>
      <c r="S562" s="704" t="s">
        <v>1197</v>
      </c>
      <c r="T562" s="753"/>
      <c r="U562" s="692" t="s">
        <v>929</v>
      </c>
      <c r="AF562" s="753"/>
      <c r="AG562" s="704" t="s">
        <v>1193</v>
      </c>
      <c r="AR562" s="753"/>
      <c r="AS562" s="704" t="s">
        <v>1194</v>
      </c>
      <c r="BD562" s="753"/>
      <c r="BE562" s="704" t="s">
        <v>1195</v>
      </c>
      <c r="BP562" s="753"/>
      <c r="BQ562" s="704" t="s">
        <v>1196</v>
      </c>
      <c r="CB562" s="753"/>
      <c r="CC562" s="704" t="s">
        <v>1197</v>
      </c>
    </row>
    <row r="563" spans="8:92">
      <c r="H563" s="602" t="s">
        <v>940</v>
      </c>
      <c r="L563" s="611"/>
      <c r="M563" s="611"/>
      <c r="N563" s="754" t="s">
        <v>405</v>
      </c>
      <c r="O563" s="754" t="s">
        <v>405</v>
      </c>
      <c r="P563" s="754" t="s">
        <v>405</v>
      </c>
      <c r="Q563" s="754" t="s">
        <v>405</v>
      </c>
      <c r="R563" s="754" t="s">
        <v>405</v>
      </c>
      <c r="S563" s="754" t="s">
        <v>405</v>
      </c>
      <c r="T563" s="755"/>
      <c r="U563" s="754" t="s">
        <v>1259</v>
      </c>
      <c r="V563" s="754" t="s">
        <v>1260</v>
      </c>
      <c r="W563" s="754" t="s">
        <v>1261</v>
      </c>
      <c r="X563" s="754" t="s">
        <v>1262</v>
      </c>
      <c r="Y563" s="754" t="s">
        <v>947</v>
      </c>
      <c r="Z563" s="754" t="s">
        <v>1263</v>
      </c>
      <c r="AA563" s="754" t="s">
        <v>1264</v>
      </c>
      <c r="AB563" s="754" t="s">
        <v>1265</v>
      </c>
      <c r="AC563" s="754" t="s">
        <v>1266</v>
      </c>
      <c r="AD563" s="754" t="s">
        <v>1267</v>
      </c>
      <c r="AE563" s="754" t="s">
        <v>1268</v>
      </c>
      <c r="AF563" s="756" t="s">
        <v>1269</v>
      </c>
      <c r="AG563" s="754" t="s">
        <v>1259</v>
      </c>
      <c r="AH563" s="754" t="s">
        <v>1260</v>
      </c>
      <c r="AI563" s="754" t="s">
        <v>1261</v>
      </c>
      <c r="AJ563" s="754" t="s">
        <v>1262</v>
      </c>
      <c r="AK563" s="754" t="s">
        <v>947</v>
      </c>
      <c r="AL563" s="754" t="s">
        <v>1263</v>
      </c>
      <c r="AM563" s="754" t="s">
        <v>1264</v>
      </c>
      <c r="AN563" s="754" t="s">
        <v>1265</v>
      </c>
      <c r="AO563" s="754" t="s">
        <v>1266</v>
      </c>
      <c r="AP563" s="754" t="s">
        <v>1267</v>
      </c>
      <c r="AQ563" s="754" t="s">
        <v>1268</v>
      </c>
      <c r="AR563" s="756" t="s">
        <v>1269</v>
      </c>
      <c r="AS563" s="754" t="s">
        <v>1259</v>
      </c>
      <c r="AT563" s="754" t="s">
        <v>1260</v>
      </c>
      <c r="AU563" s="754" t="s">
        <v>1261</v>
      </c>
      <c r="AV563" s="754" t="s">
        <v>1262</v>
      </c>
      <c r="AW563" s="754" t="s">
        <v>947</v>
      </c>
      <c r="AX563" s="754" t="s">
        <v>1263</v>
      </c>
      <c r="AY563" s="754" t="s">
        <v>1264</v>
      </c>
      <c r="AZ563" s="754" t="s">
        <v>1265</v>
      </c>
      <c r="BA563" s="754" t="s">
        <v>1266</v>
      </c>
      <c r="BB563" s="754" t="s">
        <v>1267</v>
      </c>
      <c r="BC563" s="754" t="s">
        <v>1268</v>
      </c>
      <c r="BD563" s="756" t="s">
        <v>1269</v>
      </c>
      <c r="BE563" s="754" t="s">
        <v>1259</v>
      </c>
      <c r="BF563" s="754" t="s">
        <v>1260</v>
      </c>
      <c r="BG563" s="754" t="s">
        <v>1261</v>
      </c>
      <c r="BH563" s="754" t="s">
        <v>1262</v>
      </c>
      <c r="BI563" s="754" t="s">
        <v>947</v>
      </c>
      <c r="BJ563" s="754" t="s">
        <v>1263</v>
      </c>
      <c r="BK563" s="754" t="s">
        <v>1264</v>
      </c>
      <c r="BL563" s="754" t="s">
        <v>1265</v>
      </c>
      <c r="BM563" s="754" t="s">
        <v>1266</v>
      </c>
      <c r="BN563" s="754" t="s">
        <v>1267</v>
      </c>
      <c r="BO563" s="754" t="s">
        <v>1268</v>
      </c>
      <c r="BP563" s="756" t="s">
        <v>1269</v>
      </c>
      <c r="BQ563" s="754" t="s">
        <v>1259</v>
      </c>
      <c r="BR563" s="754" t="s">
        <v>1260</v>
      </c>
      <c r="BS563" s="754" t="s">
        <v>1261</v>
      </c>
      <c r="BT563" s="754" t="s">
        <v>1262</v>
      </c>
      <c r="BU563" s="754" t="s">
        <v>947</v>
      </c>
      <c r="BV563" s="754" t="s">
        <v>1263</v>
      </c>
      <c r="BW563" s="754" t="s">
        <v>1264</v>
      </c>
      <c r="BX563" s="754" t="s">
        <v>1265</v>
      </c>
      <c r="BY563" s="754" t="s">
        <v>1266</v>
      </c>
      <c r="BZ563" s="754" t="s">
        <v>1267</v>
      </c>
      <c r="CA563" s="754" t="s">
        <v>1268</v>
      </c>
      <c r="CB563" s="756" t="s">
        <v>1269</v>
      </c>
      <c r="CC563" s="754" t="s">
        <v>1259</v>
      </c>
      <c r="CD563" s="754" t="s">
        <v>1260</v>
      </c>
      <c r="CE563" s="754" t="s">
        <v>1261</v>
      </c>
      <c r="CF563" s="754" t="s">
        <v>1262</v>
      </c>
      <c r="CG563" s="754" t="s">
        <v>947</v>
      </c>
      <c r="CH563" s="754" t="s">
        <v>1263</v>
      </c>
      <c r="CI563" s="754" t="s">
        <v>1264</v>
      </c>
      <c r="CJ563" s="754" t="s">
        <v>1265</v>
      </c>
      <c r="CK563" s="754" t="s">
        <v>1266</v>
      </c>
      <c r="CL563" s="754" t="s">
        <v>1267</v>
      </c>
      <c r="CM563" s="754" t="s">
        <v>1268</v>
      </c>
      <c r="CN563" s="754" t="s">
        <v>1269</v>
      </c>
    </row>
    <row r="564" spans="8:92">
      <c r="H564" s="602" t="s">
        <v>940</v>
      </c>
      <c r="L564" s="609"/>
    </row>
    <row r="565" spans="8:92">
      <c r="H565" s="602" t="s">
        <v>940</v>
      </c>
      <c r="L565" s="618" t="s">
        <v>1290</v>
      </c>
      <c r="M565" s="600" t="s">
        <v>898</v>
      </c>
      <c r="N565" s="615" t="e">
        <f>SUM(U565:AF565)</f>
        <v>#N/A</v>
      </c>
      <c r="O565" s="615" t="e">
        <f>SUM(AG565:AR565)</f>
        <v>#N/A</v>
      </c>
      <c r="P565" s="615" t="e">
        <f>SUM(AS565:BD565)</f>
        <v>#N/A</v>
      </c>
      <c r="Q565" s="615" t="e">
        <f>SUM(BE565:BP565)</f>
        <v>#N/A</v>
      </c>
      <c r="R565" s="615" t="e">
        <f>SUM(BQ565:CB565)</f>
        <v>#N/A</v>
      </c>
      <c r="S565" s="615" t="e">
        <f>SUM(CC565:CN565)</f>
        <v>#N/A</v>
      </c>
      <c r="U565" s="615" t="e">
        <f>U489</f>
        <v>#N/A</v>
      </c>
      <c r="V565" s="615" t="e">
        <f t="shared" ref="V565:CG565" si="364">V489</f>
        <v>#N/A</v>
      </c>
      <c r="W565" s="615" t="e">
        <f t="shared" si="364"/>
        <v>#N/A</v>
      </c>
      <c r="X565" s="615" t="e">
        <f t="shared" si="364"/>
        <v>#N/A</v>
      </c>
      <c r="Y565" s="615" t="e">
        <f t="shared" si="364"/>
        <v>#N/A</v>
      </c>
      <c r="Z565" s="615" t="e">
        <f t="shared" si="364"/>
        <v>#N/A</v>
      </c>
      <c r="AA565" s="615" t="e">
        <f t="shared" si="364"/>
        <v>#N/A</v>
      </c>
      <c r="AB565" s="615" t="e">
        <f t="shared" si="364"/>
        <v>#N/A</v>
      </c>
      <c r="AC565" s="615" t="e">
        <f t="shared" si="364"/>
        <v>#N/A</v>
      </c>
      <c r="AD565" s="615" t="e">
        <f t="shared" si="364"/>
        <v>#N/A</v>
      </c>
      <c r="AE565" s="615" t="e">
        <f t="shared" si="364"/>
        <v>#N/A</v>
      </c>
      <c r="AF565" s="615" t="e">
        <f t="shared" si="364"/>
        <v>#N/A</v>
      </c>
      <c r="AG565" s="615" t="e">
        <f t="shared" si="364"/>
        <v>#N/A</v>
      </c>
      <c r="AH565" s="615" t="e">
        <f t="shared" si="364"/>
        <v>#N/A</v>
      </c>
      <c r="AI565" s="615" t="e">
        <f t="shared" si="364"/>
        <v>#N/A</v>
      </c>
      <c r="AJ565" s="615" t="e">
        <f t="shared" si="364"/>
        <v>#N/A</v>
      </c>
      <c r="AK565" s="615" t="e">
        <f t="shared" si="364"/>
        <v>#N/A</v>
      </c>
      <c r="AL565" s="615" t="e">
        <f t="shared" si="364"/>
        <v>#N/A</v>
      </c>
      <c r="AM565" s="615" t="e">
        <f t="shared" si="364"/>
        <v>#N/A</v>
      </c>
      <c r="AN565" s="615" t="e">
        <f t="shared" si="364"/>
        <v>#N/A</v>
      </c>
      <c r="AO565" s="615" t="e">
        <f t="shared" si="364"/>
        <v>#N/A</v>
      </c>
      <c r="AP565" s="615" t="e">
        <f t="shared" si="364"/>
        <v>#N/A</v>
      </c>
      <c r="AQ565" s="615" t="e">
        <f t="shared" si="364"/>
        <v>#N/A</v>
      </c>
      <c r="AR565" s="615" t="e">
        <f t="shared" si="364"/>
        <v>#N/A</v>
      </c>
      <c r="AS565" s="615" t="e">
        <f t="shared" si="364"/>
        <v>#N/A</v>
      </c>
      <c r="AT565" s="615" t="e">
        <f t="shared" si="364"/>
        <v>#N/A</v>
      </c>
      <c r="AU565" s="615" t="e">
        <f t="shared" si="364"/>
        <v>#N/A</v>
      </c>
      <c r="AV565" s="615" t="e">
        <f t="shared" si="364"/>
        <v>#N/A</v>
      </c>
      <c r="AW565" s="615" t="e">
        <f t="shared" si="364"/>
        <v>#N/A</v>
      </c>
      <c r="AX565" s="615" t="e">
        <f t="shared" si="364"/>
        <v>#N/A</v>
      </c>
      <c r="AY565" s="615" t="e">
        <f t="shared" si="364"/>
        <v>#N/A</v>
      </c>
      <c r="AZ565" s="615" t="e">
        <f t="shared" si="364"/>
        <v>#N/A</v>
      </c>
      <c r="BA565" s="615" t="e">
        <f t="shared" si="364"/>
        <v>#N/A</v>
      </c>
      <c r="BB565" s="615" t="e">
        <f t="shared" si="364"/>
        <v>#N/A</v>
      </c>
      <c r="BC565" s="615" t="e">
        <f t="shared" si="364"/>
        <v>#N/A</v>
      </c>
      <c r="BD565" s="615" t="e">
        <f t="shared" si="364"/>
        <v>#N/A</v>
      </c>
      <c r="BE565" s="615" t="e">
        <f t="shared" si="364"/>
        <v>#N/A</v>
      </c>
      <c r="BF565" s="615" t="e">
        <f t="shared" si="364"/>
        <v>#N/A</v>
      </c>
      <c r="BG565" s="615" t="e">
        <f t="shared" si="364"/>
        <v>#N/A</v>
      </c>
      <c r="BH565" s="615" t="e">
        <f t="shared" si="364"/>
        <v>#N/A</v>
      </c>
      <c r="BI565" s="615" t="e">
        <f t="shared" si="364"/>
        <v>#N/A</v>
      </c>
      <c r="BJ565" s="615" t="e">
        <f t="shared" si="364"/>
        <v>#N/A</v>
      </c>
      <c r="BK565" s="615" t="e">
        <f t="shared" si="364"/>
        <v>#N/A</v>
      </c>
      <c r="BL565" s="615" t="e">
        <f t="shared" si="364"/>
        <v>#N/A</v>
      </c>
      <c r="BM565" s="615" t="e">
        <f t="shared" si="364"/>
        <v>#N/A</v>
      </c>
      <c r="BN565" s="615" t="e">
        <f t="shared" si="364"/>
        <v>#N/A</v>
      </c>
      <c r="BO565" s="615" t="e">
        <f t="shared" si="364"/>
        <v>#N/A</v>
      </c>
      <c r="BP565" s="615" t="e">
        <f t="shared" si="364"/>
        <v>#N/A</v>
      </c>
      <c r="BQ565" s="615" t="e">
        <f t="shared" si="364"/>
        <v>#N/A</v>
      </c>
      <c r="BR565" s="615" t="e">
        <f t="shared" si="364"/>
        <v>#N/A</v>
      </c>
      <c r="BS565" s="615" t="e">
        <f t="shared" si="364"/>
        <v>#N/A</v>
      </c>
      <c r="BT565" s="615" t="e">
        <f t="shared" si="364"/>
        <v>#N/A</v>
      </c>
      <c r="BU565" s="615" t="e">
        <f t="shared" si="364"/>
        <v>#N/A</v>
      </c>
      <c r="BV565" s="615" t="e">
        <f t="shared" si="364"/>
        <v>#N/A</v>
      </c>
      <c r="BW565" s="615" t="e">
        <f t="shared" si="364"/>
        <v>#N/A</v>
      </c>
      <c r="BX565" s="615" t="e">
        <f t="shared" si="364"/>
        <v>#N/A</v>
      </c>
      <c r="BY565" s="615" t="e">
        <f t="shared" si="364"/>
        <v>#N/A</v>
      </c>
      <c r="BZ565" s="615" t="e">
        <f t="shared" si="364"/>
        <v>#N/A</v>
      </c>
      <c r="CA565" s="615" t="e">
        <f t="shared" si="364"/>
        <v>#N/A</v>
      </c>
      <c r="CB565" s="615" t="e">
        <f t="shared" si="364"/>
        <v>#N/A</v>
      </c>
      <c r="CC565" s="615" t="e">
        <f t="shared" si="364"/>
        <v>#N/A</v>
      </c>
      <c r="CD565" s="615" t="e">
        <f t="shared" si="364"/>
        <v>#N/A</v>
      </c>
      <c r="CE565" s="615" t="e">
        <f t="shared" si="364"/>
        <v>#N/A</v>
      </c>
      <c r="CF565" s="615" t="e">
        <f t="shared" si="364"/>
        <v>#N/A</v>
      </c>
      <c r="CG565" s="615" t="e">
        <f t="shared" si="364"/>
        <v>#N/A</v>
      </c>
      <c r="CH565" s="615" t="e">
        <f t="shared" ref="CH565:CN565" si="365">CH489</f>
        <v>#N/A</v>
      </c>
      <c r="CI565" s="615" t="e">
        <f t="shared" si="365"/>
        <v>#N/A</v>
      </c>
      <c r="CJ565" s="615" t="e">
        <f t="shared" si="365"/>
        <v>#N/A</v>
      </c>
      <c r="CK565" s="615" t="e">
        <f t="shared" si="365"/>
        <v>#N/A</v>
      </c>
      <c r="CL565" s="615" t="e">
        <f t="shared" si="365"/>
        <v>#N/A</v>
      </c>
      <c r="CM565" s="615" t="e">
        <f t="shared" si="365"/>
        <v>#N/A</v>
      </c>
      <c r="CN565" s="615" t="e">
        <f t="shared" si="365"/>
        <v>#N/A</v>
      </c>
    </row>
    <row r="566" spans="8:92">
      <c r="H566" s="602" t="s">
        <v>940</v>
      </c>
      <c r="L566" s="609"/>
      <c r="N566" s="615"/>
      <c r="O566" s="615"/>
      <c r="P566" s="615"/>
      <c r="Q566" s="615"/>
      <c r="R566" s="615"/>
      <c r="S566" s="615"/>
    </row>
    <row r="567" spans="8:92">
      <c r="H567" s="602" t="s">
        <v>940</v>
      </c>
      <c r="L567" s="618" t="s">
        <v>1296</v>
      </c>
      <c r="M567" s="600" t="s">
        <v>898</v>
      </c>
      <c r="N567" s="615" t="e">
        <f>SUM(U567:AF567)</f>
        <v>#N/A</v>
      </c>
      <c r="O567" s="615" t="e">
        <f>SUM(AG567:AR567)</f>
        <v>#N/A</v>
      </c>
      <c r="P567" s="615" t="e">
        <f>SUM(AS567:BD567)</f>
        <v>#N/A</v>
      </c>
      <c r="Q567" s="615" t="e">
        <f>SUM(BE567:BP567)</f>
        <v>#N/A</v>
      </c>
      <c r="R567" s="615" t="e">
        <f>SUM(BQ567:CB567)</f>
        <v>#N/A</v>
      </c>
      <c r="S567" s="615" t="e">
        <f>SUM(CC567:CN567)</f>
        <v>#N/A</v>
      </c>
      <c r="U567" s="615" t="e">
        <f t="shared" ref="U567:AF567" si="366">MIN(U565,N$422)</f>
        <v>#N/A</v>
      </c>
      <c r="V567" s="615" t="e">
        <f t="shared" si="366"/>
        <v>#N/A</v>
      </c>
      <c r="W567" s="615" t="e">
        <f t="shared" si="366"/>
        <v>#N/A</v>
      </c>
      <c r="X567" s="615" t="e">
        <f t="shared" si="366"/>
        <v>#N/A</v>
      </c>
      <c r="Y567" s="615" t="e">
        <f t="shared" si="366"/>
        <v>#N/A</v>
      </c>
      <c r="Z567" s="615" t="e">
        <f t="shared" si="366"/>
        <v>#N/A</v>
      </c>
      <c r="AA567" s="615" t="e">
        <f t="shared" si="366"/>
        <v>#N/A</v>
      </c>
      <c r="AB567" s="615" t="e">
        <f t="shared" si="366"/>
        <v>#N/A</v>
      </c>
      <c r="AC567" s="615" t="e">
        <f t="shared" si="366"/>
        <v>#N/A</v>
      </c>
      <c r="AD567" s="615" t="e">
        <f t="shared" si="366"/>
        <v>#N/A</v>
      </c>
      <c r="AE567" s="615" t="e">
        <f t="shared" si="366"/>
        <v>#N/A</v>
      </c>
      <c r="AF567" s="615" t="e">
        <f t="shared" si="366"/>
        <v>#N/A</v>
      </c>
      <c r="AG567" s="615" t="e">
        <f t="shared" ref="AG567:AR567" si="367">MIN(AG565,N$422)</f>
        <v>#N/A</v>
      </c>
      <c r="AH567" s="615" t="e">
        <f t="shared" si="367"/>
        <v>#N/A</v>
      </c>
      <c r="AI567" s="615" t="e">
        <f t="shared" si="367"/>
        <v>#N/A</v>
      </c>
      <c r="AJ567" s="615" t="e">
        <f t="shared" si="367"/>
        <v>#N/A</v>
      </c>
      <c r="AK567" s="615" t="e">
        <f t="shared" si="367"/>
        <v>#N/A</v>
      </c>
      <c r="AL567" s="615" t="e">
        <f t="shared" si="367"/>
        <v>#N/A</v>
      </c>
      <c r="AM567" s="615" t="e">
        <f t="shared" si="367"/>
        <v>#N/A</v>
      </c>
      <c r="AN567" s="615" t="e">
        <f t="shared" si="367"/>
        <v>#N/A</v>
      </c>
      <c r="AO567" s="615" t="e">
        <f t="shared" si="367"/>
        <v>#N/A</v>
      </c>
      <c r="AP567" s="615" t="e">
        <f t="shared" si="367"/>
        <v>#N/A</v>
      </c>
      <c r="AQ567" s="615" t="e">
        <f t="shared" si="367"/>
        <v>#N/A</v>
      </c>
      <c r="AR567" s="615" t="e">
        <f t="shared" si="367"/>
        <v>#N/A</v>
      </c>
      <c r="AS567" s="615" t="e">
        <f t="shared" ref="AS567:BD567" si="368">MIN(AS565,N$422)</f>
        <v>#N/A</v>
      </c>
      <c r="AT567" s="615" t="e">
        <f t="shared" si="368"/>
        <v>#N/A</v>
      </c>
      <c r="AU567" s="615" t="e">
        <f t="shared" si="368"/>
        <v>#N/A</v>
      </c>
      <c r="AV567" s="615" t="e">
        <f t="shared" si="368"/>
        <v>#N/A</v>
      </c>
      <c r="AW567" s="615" t="e">
        <f t="shared" si="368"/>
        <v>#N/A</v>
      </c>
      <c r="AX567" s="615" t="e">
        <f t="shared" si="368"/>
        <v>#N/A</v>
      </c>
      <c r="AY567" s="615" t="e">
        <f t="shared" si="368"/>
        <v>#N/A</v>
      </c>
      <c r="AZ567" s="615" t="e">
        <f t="shared" si="368"/>
        <v>#N/A</v>
      </c>
      <c r="BA567" s="615" t="e">
        <f t="shared" si="368"/>
        <v>#N/A</v>
      </c>
      <c r="BB567" s="615" t="e">
        <f t="shared" si="368"/>
        <v>#N/A</v>
      </c>
      <c r="BC567" s="615" t="e">
        <f t="shared" si="368"/>
        <v>#N/A</v>
      </c>
      <c r="BD567" s="615" t="e">
        <f t="shared" si="368"/>
        <v>#N/A</v>
      </c>
      <c r="BE567" s="615" t="e">
        <f t="shared" ref="BE567:BP567" si="369">MIN(BE565,N$422)</f>
        <v>#N/A</v>
      </c>
      <c r="BF567" s="615" t="e">
        <f t="shared" si="369"/>
        <v>#N/A</v>
      </c>
      <c r="BG567" s="615" t="e">
        <f t="shared" si="369"/>
        <v>#N/A</v>
      </c>
      <c r="BH567" s="615" t="e">
        <f t="shared" si="369"/>
        <v>#N/A</v>
      </c>
      <c r="BI567" s="615" t="e">
        <f t="shared" si="369"/>
        <v>#N/A</v>
      </c>
      <c r="BJ567" s="615" t="e">
        <f t="shared" si="369"/>
        <v>#N/A</v>
      </c>
      <c r="BK567" s="615" t="e">
        <f t="shared" si="369"/>
        <v>#N/A</v>
      </c>
      <c r="BL567" s="615" t="e">
        <f t="shared" si="369"/>
        <v>#N/A</v>
      </c>
      <c r="BM567" s="615" t="e">
        <f t="shared" si="369"/>
        <v>#N/A</v>
      </c>
      <c r="BN567" s="615" t="e">
        <f t="shared" si="369"/>
        <v>#N/A</v>
      </c>
      <c r="BO567" s="615" t="e">
        <f t="shared" si="369"/>
        <v>#N/A</v>
      </c>
      <c r="BP567" s="615" t="e">
        <f t="shared" si="369"/>
        <v>#N/A</v>
      </c>
      <c r="BQ567" s="615" t="e">
        <f t="shared" ref="BQ567:CB567" si="370">MIN(BQ565,N$422)</f>
        <v>#N/A</v>
      </c>
      <c r="BR567" s="615" t="e">
        <f t="shared" si="370"/>
        <v>#N/A</v>
      </c>
      <c r="BS567" s="615" t="e">
        <f t="shared" si="370"/>
        <v>#N/A</v>
      </c>
      <c r="BT567" s="615" t="e">
        <f t="shared" si="370"/>
        <v>#N/A</v>
      </c>
      <c r="BU567" s="615" t="e">
        <f t="shared" si="370"/>
        <v>#N/A</v>
      </c>
      <c r="BV567" s="615" t="e">
        <f t="shared" si="370"/>
        <v>#N/A</v>
      </c>
      <c r="BW567" s="615" t="e">
        <f t="shared" si="370"/>
        <v>#N/A</v>
      </c>
      <c r="BX567" s="615" t="e">
        <f t="shared" si="370"/>
        <v>#N/A</v>
      </c>
      <c r="BY567" s="615" t="e">
        <f t="shared" si="370"/>
        <v>#N/A</v>
      </c>
      <c r="BZ567" s="615" t="e">
        <f t="shared" si="370"/>
        <v>#N/A</v>
      </c>
      <c r="CA567" s="615" t="e">
        <f t="shared" si="370"/>
        <v>#N/A</v>
      </c>
      <c r="CB567" s="615" t="e">
        <f t="shared" si="370"/>
        <v>#N/A</v>
      </c>
      <c r="CC567" s="615" t="e">
        <f t="shared" ref="CC567:CN567" si="371">MIN(CC565,N$422)</f>
        <v>#N/A</v>
      </c>
      <c r="CD567" s="615" t="e">
        <f t="shared" si="371"/>
        <v>#N/A</v>
      </c>
      <c r="CE567" s="615" t="e">
        <f t="shared" si="371"/>
        <v>#N/A</v>
      </c>
      <c r="CF567" s="615" t="e">
        <f t="shared" si="371"/>
        <v>#N/A</v>
      </c>
      <c r="CG567" s="615" t="e">
        <f t="shared" si="371"/>
        <v>#N/A</v>
      </c>
      <c r="CH567" s="615" t="e">
        <f t="shared" si="371"/>
        <v>#N/A</v>
      </c>
      <c r="CI567" s="615" t="e">
        <f t="shared" si="371"/>
        <v>#N/A</v>
      </c>
      <c r="CJ567" s="615" t="e">
        <f t="shared" si="371"/>
        <v>#N/A</v>
      </c>
      <c r="CK567" s="615" t="e">
        <f t="shared" si="371"/>
        <v>#N/A</v>
      </c>
      <c r="CL567" s="615" t="e">
        <f t="shared" si="371"/>
        <v>#N/A</v>
      </c>
      <c r="CM567" s="615" t="e">
        <f t="shared" si="371"/>
        <v>#N/A</v>
      </c>
      <c r="CN567" s="615" t="e">
        <f t="shared" si="371"/>
        <v>#N/A</v>
      </c>
    </row>
    <row r="568" spans="8:92">
      <c r="H568" s="602" t="s">
        <v>940</v>
      </c>
      <c r="L568" s="618" t="s">
        <v>1297</v>
      </c>
      <c r="M568" s="600" t="s">
        <v>898</v>
      </c>
      <c r="N568" s="615" t="e">
        <f>SUM(U568:AF568)</f>
        <v>#N/A</v>
      </c>
      <c r="O568" s="615" t="e">
        <f>SUM(AG568:AR568)</f>
        <v>#N/A</v>
      </c>
      <c r="P568" s="615" t="e">
        <f>SUM(AS568:BD568)</f>
        <v>#N/A</v>
      </c>
      <c r="Q568" s="615" t="e">
        <f>SUM(BE568:BP568)</f>
        <v>#N/A</v>
      </c>
      <c r="R568" s="615" t="e">
        <f>SUM(BQ568:CB568)</f>
        <v>#N/A</v>
      </c>
      <c r="S568" s="615" t="e">
        <f>SUM(CC568:CN568)</f>
        <v>#N/A</v>
      </c>
      <c r="U568" s="615" t="e">
        <f t="shared" ref="U568:AF568" si="372">MIN(U565-U567,N$423)</f>
        <v>#N/A</v>
      </c>
      <c r="V568" s="615" t="e">
        <f t="shared" si="372"/>
        <v>#N/A</v>
      </c>
      <c r="W568" s="615" t="e">
        <f t="shared" si="372"/>
        <v>#N/A</v>
      </c>
      <c r="X568" s="615" t="e">
        <f t="shared" si="372"/>
        <v>#N/A</v>
      </c>
      <c r="Y568" s="615" t="e">
        <f t="shared" si="372"/>
        <v>#N/A</v>
      </c>
      <c r="Z568" s="615" t="e">
        <f t="shared" si="372"/>
        <v>#N/A</v>
      </c>
      <c r="AA568" s="615" t="e">
        <f t="shared" si="372"/>
        <v>#N/A</v>
      </c>
      <c r="AB568" s="615" t="e">
        <f t="shared" si="372"/>
        <v>#N/A</v>
      </c>
      <c r="AC568" s="615" t="e">
        <f t="shared" si="372"/>
        <v>#N/A</v>
      </c>
      <c r="AD568" s="615" t="e">
        <f t="shared" si="372"/>
        <v>#N/A</v>
      </c>
      <c r="AE568" s="615" t="e">
        <f t="shared" si="372"/>
        <v>#N/A</v>
      </c>
      <c r="AF568" s="615" t="e">
        <f t="shared" si="372"/>
        <v>#N/A</v>
      </c>
      <c r="AG568" s="615" t="e">
        <f t="shared" ref="AG568:AR568" si="373">MIN(AG565-AG567,N$423)</f>
        <v>#N/A</v>
      </c>
      <c r="AH568" s="615" t="e">
        <f t="shared" si="373"/>
        <v>#N/A</v>
      </c>
      <c r="AI568" s="615" t="e">
        <f t="shared" si="373"/>
        <v>#N/A</v>
      </c>
      <c r="AJ568" s="615" t="e">
        <f t="shared" si="373"/>
        <v>#N/A</v>
      </c>
      <c r="AK568" s="615" t="e">
        <f t="shared" si="373"/>
        <v>#N/A</v>
      </c>
      <c r="AL568" s="615" t="e">
        <f t="shared" si="373"/>
        <v>#N/A</v>
      </c>
      <c r="AM568" s="615" t="e">
        <f t="shared" si="373"/>
        <v>#N/A</v>
      </c>
      <c r="AN568" s="615" t="e">
        <f t="shared" si="373"/>
        <v>#N/A</v>
      </c>
      <c r="AO568" s="615" t="e">
        <f t="shared" si="373"/>
        <v>#N/A</v>
      </c>
      <c r="AP568" s="615" t="e">
        <f t="shared" si="373"/>
        <v>#N/A</v>
      </c>
      <c r="AQ568" s="615" t="e">
        <f t="shared" si="373"/>
        <v>#N/A</v>
      </c>
      <c r="AR568" s="615" t="e">
        <f t="shared" si="373"/>
        <v>#N/A</v>
      </c>
      <c r="AS568" s="615" t="e">
        <f t="shared" ref="AS568:BD568" si="374">MIN(AS565-AS567,N$423)</f>
        <v>#N/A</v>
      </c>
      <c r="AT568" s="615" t="e">
        <f t="shared" si="374"/>
        <v>#N/A</v>
      </c>
      <c r="AU568" s="615" t="e">
        <f t="shared" si="374"/>
        <v>#N/A</v>
      </c>
      <c r="AV568" s="615" t="e">
        <f t="shared" si="374"/>
        <v>#N/A</v>
      </c>
      <c r="AW568" s="615" t="e">
        <f t="shared" si="374"/>
        <v>#N/A</v>
      </c>
      <c r="AX568" s="615" t="e">
        <f t="shared" si="374"/>
        <v>#N/A</v>
      </c>
      <c r="AY568" s="615" t="e">
        <f t="shared" si="374"/>
        <v>#N/A</v>
      </c>
      <c r="AZ568" s="615" t="e">
        <f t="shared" si="374"/>
        <v>#N/A</v>
      </c>
      <c r="BA568" s="615" t="e">
        <f t="shared" si="374"/>
        <v>#N/A</v>
      </c>
      <c r="BB568" s="615" t="e">
        <f t="shared" si="374"/>
        <v>#N/A</v>
      </c>
      <c r="BC568" s="615" t="e">
        <f t="shared" si="374"/>
        <v>#N/A</v>
      </c>
      <c r="BD568" s="615" t="e">
        <f t="shared" si="374"/>
        <v>#N/A</v>
      </c>
      <c r="BE568" s="615" t="e">
        <f t="shared" ref="BE568:BP568" si="375">MIN(BE565-BE567,N$423)</f>
        <v>#N/A</v>
      </c>
      <c r="BF568" s="615" t="e">
        <f t="shared" si="375"/>
        <v>#N/A</v>
      </c>
      <c r="BG568" s="615" t="e">
        <f t="shared" si="375"/>
        <v>#N/A</v>
      </c>
      <c r="BH568" s="615" t="e">
        <f t="shared" si="375"/>
        <v>#N/A</v>
      </c>
      <c r="BI568" s="615" t="e">
        <f t="shared" si="375"/>
        <v>#N/A</v>
      </c>
      <c r="BJ568" s="615" t="e">
        <f t="shared" si="375"/>
        <v>#N/A</v>
      </c>
      <c r="BK568" s="615" t="e">
        <f t="shared" si="375"/>
        <v>#N/A</v>
      </c>
      <c r="BL568" s="615" t="e">
        <f t="shared" si="375"/>
        <v>#N/A</v>
      </c>
      <c r="BM568" s="615" t="e">
        <f t="shared" si="375"/>
        <v>#N/A</v>
      </c>
      <c r="BN568" s="615" t="e">
        <f t="shared" si="375"/>
        <v>#N/A</v>
      </c>
      <c r="BO568" s="615" t="e">
        <f t="shared" si="375"/>
        <v>#N/A</v>
      </c>
      <c r="BP568" s="615" t="e">
        <f t="shared" si="375"/>
        <v>#N/A</v>
      </c>
      <c r="BQ568" s="615" t="e">
        <f t="shared" ref="BQ568:CB568" si="376">MIN(BQ565-BQ567,N$423)</f>
        <v>#N/A</v>
      </c>
      <c r="BR568" s="615" t="e">
        <f t="shared" si="376"/>
        <v>#N/A</v>
      </c>
      <c r="BS568" s="615" t="e">
        <f t="shared" si="376"/>
        <v>#N/A</v>
      </c>
      <c r="BT568" s="615" t="e">
        <f t="shared" si="376"/>
        <v>#N/A</v>
      </c>
      <c r="BU568" s="615" t="e">
        <f t="shared" si="376"/>
        <v>#N/A</v>
      </c>
      <c r="BV568" s="615" t="e">
        <f t="shared" si="376"/>
        <v>#N/A</v>
      </c>
      <c r="BW568" s="615" t="e">
        <f t="shared" si="376"/>
        <v>#N/A</v>
      </c>
      <c r="BX568" s="615" t="e">
        <f t="shared" si="376"/>
        <v>#N/A</v>
      </c>
      <c r="BY568" s="615" t="e">
        <f t="shared" si="376"/>
        <v>#N/A</v>
      </c>
      <c r="BZ568" s="615" t="e">
        <f t="shared" si="376"/>
        <v>#N/A</v>
      </c>
      <c r="CA568" s="615" t="e">
        <f t="shared" si="376"/>
        <v>#N/A</v>
      </c>
      <c r="CB568" s="615" t="e">
        <f t="shared" si="376"/>
        <v>#N/A</v>
      </c>
      <c r="CC568" s="615" t="e">
        <f t="shared" ref="CC568:CN568" si="377">MIN(CC565-CC567,N$423)</f>
        <v>#N/A</v>
      </c>
      <c r="CD568" s="615" t="e">
        <f t="shared" si="377"/>
        <v>#N/A</v>
      </c>
      <c r="CE568" s="615" t="e">
        <f t="shared" si="377"/>
        <v>#N/A</v>
      </c>
      <c r="CF568" s="615" t="e">
        <f t="shared" si="377"/>
        <v>#N/A</v>
      </c>
      <c r="CG568" s="615" t="e">
        <f t="shared" si="377"/>
        <v>#N/A</v>
      </c>
      <c r="CH568" s="615" t="e">
        <f t="shared" si="377"/>
        <v>#N/A</v>
      </c>
      <c r="CI568" s="615" t="e">
        <f t="shared" si="377"/>
        <v>#N/A</v>
      </c>
      <c r="CJ568" s="615" t="e">
        <f t="shared" si="377"/>
        <v>#N/A</v>
      </c>
      <c r="CK568" s="615" t="e">
        <f t="shared" si="377"/>
        <v>#N/A</v>
      </c>
      <c r="CL568" s="615" t="e">
        <f t="shared" si="377"/>
        <v>#N/A</v>
      </c>
      <c r="CM568" s="615" t="e">
        <f t="shared" si="377"/>
        <v>#N/A</v>
      </c>
      <c r="CN568" s="615" t="e">
        <f t="shared" si="377"/>
        <v>#N/A</v>
      </c>
    </row>
    <row r="569" spans="8:92">
      <c r="H569" s="602" t="s">
        <v>940</v>
      </c>
      <c r="L569" s="618" t="s">
        <v>1298</v>
      </c>
      <c r="M569" s="600" t="s">
        <v>898</v>
      </c>
      <c r="N569" s="615" t="e">
        <f>SUM(U569:AF569)</f>
        <v>#N/A</v>
      </c>
      <c r="O569" s="615" t="e">
        <f>SUM(AG569:AR569)</f>
        <v>#N/A</v>
      </c>
      <c r="P569" s="615" t="e">
        <f>SUM(AS569:BD569)</f>
        <v>#N/A</v>
      </c>
      <c r="Q569" s="615" t="e">
        <f>SUM(BE569:BP569)</f>
        <v>#N/A</v>
      </c>
      <c r="R569" s="615" t="e">
        <f>SUM(BQ569:CB569)</f>
        <v>#N/A</v>
      </c>
      <c r="S569" s="615" t="e">
        <f>SUM(CC569:CN569)</f>
        <v>#N/A</v>
      </c>
      <c r="U569" s="615" t="e">
        <f t="shared" ref="U569:AF569" si="378">MIN(U565-(U567+U568),N$424)</f>
        <v>#N/A</v>
      </c>
      <c r="V569" s="615" t="e">
        <f t="shared" si="378"/>
        <v>#N/A</v>
      </c>
      <c r="W569" s="615" t="e">
        <f t="shared" si="378"/>
        <v>#N/A</v>
      </c>
      <c r="X569" s="615" t="e">
        <f t="shared" si="378"/>
        <v>#N/A</v>
      </c>
      <c r="Y569" s="615" t="e">
        <f t="shared" si="378"/>
        <v>#N/A</v>
      </c>
      <c r="Z569" s="615" t="e">
        <f t="shared" si="378"/>
        <v>#N/A</v>
      </c>
      <c r="AA569" s="615" t="e">
        <f t="shared" si="378"/>
        <v>#N/A</v>
      </c>
      <c r="AB569" s="615" t="e">
        <f t="shared" si="378"/>
        <v>#N/A</v>
      </c>
      <c r="AC569" s="615" t="e">
        <f t="shared" si="378"/>
        <v>#N/A</v>
      </c>
      <c r="AD569" s="615" t="e">
        <f t="shared" si="378"/>
        <v>#N/A</v>
      </c>
      <c r="AE569" s="615" t="e">
        <f t="shared" si="378"/>
        <v>#N/A</v>
      </c>
      <c r="AF569" s="615" t="e">
        <f t="shared" si="378"/>
        <v>#N/A</v>
      </c>
      <c r="AG569" s="615" t="e">
        <f t="shared" ref="AG569:AR569" si="379">MIN(AG565-(AG567+AG568),N$424)</f>
        <v>#N/A</v>
      </c>
      <c r="AH569" s="615" t="e">
        <f t="shared" si="379"/>
        <v>#N/A</v>
      </c>
      <c r="AI569" s="615" t="e">
        <f t="shared" si="379"/>
        <v>#N/A</v>
      </c>
      <c r="AJ569" s="615" t="e">
        <f t="shared" si="379"/>
        <v>#N/A</v>
      </c>
      <c r="AK569" s="615" t="e">
        <f t="shared" si="379"/>
        <v>#N/A</v>
      </c>
      <c r="AL569" s="615" t="e">
        <f t="shared" si="379"/>
        <v>#N/A</v>
      </c>
      <c r="AM569" s="615" t="e">
        <f t="shared" si="379"/>
        <v>#N/A</v>
      </c>
      <c r="AN569" s="615" t="e">
        <f t="shared" si="379"/>
        <v>#N/A</v>
      </c>
      <c r="AO569" s="615" t="e">
        <f t="shared" si="379"/>
        <v>#N/A</v>
      </c>
      <c r="AP569" s="615" t="e">
        <f t="shared" si="379"/>
        <v>#N/A</v>
      </c>
      <c r="AQ569" s="615" t="e">
        <f t="shared" si="379"/>
        <v>#N/A</v>
      </c>
      <c r="AR569" s="615" t="e">
        <f t="shared" si="379"/>
        <v>#N/A</v>
      </c>
      <c r="AS569" s="615" t="e">
        <f t="shared" ref="AS569:BD569" si="380">MIN(AS565-(AS567+AS568),N$424)</f>
        <v>#N/A</v>
      </c>
      <c r="AT569" s="615" t="e">
        <f t="shared" si="380"/>
        <v>#N/A</v>
      </c>
      <c r="AU569" s="615" t="e">
        <f t="shared" si="380"/>
        <v>#N/A</v>
      </c>
      <c r="AV569" s="615" t="e">
        <f t="shared" si="380"/>
        <v>#N/A</v>
      </c>
      <c r="AW569" s="615" t="e">
        <f t="shared" si="380"/>
        <v>#N/A</v>
      </c>
      <c r="AX569" s="615" t="e">
        <f t="shared" si="380"/>
        <v>#N/A</v>
      </c>
      <c r="AY569" s="615" t="e">
        <f t="shared" si="380"/>
        <v>#N/A</v>
      </c>
      <c r="AZ569" s="615" t="e">
        <f t="shared" si="380"/>
        <v>#N/A</v>
      </c>
      <c r="BA569" s="615" t="e">
        <f t="shared" si="380"/>
        <v>#N/A</v>
      </c>
      <c r="BB569" s="615" t="e">
        <f t="shared" si="380"/>
        <v>#N/A</v>
      </c>
      <c r="BC569" s="615" t="e">
        <f t="shared" si="380"/>
        <v>#N/A</v>
      </c>
      <c r="BD569" s="615" t="e">
        <f t="shared" si="380"/>
        <v>#N/A</v>
      </c>
      <c r="BE569" s="615" t="e">
        <f t="shared" ref="BE569:BP569" si="381">MIN(BE565-(BE567+BE568),N$424)</f>
        <v>#N/A</v>
      </c>
      <c r="BF569" s="615" t="e">
        <f t="shared" si="381"/>
        <v>#N/A</v>
      </c>
      <c r="BG569" s="615" t="e">
        <f t="shared" si="381"/>
        <v>#N/A</v>
      </c>
      <c r="BH569" s="615" t="e">
        <f t="shared" si="381"/>
        <v>#N/A</v>
      </c>
      <c r="BI569" s="615" t="e">
        <f t="shared" si="381"/>
        <v>#N/A</v>
      </c>
      <c r="BJ569" s="615" t="e">
        <f t="shared" si="381"/>
        <v>#N/A</v>
      </c>
      <c r="BK569" s="615" t="e">
        <f t="shared" si="381"/>
        <v>#N/A</v>
      </c>
      <c r="BL569" s="615" t="e">
        <f t="shared" si="381"/>
        <v>#N/A</v>
      </c>
      <c r="BM569" s="615" t="e">
        <f t="shared" si="381"/>
        <v>#N/A</v>
      </c>
      <c r="BN569" s="615" t="e">
        <f t="shared" si="381"/>
        <v>#N/A</v>
      </c>
      <c r="BO569" s="615" t="e">
        <f t="shared" si="381"/>
        <v>#N/A</v>
      </c>
      <c r="BP569" s="615" t="e">
        <f t="shared" si="381"/>
        <v>#N/A</v>
      </c>
      <c r="BQ569" s="615" t="e">
        <f t="shared" ref="BQ569:CB569" si="382">MIN(BQ565-(BQ567+BQ568),N$424)</f>
        <v>#N/A</v>
      </c>
      <c r="BR569" s="615" t="e">
        <f t="shared" si="382"/>
        <v>#N/A</v>
      </c>
      <c r="BS569" s="615" t="e">
        <f t="shared" si="382"/>
        <v>#N/A</v>
      </c>
      <c r="BT569" s="615" t="e">
        <f t="shared" si="382"/>
        <v>#N/A</v>
      </c>
      <c r="BU569" s="615" t="e">
        <f t="shared" si="382"/>
        <v>#N/A</v>
      </c>
      <c r="BV569" s="615" t="e">
        <f t="shared" si="382"/>
        <v>#N/A</v>
      </c>
      <c r="BW569" s="615" t="e">
        <f t="shared" si="382"/>
        <v>#N/A</v>
      </c>
      <c r="BX569" s="615" t="e">
        <f t="shared" si="382"/>
        <v>#N/A</v>
      </c>
      <c r="BY569" s="615" t="e">
        <f t="shared" si="382"/>
        <v>#N/A</v>
      </c>
      <c r="BZ569" s="615" t="e">
        <f t="shared" si="382"/>
        <v>#N/A</v>
      </c>
      <c r="CA569" s="615" t="e">
        <f t="shared" si="382"/>
        <v>#N/A</v>
      </c>
      <c r="CB569" s="615" t="e">
        <f t="shared" si="382"/>
        <v>#N/A</v>
      </c>
      <c r="CC569" s="615" t="e">
        <f t="shared" ref="CC569:CN569" si="383">MIN(CC565-(CC567+CC568),N$424)</f>
        <v>#N/A</v>
      </c>
      <c r="CD569" s="615" t="e">
        <f t="shared" si="383"/>
        <v>#N/A</v>
      </c>
      <c r="CE569" s="615" t="e">
        <f t="shared" si="383"/>
        <v>#N/A</v>
      </c>
      <c r="CF569" s="615" t="e">
        <f t="shared" si="383"/>
        <v>#N/A</v>
      </c>
      <c r="CG569" s="615" t="e">
        <f t="shared" si="383"/>
        <v>#N/A</v>
      </c>
      <c r="CH569" s="615" t="e">
        <f t="shared" si="383"/>
        <v>#N/A</v>
      </c>
      <c r="CI569" s="615" t="e">
        <f t="shared" si="383"/>
        <v>#N/A</v>
      </c>
      <c r="CJ569" s="615" t="e">
        <f t="shared" si="383"/>
        <v>#N/A</v>
      </c>
      <c r="CK569" s="615" t="e">
        <f t="shared" si="383"/>
        <v>#N/A</v>
      </c>
      <c r="CL569" s="615" t="e">
        <f t="shared" si="383"/>
        <v>#N/A</v>
      </c>
      <c r="CM569" s="615" t="e">
        <f t="shared" si="383"/>
        <v>#N/A</v>
      </c>
      <c r="CN569" s="615" t="e">
        <f t="shared" si="383"/>
        <v>#N/A</v>
      </c>
    </row>
    <row r="570" spans="8:92">
      <c r="H570" s="602" t="s">
        <v>940</v>
      </c>
      <c r="L570" s="618" t="s">
        <v>1299</v>
      </c>
      <c r="M570" s="600" t="s">
        <v>898</v>
      </c>
      <c r="N570" s="615" t="e">
        <f>SUM(U570:AF570)</f>
        <v>#N/A</v>
      </c>
      <c r="O570" s="615" t="e">
        <f>SUM(AG570:AR570)</f>
        <v>#N/A</v>
      </c>
      <c r="P570" s="615" t="e">
        <f>SUM(AS570:BD570)</f>
        <v>#N/A</v>
      </c>
      <c r="Q570" s="615" t="e">
        <f>SUM(BE570:BP570)</f>
        <v>#N/A</v>
      </c>
      <c r="R570" s="615" t="e">
        <f>SUM(BQ570:CB570)</f>
        <v>#N/A</v>
      </c>
      <c r="S570" s="615" t="e">
        <f>SUM(CC570:CN570)</f>
        <v>#N/A</v>
      </c>
      <c r="U570" s="615" t="e">
        <f t="shared" ref="U570:AF570" si="384">MIN(U565-(U567+U568+U569),N$425)</f>
        <v>#N/A</v>
      </c>
      <c r="V570" s="615" t="e">
        <f t="shared" si="384"/>
        <v>#N/A</v>
      </c>
      <c r="W570" s="615" t="e">
        <f t="shared" si="384"/>
        <v>#N/A</v>
      </c>
      <c r="X570" s="615" t="e">
        <f t="shared" si="384"/>
        <v>#N/A</v>
      </c>
      <c r="Y570" s="615" t="e">
        <f t="shared" si="384"/>
        <v>#N/A</v>
      </c>
      <c r="Z570" s="615" t="e">
        <f t="shared" si="384"/>
        <v>#N/A</v>
      </c>
      <c r="AA570" s="615" t="e">
        <f t="shared" si="384"/>
        <v>#N/A</v>
      </c>
      <c r="AB570" s="615" t="e">
        <f t="shared" si="384"/>
        <v>#N/A</v>
      </c>
      <c r="AC570" s="615" t="e">
        <f t="shared" si="384"/>
        <v>#N/A</v>
      </c>
      <c r="AD570" s="615" t="e">
        <f t="shared" si="384"/>
        <v>#N/A</v>
      </c>
      <c r="AE570" s="615" t="e">
        <f t="shared" si="384"/>
        <v>#N/A</v>
      </c>
      <c r="AF570" s="615" t="e">
        <f t="shared" si="384"/>
        <v>#N/A</v>
      </c>
      <c r="AG570" s="615" t="e">
        <f t="shared" ref="AG570:AR570" si="385">MIN(AG565-(AG567+AG568+AG569),N$425)</f>
        <v>#N/A</v>
      </c>
      <c r="AH570" s="615" t="e">
        <f t="shared" si="385"/>
        <v>#N/A</v>
      </c>
      <c r="AI570" s="615" t="e">
        <f t="shared" si="385"/>
        <v>#N/A</v>
      </c>
      <c r="AJ570" s="615" t="e">
        <f t="shared" si="385"/>
        <v>#N/A</v>
      </c>
      <c r="AK570" s="615" t="e">
        <f t="shared" si="385"/>
        <v>#N/A</v>
      </c>
      <c r="AL570" s="615" t="e">
        <f t="shared" si="385"/>
        <v>#N/A</v>
      </c>
      <c r="AM570" s="615" t="e">
        <f t="shared" si="385"/>
        <v>#N/A</v>
      </c>
      <c r="AN570" s="615" t="e">
        <f t="shared" si="385"/>
        <v>#N/A</v>
      </c>
      <c r="AO570" s="615" t="e">
        <f t="shared" si="385"/>
        <v>#N/A</v>
      </c>
      <c r="AP570" s="615" t="e">
        <f t="shared" si="385"/>
        <v>#N/A</v>
      </c>
      <c r="AQ570" s="615" t="e">
        <f t="shared" si="385"/>
        <v>#N/A</v>
      </c>
      <c r="AR570" s="615" t="e">
        <f t="shared" si="385"/>
        <v>#N/A</v>
      </c>
      <c r="AS570" s="615" t="e">
        <f t="shared" ref="AS570:BD570" si="386">MIN(AS565-(AS567+AS568+AS569),N$425)</f>
        <v>#N/A</v>
      </c>
      <c r="AT570" s="615" t="e">
        <f t="shared" si="386"/>
        <v>#N/A</v>
      </c>
      <c r="AU570" s="615" t="e">
        <f t="shared" si="386"/>
        <v>#N/A</v>
      </c>
      <c r="AV570" s="615" t="e">
        <f t="shared" si="386"/>
        <v>#N/A</v>
      </c>
      <c r="AW570" s="615" t="e">
        <f t="shared" si="386"/>
        <v>#N/A</v>
      </c>
      <c r="AX570" s="615" t="e">
        <f t="shared" si="386"/>
        <v>#N/A</v>
      </c>
      <c r="AY570" s="615" t="e">
        <f t="shared" si="386"/>
        <v>#N/A</v>
      </c>
      <c r="AZ570" s="615" t="e">
        <f t="shared" si="386"/>
        <v>#N/A</v>
      </c>
      <c r="BA570" s="615" t="e">
        <f t="shared" si="386"/>
        <v>#N/A</v>
      </c>
      <c r="BB570" s="615" t="e">
        <f t="shared" si="386"/>
        <v>#N/A</v>
      </c>
      <c r="BC570" s="615" t="e">
        <f t="shared" si="386"/>
        <v>#N/A</v>
      </c>
      <c r="BD570" s="615" t="e">
        <f t="shared" si="386"/>
        <v>#N/A</v>
      </c>
      <c r="BE570" s="615" t="e">
        <f t="shared" ref="BE570:BP570" si="387">MIN(BE565-(BE567+BE568+BE569),N$425)</f>
        <v>#N/A</v>
      </c>
      <c r="BF570" s="615" t="e">
        <f t="shared" si="387"/>
        <v>#N/A</v>
      </c>
      <c r="BG570" s="615" t="e">
        <f t="shared" si="387"/>
        <v>#N/A</v>
      </c>
      <c r="BH570" s="615" t="e">
        <f t="shared" si="387"/>
        <v>#N/A</v>
      </c>
      <c r="BI570" s="615" t="e">
        <f t="shared" si="387"/>
        <v>#N/A</v>
      </c>
      <c r="BJ570" s="615" t="e">
        <f t="shared" si="387"/>
        <v>#N/A</v>
      </c>
      <c r="BK570" s="615" t="e">
        <f t="shared" si="387"/>
        <v>#N/A</v>
      </c>
      <c r="BL570" s="615" t="e">
        <f t="shared" si="387"/>
        <v>#N/A</v>
      </c>
      <c r="BM570" s="615" t="e">
        <f t="shared" si="387"/>
        <v>#N/A</v>
      </c>
      <c r="BN570" s="615" t="e">
        <f t="shared" si="387"/>
        <v>#N/A</v>
      </c>
      <c r="BO570" s="615" t="e">
        <f t="shared" si="387"/>
        <v>#N/A</v>
      </c>
      <c r="BP570" s="615" t="e">
        <f t="shared" si="387"/>
        <v>#N/A</v>
      </c>
      <c r="BQ570" s="615" t="e">
        <f t="shared" ref="BQ570:CB570" si="388">MIN(BQ565-(BQ567+BQ568+BQ569),N$425)</f>
        <v>#N/A</v>
      </c>
      <c r="BR570" s="615" t="e">
        <f t="shared" si="388"/>
        <v>#N/A</v>
      </c>
      <c r="BS570" s="615" t="e">
        <f t="shared" si="388"/>
        <v>#N/A</v>
      </c>
      <c r="BT570" s="615" t="e">
        <f t="shared" si="388"/>
        <v>#N/A</v>
      </c>
      <c r="BU570" s="615" t="e">
        <f t="shared" si="388"/>
        <v>#N/A</v>
      </c>
      <c r="BV570" s="615" t="e">
        <f t="shared" si="388"/>
        <v>#N/A</v>
      </c>
      <c r="BW570" s="615" t="e">
        <f t="shared" si="388"/>
        <v>#N/A</v>
      </c>
      <c r="BX570" s="615" t="e">
        <f t="shared" si="388"/>
        <v>#N/A</v>
      </c>
      <c r="BY570" s="615" t="e">
        <f t="shared" si="388"/>
        <v>#N/A</v>
      </c>
      <c r="BZ570" s="615" t="e">
        <f t="shared" si="388"/>
        <v>#N/A</v>
      </c>
      <c r="CA570" s="615" t="e">
        <f t="shared" si="388"/>
        <v>#N/A</v>
      </c>
      <c r="CB570" s="615" t="e">
        <f t="shared" si="388"/>
        <v>#N/A</v>
      </c>
      <c r="CC570" s="615" t="e">
        <f t="shared" ref="CC570:CN570" si="389">MIN(CC565-(CC567+CC568+CC569),N$425)</f>
        <v>#N/A</v>
      </c>
      <c r="CD570" s="615" t="e">
        <f t="shared" si="389"/>
        <v>#N/A</v>
      </c>
      <c r="CE570" s="615" t="e">
        <f t="shared" si="389"/>
        <v>#N/A</v>
      </c>
      <c r="CF570" s="615" t="e">
        <f t="shared" si="389"/>
        <v>#N/A</v>
      </c>
      <c r="CG570" s="615" t="e">
        <f t="shared" si="389"/>
        <v>#N/A</v>
      </c>
      <c r="CH570" s="615" t="e">
        <f t="shared" si="389"/>
        <v>#N/A</v>
      </c>
      <c r="CI570" s="615" t="e">
        <f t="shared" si="389"/>
        <v>#N/A</v>
      </c>
      <c r="CJ570" s="615" t="e">
        <f t="shared" si="389"/>
        <v>#N/A</v>
      </c>
      <c r="CK570" s="615" t="e">
        <f t="shared" si="389"/>
        <v>#N/A</v>
      </c>
      <c r="CL570" s="615" t="e">
        <f t="shared" si="389"/>
        <v>#N/A</v>
      </c>
      <c r="CM570" s="615" t="e">
        <f t="shared" si="389"/>
        <v>#N/A</v>
      </c>
      <c r="CN570" s="615" t="e">
        <f t="shared" si="389"/>
        <v>#N/A</v>
      </c>
    </row>
    <row r="571" spans="8:92">
      <c r="H571" s="602" t="s">
        <v>940</v>
      </c>
      <c r="L571" s="618"/>
      <c r="M571" s="600"/>
      <c r="N571" s="615"/>
      <c r="O571" s="615"/>
      <c r="P571" s="615"/>
      <c r="Q571" s="615"/>
      <c r="R571" s="615"/>
      <c r="S571" s="615"/>
    </row>
    <row r="572" spans="8:92">
      <c r="H572" s="602" t="s">
        <v>940</v>
      </c>
      <c r="L572" s="618" t="s">
        <v>1300</v>
      </c>
      <c r="M572" s="600" t="s">
        <v>974</v>
      </c>
      <c r="N572" s="615" t="e">
        <f>SUM(U572:AF572)</f>
        <v>#N/A</v>
      </c>
      <c r="O572" s="615" t="e">
        <f>SUM(AG572:AR572)</f>
        <v>#N/A</v>
      </c>
      <c r="P572" s="615" t="e">
        <f>SUM(AS572:BD572)</f>
        <v>#N/A</v>
      </c>
      <c r="Q572" s="615" t="e">
        <f>SUM(BE572:BP572)</f>
        <v>#N/A</v>
      </c>
      <c r="R572" s="615" t="e">
        <f>SUM(BQ572:CB572)</f>
        <v>#N/A</v>
      </c>
      <c r="S572" s="615" t="e">
        <f>SUM(CC572:CN572)</f>
        <v>#N/A</v>
      </c>
      <c r="U572" s="616" t="e">
        <f t="shared" ref="U572:AF572" si="390">U567*N$427</f>
        <v>#N/A</v>
      </c>
      <c r="V572" s="616" t="e">
        <f t="shared" si="390"/>
        <v>#N/A</v>
      </c>
      <c r="W572" s="616" t="e">
        <f t="shared" si="390"/>
        <v>#N/A</v>
      </c>
      <c r="X572" s="616" t="e">
        <f t="shared" si="390"/>
        <v>#N/A</v>
      </c>
      <c r="Y572" s="616" t="e">
        <f t="shared" si="390"/>
        <v>#N/A</v>
      </c>
      <c r="Z572" s="616" t="e">
        <f t="shared" si="390"/>
        <v>#N/A</v>
      </c>
      <c r="AA572" s="616" t="e">
        <f t="shared" si="390"/>
        <v>#N/A</v>
      </c>
      <c r="AB572" s="616" t="e">
        <f t="shared" si="390"/>
        <v>#N/A</v>
      </c>
      <c r="AC572" s="616" t="e">
        <f t="shared" si="390"/>
        <v>#N/A</v>
      </c>
      <c r="AD572" s="616" t="e">
        <f t="shared" si="390"/>
        <v>#N/A</v>
      </c>
      <c r="AE572" s="616" t="e">
        <f t="shared" si="390"/>
        <v>#N/A</v>
      </c>
      <c r="AF572" s="616" t="e">
        <f t="shared" si="390"/>
        <v>#N/A</v>
      </c>
      <c r="AG572" s="616" t="e">
        <f t="shared" ref="AG572:AR572" si="391">AG567*N$427</f>
        <v>#N/A</v>
      </c>
      <c r="AH572" s="616" t="e">
        <f t="shared" si="391"/>
        <v>#N/A</v>
      </c>
      <c r="AI572" s="616" t="e">
        <f t="shared" si="391"/>
        <v>#N/A</v>
      </c>
      <c r="AJ572" s="616" t="e">
        <f t="shared" si="391"/>
        <v>#N/A</v>
      </c>
      <c r="AK572" s="616" t="e">
        <f t="shared" si="391"/>
        <v>#N/A</v>
      </c>
      <c r="AL572" s="616" t="e">
        <f t="shared" si="391"/>
        <v>#N/A</v>
      </c>
      <c r="AM572" s="616" t="e">
        <f t="shared" si="391"/>
        <v>#N/A</v>
      </c>
      <c r="AN572" s="616" t="e">
        <f t="shared" si="391"/>
        <v>#N/A</v>
      </c>
      <c r="AO572" s="616" t="e">
        <f t="shared" si="391"/>
        <v>#N/A</v>
      </c>
      <c r="AP572" s="616" t="e">
        <f t="shared" si="391"/>
        <v>#N/A</v>
      </c>
      <c r="AQ572" s="616" t="e">
        <f t="shared" si="391"/>
        <v>#N/A</v>
      </c>
      <c r="AR572" s="616" t="e">
        <f t="shared" si="391"/>
        <v>#N/A</v>
      </c>
      <c r="AS572" s="616" t="e">
        <f t="shared" ref="AS572:BD572" si="392">AS567*N$427</f>
        <v>#N/A</v>
      </c>
      <c r="AT572" s="616" t="e">
        <f t="shared" si="392"/>
        <v>#N/A</v>
      </c>
      <c r="AU572" s="616" t="e">
        <f t="shared" si="392"/>
        <v>#N/A</v>
      </c>
      <c r="AV572" s="616" t="e">
        <f t="shared" si="392"/>
        <v>#N/A</v>
      </c>
      <c r="AW572" s="616" t="e">
        <f t="shared" si="392"/>
        <v>#N/A</v>
      </c>
      <c r="AX572" s="616" t="e">
        <f t="shared" si="392"/>
        <v>#N/A</v>
      </c>
      <c r="AY572" s="616" t="e">
        <f t="shared" si="392"/>
        <v>#N/A</v>
      </c>
      <c r="AZ572" s="616" t="e">
        <f t="shared" si="392"/>
        <v>#N/A</v>
      </c>
      <c r="BA572" s="616" t="e">
        <f t="shared" si="392"/>
        <v>#N/A</v>
      </c>
      <c r="BB572" s="616" t="e">
        <f t="shared" si="392"/>
        <v>#N/A</v>
      </c>
      <c r="BC572" s="616" t="e">
        <f t="shared" si="392"/>
        <v>#N/A</v>
      </c>
      <c r="BD572" s="616" t="e">
        <f t="shared" si="392"/>
        <v>#N/A</v>
      </c>
      <c r="BE572" s="616" t="e">
        <f t="shared" ref="BE572:BP572" si="393">BE567*N$427</f>
        <v>#N/A</v>
      </c>
      <c r="BF572" s="616" t="e">
        <f t="shared" si="393"/>
        <v>#N/A</v>
      </c>
      <c r="BG572" s="616" t="e">
        <f t="shared" si="393"/>
        <v>#N/A</v>
      </c>
      <c r="BH572" s="616" t="e">
        <f t="shared" si="393"/>
        <v>#N/A</v>
      </c>
      <c r="BI572" s="616" t="e">
        <f t="shared" si="393"/>
        <v>#N/A</v>
      </c>
      <c r="BJ572" s="616" t="e">
        <f t="shared" si="393"/>
        <v>#N/A</v>
      </c>
      <c r="BK572" s="616" t="e">
        <f t="shared" si="393"/>
        <v>#N/A</v>
      </c>
      <c r="BL572" s="616" t="e">
        <f t="shared" si="393"/>
        <v>#N/A</v>
      </c>
      <c r="BM572" s="616" t="e">
        <f t="shared" si="393"/>
        <v>#N/A</v>
      </c>
      <c r="BN572" s="616" t="e">
        <f t="shared" si="393"/>
        <v>#N/A</v>
      </c>
      <c r="BO572" s="616" t="e">
        <f t="shared" si="393"/>
        <v>#N/A</v>
      </c>
      <c r="BP572" s="616" t="e">
        <f t="shared" si="393"/>
        <v>#N/A</v>
      </c>
      <c r="BQ572" s="616" t="e">
        <f t="shared" ref="BQ572:CB572" si="394">BQ567*N$427</f>
        <v>#N/A</v>
      </c>
      <c r="BR572" s="616" t="e">
        <f t="shared" si="394"/>
        <v>#N/A</v>
      </c>
      <c r="BS572" s="616" t="e">
        <f t="shared" si="394"/>
        <v>#N/A</v>
      </c>
      <c r="BT572" s="616" t="e">
        <f t="shared" si="394"/>
        <v>#N/A</v>
      </c>
      <c r="BU572" s="616" t="e">
        <f t="shared" si="394"/>
        <v>#N/A</v>
      </c>
      <c r="BV572" s="616" t="e">
        <f t="shared" si="394"/>
        <v>#N/A</v>
      </c>
      <c r="BW572" s="616" t="e">
        <f t="shared" si="394"/>
        <v>#N/A</v>
      </c>
      <c r="BX572" s="616" t="e">
        <f t="shared" si="394"/>
        <v>#N/A</v>
      </c>
      <c r="BY572" s="616" t="e">
        <f t="shared" si="394"/>
        <v>#N/A</v>
      </c>
      <c r="BZ572" s="616" t="e">
        <f t="shared" si="394"/>
        <v>#N/A</v>
      </c>
      <c r="CA572" s="616" t="e">
        <f t="shared" si="394"/>
        <v>#N/A</v>
      </c>
      <c r="CB572" s="616" t="e">
        <f t="shared" si="394"/>
        <v>#N/A</v>
      </c>
      <c r="CC572" s="616" t="e">
        <f t="shared" ref="CC572:CN572" si="395">CC567*N$427</f>
        <v>#N/A</v>
      </c>
      <c r="CD572" s="616" t="e">
        <f t="shared" si="395"/>
        <v>#N/A</v>
      </c>
      <c r="CE572" s="616" t="e">
        <f t="shared" si="395"/>
        <v>#N/A</v>
      </c>
      <c r="CF572" s="616" t="e">
        <f t="shared" si="395"/>
        <v>#N/A</v>
      </c>
      <c r="CG572" s="616" t="e">
        <f t="shared" si="395"/>
        <v>#N/A</v>
      </c>
      <c r="CH572" s="616" t="e">
        <f t="shared" si="395"/>
        <v>#N/A</v>
      </c>
      <c r="CI572" s="616" t="e">
        <f t="shared" si="395"/>
        <v>#N/A</v>
      </c>
      <c r="CJ572" s="616" t="e">
        <f t="shared" si="395"/>
        <v>#N/A</v>
      </c>
      <c r="CK572" s="616" t="e">
        <f t="shared" si="395"/>
        <v>#N/A</v>
      </c>
      <c r="CL572" s="616" t="e">
        <f t="shared" si="395"/>
        <v>#N/A</v>
      </c>
      <c r="CM572" s="616" t="e">
        <f t="shared" si="395"/>
        <v>#N/A</v>
      </c>
      <c r="CN572" s="616" t="e">
        <f t="shared" si="395"/>
        <v>#N/A</v>
      </c>
    </row>
    <row r="573" spans="8:92">
      <c r="H573" s="602" t="s">
        <v>940</v>
      </c>
      <c r="L573" s="618" t="s">
        <v>1301</v>
      </c>
      <c r="M573" s="600" t="s">
        <v>974</v>
      </c>
      <c r="N573" s="615" t="e">
        <f>SUM(U573:AF573)</f>
        <v>#N/A</v>
      </c>
      <c r="O573" s="615" t="e">
        <f>SUM(AG573:AR573)</f>
        <v>#N/A</v>
      </c>
      <c r="P573" s="615" t="e">
        <f>SUM(AS573:BD573)</f>
        <v>#N/A</v>
      </c>
      <c r="Q573" s="615" t="e">
        <f>SUM(BE573:BP573)</f>
        <v>#N/A</v>
      </c>
      <c r="R573" s="615" t="e">
        <f>SUM(BQ573:CB573)</f>
        <v>#N/A</v>
      </c>
      <c r="S573" s="615" t="e">
        <f>SUM(CC573:CN573)</f>
        <v>#N/A</v>
      </c>
      <c r="U573" s="616" t="e">
        <f t="shared" ref="U573:AF573" si="396">U568*N$428</f>
        <v>#N/A</v>
      </c>
      <c r="V573" s="616" t="e">
        <f t="shared" si="396"/>
        <v>#N/A</v>
      </c>
      <c r="W573" s="616" t="e">
        <f t="shared" si="396"/>
        <v>#N/A</v>
      </c>
      <c r="X573" s="616" t="e">
        <f t="shared" si="396"/>
        <v>#N/A</v>
      </c>
      <c r="Y573" s="616" t="e">
        <f t="shared" si="396"/>
        <v>#N/A</v>
      </c>
      <c r="Z573" s="616" t="e">
        <f t="shared" si="396"/>
        <v>#N/A</v>
      </c>
      <c r="AA573" s="616" t="e">
        <f t="shared" si="396"/>
        <v>#N/A</v>
      </c>
      <c r="AB573" s="616" t="e">
        <f t="shared" si="396"/>
        <v>#N/A</v>
      </c>
      <c r="AC573" s="616" t="e">
        <f t="shared" si="396"/>
        <v>#N/A</v>
      </c>
      <c r="AD573" s="616" t="e">
        <f t="shared" si="396"/>
        <v>#N/A</v>
      </c>
      <c r="AE573" s="616" t="e">
        <f t="shared" si="396"/>
        <v>#N/A</v>
      </c>
      <c r="AF573" s="616" t="e">
        <f t="shared" si="396"/>
        <v>#N/A</v>
      </c>
      <c r="AG573" s="616" t="e">
        <f t="shared" ref="AG573:AR573" si="397">AG568*N$428</f>
        <v>#N/A</v>
      </c>
      <c r="AH573" s="616" t="e">
        <f t="shared" si="397"/>
        <v>#N/A</v>
      </c>
      <c r="AI573" s="616" t="e">
        <f t="shared" si="397"/>
        <v>#N/A</v>
      </c>
      <c r="AJ573" s="616" t="e">
        <f t="shared" si="397"/>
        <v>#N/A</v>
      </c>
      <c r="AK573" s="616" t="e">
        <f t="shared" si="397"/>
        <v>#N/A</v>
      </c>
      <c r="AL573" s="616" t="e">
        <f t="shared" si="397"/>
        <v>#N/A</v>
      </c>
      <c r="AM573" s="616" t="e">
        <f t="shared" si="397"/>
        <v>#N/A</v>
      </c>
      <c r="AN573" s="616" t="e">
        <f t="shared" si="397"/>
        <v>#N/A</v>
      </c>
      <c r="AO573" s="616" t="e">
        <f t="shared" si="397"/>
        <v>#N/A</v>
      </c>
      <c r="AP573" s="616" t="e">
        <f t="shared" si="397"/>
        <v>#N/A</v>
      </c>
      <c r="AQ573" s="616" t="e">
        <f t="shared" si="397"/>
        <v>#N/A</v>
      </c>
      <c r="AR573" s="616" t="e">
        <f t="shared" si="397"/>
        <v>#N/A</v>
      </c>
      <c r="AS573" s="616" t="e">
        <f t="shared" ref="AS573:BD573" si="398">AS568*N$428</f>
        <v>#N/A</v>
      </c>
      <c r="AT573" s="616" t="e">
        <f t="shared" si="398"/>
        <v>#N/A</v>
      </c>
      <c r="AU573" s="616" t="e">
        <f t="shared" si="398"/>
        <v>#N/A</v>
      </c>
      <c r="AV573" s="616" t="e">
        <f t="shared" si="398"/>
        <v>#N/A</v>
      </c>
      <c r="AW573" s="616" t="e">
        <f t="shared" si="398"/>
        <v>#N/A</v>
      </c>
      <c r="AX573" s="616" t="e">
        <f t="shared" si="398"/>
        <v>#N/A</v>
      </c>
      <c r="AY573" s="616" t="e">
        <f t="shared" si="398"/>
        <v>#N/A</v>
      </c>
      <c r="AZ573" s="616" t="e">
        <f t="shared" si="398"/>
        <v>#N/A</v>
      </c>
      <c r="BA573" s="616" t="e">
        <f t="shared" si="398"/>
        <v>#N/A</v>
      </c>
      <c r="BB573" s="616" t="e">
        <f t="shared" si="398"/>
        <v>#N/A</v>
      </c>
      <c r="BC573" s="616" t="e">
        <f t="shared" si="398"/>
        <v>#N/A</v>
      </c>
      <c r="BD573" s="616" t="e">
        <f t="shared" si="398"/>
        <v>#N/A</v>
      </c>
      <c r="BE573" s="616" t="e">
        <f t="shared" ref="BE573:BP573" si="399">BE568*N$428</f>
        <v>#N/A</v>
      </c>
      <c r="BF573" s="616" t="e">
        <f t="shared" si="399"/>
        <v>#N/A</v>
      </c>
      <c r="BG573" s="616" t="e">
        <f t="shared" si="399"/>
        <v>#N/A</v>
      </c>
      <c r="BH573" s="616" t="e">
        <f t="shared" si="399"/>
        <v>#N/A</v>
      </c>
      <c r="BI573" s="616" t="e">
        <f t="shared" si="399"/>
        <v>#N/A</v>
      </c>
      <c r="BJ573" s="616" t="e">
        <f t="shared" si="399"/>
        <v>#N/A</v>
      </c>
      <c r="BK573" s="616" t="e">
        <f t="shared" si="399"/>
        <v>#N/A</v>
      </c>
      <c r="BL573" s="616" t="e">
        <f t="shared" si="399"/>
        <v>#N/A</v>
      </c>
      <c r="BM573" s="616" t="e">
        <f t="shared" si="399"/>
        <v>#N/A</v>
      </c>
      <c r="BN573" s="616" t="e">
        <f t="shared" si="399"/>
        <v>#N/A</v>
      </c>
      <c r="BO573" s="616" t="e">
        <f t="shared" si="399"/>
        <v>#N/A</v>
      </c>
      <c r="BP573" s="616" t="e">
        <f t="shared" si="399"/>
        <v>#N/A</v>
      </c>
      <c r="BQ573" s="616" t="e">
        <f t="shared" ref="BQ573:CB573" si="400">BQ568*N$428</f>
        <v>#N/A</v>
      </c>
      <c r="BR573" s="616" t="e">
        <f t="shared" si="400"/>
        <v>#N/A</v>
      </c>
      <c r="BS573" s="616" t="e">
        <f t="shared" si="400"/>
        <v>#N/A</v>
      </c>
      <c r="BT573" s="616" t="e">
        <f t="shared" si="400"/>
        <v>#N/A</v>
      </c>
      <c r="BU573" s="616" t="e">
        <f t="shared" si="400"/>
        <v>#N/A</v>
      </c>
      <c r="BV573" s="616" t="e">
        <f t="shared" si="400"/>
        <v>#N/A</v>
      </c>
      <c r="BW573" s="616" t="e">
        <f t="shared" si="400"/>
        <v>#N/A</v>
      </c>
      <c r="BX573" s="616" t="e">
        <f t="shared" si="400"/>
        <v>#N/A</v>
      </c>
      <c r="BY573" s="616" t="e">
        <f t="shared" si="400"/>
        <v>#N/A</v>
      </c>
      <c r="BZ573" s="616" t="e">
        <f t="shared" si="400"/>
        <v>#N/A</v>
      </c>
      <c r="CA573" s="616" t="e">
        <f t="shared" si="400"/>
        <v>#N/A</v>
      </c>
      <c r="CB573" s="616" t="e">
        <f t="shared" si="400"/>
        <v>#N/A</v>
      </c>
      <c r="CC573" s="616" t="e">
        <f t="shared" ref="CC573:CN573" si="401">CC568*N$428</f>
        <v>#N/A</v>
      </c>
      <c r="CD573" s="616" t="e">
        <f t="shared" si="401"/>
        <v>#N/A</v>
      </c>
      <c r="CE573" s="616" t="e">
        <f t="shared" si="401"/>
        <v>#N/A</v>
      </c>
      <c r="CF573" s="616" t="e">
        <f t="shared" si="401"/>
        <v>#N/A</v>
      </c>
      <c r="CG573" s="616" t="e">
        <f t="shared" si="401"/>
        <v>#N/A</v>
      </c>
      <c r="CH573" s="616" t="e">
        <f t="shared" si="401"/>
        <v>#N/A</v>
      </c>
      <c r="CI573" s="616" t="e">
        <f t="shared" si="401"/>
        <v>#N/A</v>
      </c>
      <c r="CJ573" s="616" t="e">
        <f t="shared" si="401"/>
        <v>#N/A</v>
      </c>
      <c r="CK573" s="616" t="e">
        <f t="shared" si="401"/>
        <v>#N/A</v>
      </c>
      <c r="CL573" s="616" t="e">
        <f t="shared" si="401"/>
        <v>#N/A</v>
      </c>
      <c r="CM573" s="616" t="e">
        <f t="shared" si="401"/>
        <v>#N/A</v>
      </c>
      <c r="CN573" s="616" t="e">
        <f t="shared" si="401"/>
        <v>#N/A</v>
      </c>
    </row>
    <row r="574" spans="8:92">
      <c r="H574" s="602" t="s">
        <v>940</v>
      </c>
      <c r="L574" s="618" t="s">
        <v>1302</v>
      </c>
      <c r="M574" s="600" t="s">
        <v>974</v>
      </c>
      <c r="N574" s="615" t="e">
        <f>SUM(U574:AF574)</f>
        <v>#N/A</v>
      </c>
      <c r="O574" s="615" t="e">
        <f>SUM(AG574:AR574)</f>
        <v>#N/A</v>
      </c>
      <c r="P574" s="615" t="e">
        <f>SUM(AS574:BD574)</f>
        <v>#N/A</v>
      </c>
      <c r="Q574" s="615" t="e">
        <f>SUM(BE574:BP574)</f>
        <v>#N/A</v>
      </c>
      <c r="R574" s="615" t="e">
        <f>SUM(BQ574:CB574)</f>
        <v>#N/A</v>
      </c>
      <c r="S574" s="615" t="e">
        <f>SUM(CC574:CN574)</f>
        <v>#N/A</v>
      </c>
      <c r="U574" s="616" t="e">
        <f t="shared" ref="U574:AF574" si="402">U569*N$429</f>
        <v>#N/A</v>
      </c>
      <c r="V574" s="616" t="e">
        <f t="shared" si="402"/>
        <v>#N/A</v>
      </c>
      <c r="W574" s="616" t="e">
        <f t="shared" si="402"/>
        <v>#N/A</v>
      </c>
      <c r="X574" s="616" t="e">
        <f t="shared" si="402"/>
        <v>#N/A</v>
      </c>
      <c r="Y574" s="616" t="e">
        <f t="shared" si="402"/>
        <v>#N/A</v>
      </c>
      <c r="Z574" s="616" t="e">
        <f t="shared" si="402"/>
        <v>#N/A</v>
      </c>
      <c r="AA574" s="616" t="e">
        <f t="shared" si="402"/>
        <v>#N/A</v>
      </c>
      <c r="AB574" s="616" t="e">
        <f t="shared" si="402"/>
        <v>#N/A</v>
      </c>
      <c r="AC574" s="616" t="e">
        <f t="shared" si="402"/>
        <v>#N/A</v>
      </c>
      <c r="AD574" s="616" t="e">
        <f t="shared" si="402"/>
        <v>#N/A</v>
      </c>
      <c r="AE574" s="616" t="e">
        <f t="shared" si="402"/>
        <v>#N/A</v>
      </c>
      <c r="AF574" s="616" t="e">
        <f t="shared" si="402"/>
        <v>#N/A</v>
      </c>
      <c r="AG574" s="616" t="e">
        <f t="shared" ref="AG574:AR574" si="403">AG569*N$429</f>
        <v>#N/A</v>
      </c>
      <c r="AH574" s="616" t="e">
        <f t="shared" si="403"/>
        <v>#N/A</v>
      </c>
      <c r="AI574" s="616" t="e">
        <f t="shared" si="403"/>
        <v>#N/A</v>
      </c>
      <c r="AJ574" s="616" t="e">
        <f t="shared" si="403"/>
        <v>#N/A</v>
      </c>
      <c r="AK574" s="616" t="e">
        <f t="shared" si="403"/>
        <v>#N/A</v>
      </c>
      <c r="AL574" s="616" t="e">
        <f t="shared" si="403"/>
        <v>#N/A</v>
      </c>
      <c r="AM574" s="616" t="e">
        <f t="shared" si="403"/>
        <v>#N/A</v>
      </c>
      <c r="AN574" s="616" t="e">
        <f t="shared" si="403"/>
        <v>#N/A</v>
      </c>
      <c r="AO574" s="616" t="e">
        <f t="shared" si="403"/>
        <v>#N/A</v>
      </c>
      <c r="AP574" s="616" t="e">
        <f t="shared" si="403"/>
        <v>#N/A</v>
      </c>
      <c r="AQ574" s="616" t="e">
        <f t="shared" si="403"/>
        <v>#N/A</v>
      </c>
      <c r="AR574" s="616" t="e">
        <f t="shared" si="403"/>
        <v>#N/A</v>
      </c>
      <c r="AS574" s="616" t="e">
        <f t="shared" ref="AS574:BD574" si="404">AS569*N$429</f>
        <v>#N/A</v>
      </c>
      <c r="AT574" s="616" t="e">
        <f t="shared" si="404"/>
        <v>#N/A</v>
      </c>
      <c r="AU574" s="616" t="e">
        <f t="shared" si="404"/>
        <v>#N/A</v>
      </c>
      <c r="AV574" s="616" t="e">
        <f t="shared" si="404"/>
        <v>#N/A</v>
      </c>
      <c r="AW574" s="616" t="e">
        <f t="shared" si="404"/>
        <v>#N/A</v>
      </c>
      <c r="AX574" s="616" t="e">
        <f t="shared" si="404"/>
        <v>#N/A</v>
      </c>
      <c r="AY574" s="616" t="e">
        <f t="shared" si="404"/>
        <v>#N/A</v>
      </c>
      <c r="AZ574" s="616" t="e">
        <f t="shared" si="404"/>
        <v>#N/A</v>
      </c>
      <c r="BA574" s="616" t="e">
        <f t="shared" si="404"/>
        <v>#N/A</v>
      </c>
      <c r="BB574" s="616" t="e">
        <f t="shared" si="404"/>
        <v>#N/A</v>
      </c>
      <c r="BC574" s="616" t="e">
        <f t="shared" si="404"/>
        <v>#N/A</v>
      </c>
      <c r="BD574" s="616" t="e">
        <f t="shared" si="404"/>
        <v>#N/A</v>
      </c>
      <c r="BE574" s="616" t="e">
        <f t="shared" ref="BE574:BP574" si="405">BE569*N$429</f>
        <v>#N/A</v>
      </c>
      <c r="BF574" s="616" t="e">
        <f t="shared" si="405"/>
        <v>#N/A</v>
      </c>
      <c r="BG574" s="616" t="e">
        <f t="shared" si="405"/>
        <v>#N/A</v>
      </c>
      <c r="BH574" s="616" t="e">
        <f t="shared" si="405"/>
        <v>#N/A</v>
      </c>
      <c r="BI574" s="616" t="e">
        <f t="shared" si="405"/>
        <v>#N/A</v>
      </c>
      <c r="BJ574" s="616" t="e">
        <f t="shared" si="405"/>
        <v>#N/A</v>
      </c>
      <c r="BK574" s="616" t="e">
        <f t="shared" si="405"/>
        <v>#N/A</v>
      </c>
      <c r="BL574" s="616" t="e">
        <f t="shared" si="405"/>
        <v>#N/A</v>
      </c>
      <c r="BM574" s="616" t="e">
        <f t="shared" si="405"/>
        <v>#N/A</v>
      </c>
      <c r="BN574" s="616" t="e">
        <f t="shared" si="405"/>
        <v>#N/A</v>
      </c>
      <c r="BO574" s="616" t="e">
        <f t="shared" si="405"/>
        <v>#N/A</v>
      </c>
      <c r="BP574" s="616" t="e">
        <f t="shared" si="405"/>
        <v>#N/A</v>
      </c>
      <c r="BQ574" s="616" t="e">
        <f t="shared" ref="BQ574:CB574" si="406">BQ569*N$429</f>
        <v>#N/A</v>
      </c>
      <c r="BR574" s="616" t="e">
        <f t="shared" si="406"/>
        <v>#N/A</v>
      </c>
      <c r="BS574" s="616" t="e">
        <f t="shared" si="406"/>
        <v>#N/A</v>
      </c>
      <c r="BT574" s="616" t="e">
        <f t="shared" si="406"/>
        <v>#N/A</v>
      </c>
      <c r="BU574" s="616" t="e">
        <f t="shared" si="406"/>
        <v>#N/A</v>
      </c>
      <c r="BV574" s="616" t="e">
        <f t="shared" si="406"/>
        <v>#N/A</v>
      </c>
      <c r="BW574" s="616" t="e">
        <f t="shared" si="406"/>
        <v>#N/A</v>
      </c>
      <c r="BX574" s="616" t="e">
        <f t="shared" si="406"/>
        <v>#N/A</v>
      </c>
      <c r="BY574" s="616" t="e">
        <f t="shared" si="406"/>
        <v>#N/A</v>
      </c>
      <c r="BZ574" s="616" t="e">
        <f t="shared" si="406"/>
        <v>#N/A</v>
      </c>
      <c r="CA574" s="616" t="e">
        <f t="shared" si="406"/>
        <v>#N/A</v>
      </c>
      <c r="CB574" s="616" t="e">
        <f t="shared" si="406"/>
        <v>#N/A</v>
      </c>
      <c r="CC574" s="616" t="e">
        <f t="shared" ref="CC574:CN574" si="407">CC569*N$429</f>
        <v>#N/A</v>
      </c>
      <c r="CD574" s="616" t="e">
        <f t="shared" si="407"/>
        <v>#N/A</v>
      </c>
      <c r="CE574" s="616" t="e">
        <f t="shared" si="407"/>
        <v>#N/A</v>
      </c>
      <c r="CF574" s="616" t="e">
        <f t="shared" si="407"/>
        <v>#N/A</v>
      </c>
      <c r="CG574" s="616" t="e">
        <f t="shared" si="407"/>
        <v>#N/A</v>
      </c>
      <c r="CH574" s="616" t="e">
        <f t="shared" si="407"/>
        <v>#N/A</v>
      </c>
      <c r="CI574" s="616" t="e">
        <f t="shared" si="407"/>
        <v>#N/A</v>
      </c>
      <c r="CJ574" s="616" t="e">
        <f t="shared" si="407"/>
        <v>#N/A</v>
      </c>
      <c r="CK574" s="616" t="e">
        <f t="shared" si="407"/>
        <v>#N/A</v>
      </c>
      <c r="CL574" s="616" t="e">
        <f t="shared" si="407"/>
        <v>#N/A</v>
      </c>
      <c r="CM574" s="616" t="e">
        <f t="shared" si="407"/>
        <v>#N/A</v>
      </c>
      <c r="CN574" s="616" t="e">
        <f t="shared" si="407"/>
        <v>#N/A</v>
      </c>
    </row>
    <row r="575" spans="8:92">
      <c r="H575" s="602" t="s">
        <v>940</v>
      </c>
      <c r="L575" s="618" t="s">
        <v>1303</v>
      </c>
      <c r="M575" s="600" t="s">
        <v>974</v>
      </c>
      <c r="N575" s="615" t="e">
        <f>SUM(U575:AF575)</f>
        <v>#N/A</v>
      </c>
      <c r="O575" s="615" t="e">
        <f>SUM(AG575:AR575)</f>
        <v>#N/A</v>
      </c>
      <c r="P575" s="615" t="e">
        <f>SUM(AS575:BD575)</f>
        <v>#N/A</v>
      </c>
      <c r="Q575" s="615" t="e">
        <f>SUM(BE575:BP575)</f>
        <v>#N/A</v>
      </c>
      <c r="R575" s="615" t="e">
        <f>SUM(BQ575:CB575)</f>
        <v>#N/A</v>
      </c>
      <c r="S575" s="615" t="e">
        <f>SUM(CC575:CN575)</f>
        <v>#N/A</v>
      </c>
      <c r="U575" s="616" t="e">
        <f t="shared" ref="U575:AF575" si="408">U570*N$430</f>
        <v>#N/A</v>
      </c>
      <c r="V575" s="616" t="e">
        <f t="shared" si="408"/>
        <v>#N/A</v>
      </c>
      <c r="W575" s="616" t="e">
        <f t="shared" si="408"/>
        <v>#N/A</v>
      </c>
      <c r="X575" s="616" t="e">
        <f t="shared" si="408"/>
        <v>#N/A</v>
      </c>
      <c r="Y575" s="616" t="e">
        <f t="shared" si="408"/>
        <v>#N/A</v>
      </c>
      <c r="Z575" s="616" t="e">
        <f t="shared" si="408"/>
        <v>#N/A</v>
      </c>
      <c r="AA575" s="616" t="e">
        <f t="shared" si="408"/>
        <v>#N/A</v>
      </c>
      <c r="AB575" s="616" t="e">
        <f t="shared" si="408"/>
        <v>#N/A</v>
      </c>
      <c r="AC575" s="616" t="e">
        <f t="shared" si="408"/>
        <v>#N/A</v>
      </c>
      <c r="AD575" s="616" t="e">
        <f t="shared" si="408"/>
        <v>#N/A</v>
      </c>
      <c r="AE575" s="616" t="e">
        <f t="shared" si="408"/>
        <v>#N/A</v>
      </c>
      <c r="AF575" s="616" t="e">
        <f t="shared" si="408"/>
        <v>#N/A</v>
      </c>
      <c r="AG575" s="616" t="e">
        <f t="shared" ref="AG575:AR575" si="409">AG570*N$430</f>
        <v>#N/A</v>
      </c>
      <c r="AH575" s="616" t="e">
        <f t="shared" si="409"/>
        <v>#N/A</v>
      </c>
      <c r="AI575" s="616" t="e">
        <f t="shared" si="409"/>
        <v>#N/A</v>
      </c>
      <c r="AJ575" s="616" t="e">
        <f t="shared" si="409"/>
        <v>#N/A</v>
      </c>
      <c r="AK575" s="616" t="e">
        <f t="shared" si="409"/>
        <v>#N/A</v>
      </c>
      <c r="AL575" s="616" t="e">
        <f t="shared" si="409"/>
        <v>#N/A</v>
      </c>
      <c r="AM575" s="616" t="e">
        <f t="shared" si="409"/>
        <v>#N/A</v>
      </c>
      <c r="AN575" s="616" t="e">
        <f t="shared" si="409"/>
        <v>#N/A</v>
      </c>
      <c r="AO575" s="616" t="e">
        <f t="shared" si="409"/>
        <v>#N/A</v>
      </c>
      <c r="AP575" s="616" t="e">
        <f t="shared" si="409"/>
        <v>#N/A</v>
      </c>
      <c r="AQ575" s="616" t="e">
        <f t="shared" si="409"/>
        <v>#N/A</v>
      </c>
      <c r="AR575" s="616" t="e">
        <f t="shared" si="409"/>
        <v>#N/A</v>
      </c>
      <c r="AS575" s="616" t="e">
        <f t="shared" ref="AS575:BD575" si="410">AS570*N$430</f>
        <v>#N/A</v>
      </c>
      <c r="AT575" s="616" t="e">
        <f t="shared" si="410"/>
        <v>#N/A</v>
      </c>
      <c r="AU575" s="616" t="e">
        <f t="shared" si="410"/>
        <v>#N/A</v>
      </c>
      <c r="AV575" s="616" t="e">
        <f t="shared" si="410"/>
        <v>#N/A</v>
      </c>
      <c r="AW575" s="616" t="e">
        <f t="shared" si="410"/>
        <v>#N/A</v>
      </c>
      <c r="AX575" s="616" t="e">
        <f t="shared" si="410"/>
        <v>#N/A</v>
      </c>
      <c r="AY575" s="616" t="e">
        <f t="shared" si="410"/>
        <v>#N/A</v>
      </c>
      <c r="AZ575" s="616" t="e">
        <f t="shared" si="410"/>
        <v>#N/A</v>
      </c>
      <c r="BA575" s="616" t="e">
        <f t="shared" si="410"/>
        <v>#N/A</v>
      </c>
      <c r="BB575" s="616" t="e">
        <f t="shared" si="410"/>
        <v>#N/A</v>
      </c>
      <c r="BC575" s="616" t="e">
        <f t="shared" si="410"/>
        <v>#N/A</v>
      </c>
      <c r="BD575" s="616" t="e">
        <f t="shared" si="410"/>
        <v>#N/A</v>
      </c>
      <c r="BE575" s="616" t="e">
        <f t="shared" ref="BE575:BP575" si="411">BE570*N$430</f>
        <v>#N/A</v>
      </c>
      <c r="BF575" s="616" t="e">
        <f t="shared" si="411"/>
        <v>#N/A</v>
      </c>
      <c r="BG575" s="616" t="e">
        <f t="shared" si="411"/>
        <v>#N/A</v>
      </c>
      <c r="BH575" s="616" t="e">
        <f t="shared" si="411"/>
        <v>#N/A</v>
      </c>
      <c r="BI575" s="616" t="e">
        <f t="shared" si="411"/>
        <v>#N/A</v>
      </c>
      <c r="BJ575" s="616" t="e">
        <f t="shared" si="411"/>
        <v>#N/A</v>
      </c>
      <c r="BK575" s="616" t="e">
        <f t="shared" si="411"/>
        <v>#N/A</v>
      </c>
      <c r="BL575" s="616" t="e">
        <f t="shared" si="411"/>
        <v>#N/A</v>
      </c>
      <c r="BM575" s="616" t="e">
        <f t="shared" si="411"/>
        <v>#N/A</v>
      </c>
      <c r="BN575" s="616" t="e">
        <f t="shared" si="411"/>
        <v>#N/A</v>
      </c>
      <c r="BO575" s="616" t="e">
        <f t="shared" si="411"/>
        <v>#N/A</v>
      </c>
      <c r="BP575" s="616" t="e">
        <f t="shared" si="411"/>
        <v>#N/A</v>
      </c>
      <c r="BQ575" s="616" t="e">
        <f t="shared" ref="BQ575:CB575" si="412">BQ570*N$430</f>
        <v>#N/A</v>
      </c>
      <c r="BR575" s="616" t="e">
        <f t="shared" si="412"/>
        <v>#N/A</v>
      </c>
      <c r="BS575" s="616" t="e">
        <f t="shared" si="412"/>
        <v>#N/A</v>
      </c>
      <c r="BT575" s="616" t="e">
        <f t="shared" si="412"/>
        <v>#N/A</v>
      </c>
      <c r="BU575" s="616" t="e">
        <f t="shared" si="412"/>
        <v>#N/A</v>
      </c>
      <c r="BV575" s="616" t="e">
        <f t="shared" si="412"/>
        <v>#N/A</v>
      </c>
      <c r="BW575" s="616" t="e">
        <f t="shared" si="412"/>
        <v>#N/A</v>
      </c>
      <c r="BX575" s="616" t="e">
        <f t="shared" si="412"/>
        <v>#N/A</v>
      </c>
      <c r="BY575" s="616" t="e">
        <f t="shared" si="412"/>
        <v>#N/A</v>
      </c>
      <c r="BZ575" s="616" t="e">
        <f t="shared" si="412"/>
        <v>#N/A</v>
      </c>
      <c r="CA575" s="616" t="e">
        <f t="shared" si="412"/>
        <v>#N/A</v>
      </c>
      <c r="CB575" s="616" t="e">
        <f t="shared" si="412"/>
        <v>#N/A</v>
      </c>
      <c r="CC575" s="616" t="e">
        <f t="shared" ref="CC575:CN575" si="413">CC570*N$430</f>
        <v>#N/A</v>
      </c>
      <c r="CD575" s="616" t="e">
        <f t="shared" si="413"/>
        <v>#N/A</v>
      </c>
      <c r="CE575" s="616" t="e">
        <f t="shared" si="413"/>
        <v>#N/A</v>
      </c>
      <c r="CF575" s="616" t="e">
        <f t="shared" si="413"/>
        <v>#N/A</v>
      </c>
      <c r="CG575" s="616" t="e">
        <f t="shared" si="413"/>
        <v>#N/A</v>
      </c>
      <c r="CH575" s="616" t="e">
        <f t="shared" si="413"/>
        <v>#N/A</v>
      </c>
      <c r="CI575" s="616" t="e">
        <f t="shared" si="413"/>
        <v>#N/A</v>
      </c>
      <c r="CJ575" s="616" t="e">
        <f t="shared" si="413"/>
        <v>#N/A</v>
      </c>
      <c r="CK575" s="616" t="e">
        <f t="shared" si="413"/>
        <v>#N/A</v>
      </c>
      <c r="CL575" s="616" t="e">
        <f t="shared" si="413"/>
        <v>#N/A</v>
      </c>
      <c r="CM575" s="616" t="e">
        <f t="shared" si="413"/>
        <v>#N/A</v>
      </c>
      <c r="CN575" s="616" t="e">
        <f t="shared" si="413"/>
        <v>#N/A</v>
      </c>
    </row>
    <row r="576" spans="8:92">
      <c r="H576" s="602" t="s">
        <v>940</v>
      </c>
      <c r="L576" s="618"/>
      <c r="M576" s="600"/>
      <c r="N576" s="615"/>
      <c r="O576" s="615"/>
      <c r="P576" s="615"/>
      <c r="Q576" s="615"/>
      <c r="R576" s="615"/>
      <c r="S576" s="615"/>
      <c r="U576" s="616"/>
      <c r="V576" s="616"/>
      <c r="W576" s="616"/>
      <c r="X576" s="616"/>
      <c r="Y576" s="616"/>
      <c r="Z576" s="616"/>
      <c r="AA576" s="616"/>
      <c r="AB576" s="616"/>
      <c r="AC576" s="616"/>
      <c r="AD576" s="616"/>
      <c r="AE576" s="616"/>
      <c r="AF576" s="616"/>
      <c r="AG576" s="616"/>
      <c r="AH576" s="616"/>
      <c r="AI576" s="616"/>
      <c r="AJ576" s="616"/>
      <c r="AK576" s="616"/>
      <c r="AL576" s="616"/>
      <c r="AM576" s="616"/>
      <c r="AN576" s="616"/>
      <c r="AO576" s="616"/>
      <c r="AP576" s="616"/>
      <c r="AQ576" s="616"/>
      <c r="AR576" s="616"/>
      <c r="AS576" s="616"/>
      <c r="AT576" s="616"/>
      <c r="AU576" s="616"/>
      <c r="AV576" s="616"/>
      <c r="AW576" s="616"/>
      <c r="AX576" s="616"/>
      <c r="AY576" s="616"/>
      <c r="AZ576" s="616"/>
      <c r="BA576" s="616"/>
      <c r="BB576" s="616"/>
      <c r="BC576" s="616"/>
      <c r="BD576" s="616"/>
      <c r="BE576" s="616"/>
      <c r="BF576" s="616"/>
      <c r="BG576" s="616"/>
      <c r="BH576" s="616"/>
      <c r="BI576" s="616"/>
      <c r="BJ576" s="616"/>
      <c r="BK576" s="616"/>
      <c r="BL576" s="616"/>
      <c r="BM576" s="616"/>
      <c r="BN576" s="616"/>
      <c r="BO576" s="616"/>
      <c r="BP576" s="616"/>
      <c r="BQ576" s="616"/>
      <c r="BR576" s="616"/>
      <c r="BS576" s="616"/>
      <c r="BT576" s="616"/>
      <c r="BU576" s="616"/>
      <c r="BV576" s="616"/>
      <c r="BW576" s="616"/>
      <c r="BX576" s="616"/>
      <c r="BY576" s="616"/>
      <c r="BZ576" s="616"/>
      <c r="CA576" s="616"/>
      <c r="CB576" s="616"/>
      <c r="CC576" s="616"/>
      <c r="CD576" s="616"/>
      <c r="CE576" s="616"/>
      <c r="CF576" s="616"/>
      <c r="CG576" s="616"/>
      <c r="CH576" s="616"/>
      <c r="CI576" s="616"/>
      <c r="CJ576" s="616"/>
      <c r="CK576" s="616"/>
      <c r="CL576" s="616"/>
      <c r="CM576" s="616"/>
      <c r="CN576" s="616"/>
    </row>
    <row r="577" spans="8:92">
      <c r="H577" s="602" t="s">
        <v>940</v>
      </c>
      <c r="L577" s="618" t="s">
        <v>1247</v>
      </c>
      <c r="M577" s="600" t="s">
        <v>974</v>
      </c>
      <c r="N577" s="615">
        <f>SUM(U577:AF577)</f>
        <v>0</v>
      </c>
      <c r="O577" s="615">
        <f>SUM(AG577:AR577)</f>
        <v>0</v>
      </c>
      <c r="P577" s="615">
        <f>SUM(AS577:BD577)</f>
        <v>0</v>
      </c>
      <c r="Q577" s="615">
        <f>SUM(BE577:BP577)</f>
        <v>0</v>
      </c>
      <c r="R577" s="615">
        <f>SUM(BQ577:CB577)</f>
        <v>0</v>
      </c>
      <c r="S577" s="615">
        <f>SUM(CC577:CN577)</f>
        <v>0</v>
      </c>
      <c r="U577" s="616">
        <f t="shared" ref="U577:AF577" si="414">N$418</f>
        <v>0</v>
      </c>
      <c r="V577" s="616">
        <f t="shared" si="414"/>
        <v>0</v>
      </c>
      <c r="W577" s="616">
        <f t="shared" si="414"/>
        <v>0</v>
      </c>
      <c r="X577" s="616">
        <f t="shared" si="414"/>
        <v>0</v>
      </c>
      <c r="Y577" s="616">
        <f t="shared" si="414"/>
        <v>0</v>
      </c>
      <c r="Z577" s="616">
        <f t="shared" si="414"/>
        <v>0</v>
      </c>
      <c r="AA577" s="616">
        <f t="shared" si="414"/>
        <v>0</v>
      </c>
      <c r="AB577" s="616">
        <f t="shared" si="414"/>
        <v>0</v>
      </c>
      <c r="AC577" s="616">
        <f t="shared" si="414"/>
        <v>0</v>
      </c>
      <c r="AD577" s="616">
        <f t="shared" si="414"/>
        <v>0</v>
      </c>
      <c r="AE577" s="616">
        <f t="shared" si="414"/>
        <v>0</v>
      </c>
      <c r="AF577" s="616">
        <f t="shared" si="414"/>
        <v>0</v>
      </c>
      <c r="AG577" s="616">
        <f t="shared" ref="AG577:AR577" si="415">N$418</f>
        <v>0</v>
      </c>
      <c r="AH577" s="616">
        <f t="shared" si="415"/>
        <v>0</v>
      </c>
      <c r="AI577" s="616">
        <f t="shared" si="415"/>
        <v>0</v>
      </c>
      <c r="AJ577" s="616">
        <f t="shared" si="415"/>
        <v>0</v>
      </c>
      <c r="AK577" s="616">
        <f t="shared" si="415"/>
        <v>0</v>
      </c>
      <c r="AL577" s="616">
        <f t="shared" si="415"/>
        <v>0</v>
      </c>
      <c r="AM577" s="616">
        <f t="shared" si="415"/>
        <v>0</v>
      </c>
      <c r="AN577" s="616">
        <f t="shared" si="415"/>
        <v>0</v>
      </c>
      <c r="AO577" s="616">
        <f t="shared" si="415"/>
        <v>0</v>
      </c>
      <c r="AP577" s="616">
        <f t="shared" si="415"/>
        <v>0</v>
      </c>
      <c r="AQ577" s="616">
        <f t="shared" si="415"/>
        <v>0</v>
      </c>
      <c r="AR577" s="616">
        <f t="shared" si="415"/>
        <v>0</v>
      </c>
      <c r="AS577" s="616">
        <f t="shared" ref="AS577:BD577" si="416">N$418</f>
        <v>0</v>
      </c>
      <c r="AT577" s="616">
        <f t="shared" si="416"/>
        <v>0</v>
      </c>
      <c r="AU577" s="616">
        <f t="shared" si="416"/>
        <v>0</v>
      </c>
      <c r="AV577" s="616">
        <f t="shared" si="416"/>
        <v>0</v>
      </c>
      <c r="AW577" s="616">
        <f t="shared" si="416"/>
        <v>0</v>
      </c>
      <c r="AX577" s="616">
        <f t="shared" si="416"/>
        <v>0</v>
      </c>
      <c r="AY577" s="616">
        <f t="shared" si="416"/>
        <v>0</v>
      </c>
      <c r="AZ577" s="616">
        <f t="shared" si="416"/>
        <v>0</v>
      </c>
      <c r="BA577" s="616">
        <f t="shared" si="416"/>
        <v>0</v>
      </c>
      <c r="BB577" s="616">
        <f t="shared" si="416"/>
        <v>0</v>
      </c>
      <c r="BC577" s="616">
        <f t="shared" si="416"/>
        <v>0</v>
      </c>
      <c r="BD577" s="616">
        <f t="shared" si="416"/>
        <v>0</v>
      </c>
      <c r="BE577" s="616">
        <f t="shared" ref="BE577:BP577" si="417">N$418</f>
        <v>0</v>
      </c>
      <c r="BF577" s="616">
        <f t="shared" si="417"/>
        <v>0</v>
      </c>
      <c r="BG577" s="616">
        <f t="shared" si="417"/>
        <v>0</v>
      </c>
      <c r="BH577" s="616">
        <f t="shared" si="417"/>
        <v>0</v>
      </c>
      <c r="BI577" s="616">
        <f t="shared" si="417"/>
        <v>0</v>
      </c>
      <c r="BJ577" s="616">
        <f t="shared" si="417"/>
        <v>0</v>
      </c>
      <c r="BK577" s="616">
        <f t="shared" si="417"/>
        <v>0</v>
      </c>
      <c r="BL577" s="616">
        <f t="shared" si="417"/>
        <v>0</v>
      </c>
      <c r="BM577" s="616">
        <f t="shared" si="417"/>
        <v>0</v>
      </c>
      <c r="BN577" s="616">
        <f t="shared" si="417"/>
        <v>0</v>
      </c>
      <c r="BO577" s="616">
        <f t="shared" si="417"/>
        <v>0</v>
      </c>
      <c r="BP577" s="616">
        <f t="shared" si="417"/>
        <v>0</v>
      </c>
      <c r="BQ577" s="616">
        <f t="shared" ref="BQ577:CB577" si="418">N$418</f>
        <v>0</v>
      </c>
      <c r="BR577" s="616">
        <f t="shared" si="418"/>
        <v>0</v>
      </c>
      <c r="BS577" s="616">
        <f t="shared" si="418"/>
        <v>0</v>
      </c>
      <c r="BT577" s="616">
        <f t="shared" si="418"/>
        <v>0</v>
      </c>
      <c r="BU577" s="616">
        <f t="shared" si="418"/>
        <v>0</v>
      </c>
      <c r="BV577" s="616">
        <f t="shared" si="418"/>
        <v>0</v>
      </c>
      <c r="BW577" s="616">
        <f t="shared" si="418"/>
        <v>0</v>
      </c>
      <c r="BX577" s="616">
        <f t="shared" si="418"/>
        <v>0</v>
      </c>
      <c r="BY577" s="616">
        <f t="shared" si="418"/>
        <v>0</v>
      </c>
      <c r="BZ577" s="616">
        <f t="shared" si="418"/>
        <v>0</v>
      </c>
      <c r="CA577" s="616">
        <f t="shared" si="418"/>
        <v>0</v>
      </c>
      <c r="CB577" s="616">
        <f t="shared" si="418"/>
        <v>0</v>
      </c>
      <c r="CC577" s="616">
        <f t="shared" ref="CC577:CN577" si="419">N$418</f>
        <v>0</v>
      </c>
      <c r="CD577" s="616">
        <f t="shared" si="419"/>
        <v>0</v>
      </c>
      <c r="CE577" s="616">
        <f t="shared" si="419"/>
        <v>0</v>
      </c>
      <c r="CF577" s="616">
        <f t="shared" si="419"/>
        <v>0</v>
      </c>
      <c r="CG577" s="616">
        <f t="shared" si="419"/>
        <v>0</v>
      </c>
      <c r="CH577" s="616">
        <f t="shared" si="419"/>
        <v>0</v>
      </c>
      <c r="CI577" s="616">
        <f t="shared" si="419"/>
        <v>0</v>
      </c>
      <c r="CJ577" s="616">
        <f t="shared" si="419"/>
        <v>0</v>
      </c>
      <c r="CK577" s="616">
        <f t="shared" si="419"/>
        <v>0</v>
      </c>
      <c r="CL577" s="616">
        <f t="shared" si="419"/>
        <v>0</v>
      </c>
      <c r="CM577" s="616">
        <f t="shared" si="419"/>
        <v>0</v>
      </c>
      <c r="CN577" s="616">
        <f t="shared" si="419"/>
        <v>0</v>
      </c>
    </row>
    <row r="578" spans="8:92">
      <c r="H578" s="602" t="s">
        <v>940</v>
      </c>
      <c r="L578" s="618" t="s">
        <v>908</v>
      </c>
      <c r="M578" s="600" t="s">
        <v>974</v>
      </c>
      <c r="N578" s="615" t="e">
        <f>SUM(U578:AF578)</f>
        <v>#N/A</v>
      </c>
      <c r="O578" s="615" t="e">
        <f>SUM(AG578:AR578)</f>
        <v>#N/A</v>
      </c>
      <c r="P578" s="615" t="e">
        <f>SUM(AS578:BD578)</f>
        <v>#N/A</v>
      </c>
      <c r="Q578" s="615" t="e">
        <f>SUM(BE578:BP578)</f>
        <v>#N/A</v>
      </c>
      <c r="R578" s="615" t="e">
        <f>SUM(BQ578:CB578)</f>
        <v>#N/A</v>
      </c>
      <c r="S578" s="615" t="e">
        <f>SUM(CC578:CN578)</f>
        <v>#N/A</v>
      </c>
      <c r="U578" s="616" t="e">
        <f t="shared" ref="U578:AF578" si="420">U565*N$419</f>
        <v>#N/A</v>
      </c>
      <c r="V578" s="616" t="e">
        <f t="shared" si="420"/>
        <v>#N/A</v>
      </c>
      <c r="W578" s="616" t="e">
        <f t="shared" si="420"/>
        <v>#N/A</v>
      </c>
      <c r="X578" s="616" t="e">
        <f t="shared" si="420"/>
        <v>#N/A</v>
      </c>
      <c r="Y578" s="616" t="e">
        <f t="shared" si="420"/>
        <v>#N/A</v>
      </c>
      <c r="Z578" s="616" t="e">
        <f t="shared" si="420"/>
        <v>#N/A</v>
      </c>
      <c r="AA578" s="616" t="e">
        <f t="shared" si="420"/>
        <v>#N/A</v>
      </c>
      <c r="AB578" s="616" t="e">
        <f t="shared" si="420"/>
        <v>#N/A</v>
      </c>
      <c r="AC578" s="616" t="e">
        <f t="shared" si="420"/>
        <v>#N/A</v>
      </c>
      <c r="AD578" s="616" t="e">
        <f t="shared" si="420"/>
        <v>#N/A</v>
      </c>
      <c r="AE578" s="616" t="e">
        <f t="shared" si="420"/>
        <v>#N/A</v>
      </c>
      <c r="AF578" s="616" t="e">
        <f t="shared" si="420"/>
        <v>#N/A</v>
      </c>
      <c r="AG578" s="616" t="e">
        <f t="shared" ref="AG578:AR578" si="421">AG565*N$419</f>
        <v>#N/A</v>
      </c>
      <c r="AH578" s="616" t="e">
        <f t="shared" si="421"/>
        <v>#N/A</v>
      </c>
      <c r="AI578" s="616" t="e">
        <f t="shared" si="421"/>
        <v>#N/A</v>
      </c>
      <c r="AJ578" s="616" t="e">
        <f t="shared" si="421"/>
        <v>#N/A</v>
      </c>
      <c r="AK578" s="616" t="e">
        <f t="shared" si="421"/>
        <v>#N/A</v>
      </c>
      <c r="AL578" s="616" t="e">
        <f t="shared" si="421"/>
        <v>#N/A</v>
      </c>
      <c r="AM578" s="616" t="e">
        <f t="shared" si="421"/>
        <v>#N/A</v>
      </c>
      <c r="AN578" s="616" t="e">
        <f t="shared" si="421"/>
        <v>#N/A</v>
      </c>
      <c r="AO578" s="616" t="e">
        <f t="shared" si="421"/>
        <v>#N/A</v>
      </c>
      <c r="AP578" s="616" t="e">
        <f t="shared" si="421"/>
        <v>#N/A</v>
      </c>
      <c r="AQ578" s="616" t="e">
        <f t="shared" si="421"/>
        <v>#N/A</v>
      </c>
      <c r="AR578" s="616" t="e">
        <f t="shared" si="421"/>
        <v>#N/A</v>
      </c>
      <c r="AS578" s="616" t="e">
        <f t="shared" ref="AS578:BD578" si="422">AS565*N$419</f>
        <v>#N/A</v>
      </c>
      <c r="AT578" s="616" t="e">
        <f t="shared" si="422"/>
        <v>#N/A</v>
      </c>
      <c r="AU578" s="616" t="e">
        <f t="shared" si="422"/>
        <v>#N/A</v>
      </c>
      <c r="AV578" s="616" t="e">
        <f t="shared" si="422"/>
        <v>#N/A</v>
      </c>
      <c r="AW578" s="616" t="e">
        <f t="shared" si="422"/>
        <v>#N/A</v>
      </c>
      <c r="AX578" s="616" t="e">
        <f t="shared" si="422"/>
        <v>#N/A</v>
      </c>
      <c r="AY578" s="616" t="e">
        <f t="shared" si="422"/>
        <v>#N/A</v>
      </c>
      <c r="AZ578" s="616" t="e">
        <f t="shared" si="422"/>
        <v>#N/A</v>
      </c>
      <c r="BA578" s="616" t="e">
        <f t="shared" si="422"/>
        <v>#N/A</v>
      </c>
      <c r="BB578" s="616" t="e">
        <f t="shared" si="422"/>
        <v>#N/A</v>
      </c>
      <c r="BC578" s="616" t="e">
        <f t="shared" si="422"/>
        <v>#N/A</v>
      </c>
      <c r="BD578" s="616" t="e">
        <f t="shared" si="422"/>
        <v>#N/A</v>
      </c>
      <c r="BE578" s="616" t="e">
        <f t="shared" ref="BE578:BP578" si="423">BE565*N$419</f>
        <v>#N/A</v>
      </c>
      <c r="BF578" s="616" t="e">
        <f t="shared" si="423"/>
        <v>#N/A</v>
      </c>
      <c r="BG578" s="616" t="e">
        <f t="shared" si="423"/>
        <v>#N/A</v>
      </c>
      <c r="BH578" s="616" t="e">
        <f t="shared" si="423"/>
        <v>#N/A</v>
      </c>
      <c r="BI578" s="616" t="e">
        <f t="shared" si="423"/>
        <v>#N/A</v>
      </c>
      <c r="BJ578" s="616" t="e">
        <f t="shared" si="423"/>
        <v>#N/A</v>
      </c>
      <c r="BK578" s="616" t="e">
        <f t="shared" si="423"/>
        <v>#N/A</v>
      </c>
      <c r="BL578" s="616" t="e">
        <f t="shared" si="423"/>
        <v>#N/A</v>
      </c>
      <c r="BM578" s="616" t="e">
        <f t="shared" si="423"/>
        <v>#N/A</v>
      </c>
      <c r="BN578" s="616" t="e">
        <f t="shared" si="423"/>
        <v>#N/A</v>
      </c>
      <c r="BO578" s="616" t="e">
        <f t="shared" si="423"/>
        <v>#N/A</v>
      </c>
      <c r="BP578" s="616" t="e">
        <f t="shared" si="423"/>
        <v>#N/A</v>
      </c>
      <c r="BQ578" s="616" t="e">
        <f t="shared" ref="BQ578:CB578" si="424">BQ565*N$419</f>
        <v>#N/A</v>
      </c>
      <c r="BR578" s="616" t="e">
        <f t="shared" si="424"/>
        <v>#N/A</v>
      </c>
      <c r="BS578" s="616" t="e">
        <f t="shared" si="424"/>
        <v>#N/A</v>
      </c>
      <c r="BT578" s="616" t="e">
        <f t="shared" si="424"/>
        <v>#N/A</v>
      </c>
      <c r="BU578" s="616" t="e">
        <f t="shared" si="424"/>
        <v>#N/A</v>
      </c>
      <c r="BV578" s="616" t="e">
        <f t="shared" si="424"/>
        <v>#N/A</v>
      </c>
      <c r="BW578" s="616" t="e">
        <f t="shared" si="424"/>
        <v>#N/A</v>
      </c>
      <c r="BX578" s="616" t="e">
        <f t="shared" si="424"/>
        <v>#N/A</v>
      </c>
      <c r="BY578" s="616" t="e">
        <f t="shared" si="424"/>
        <v>#N/A</v>
      </c>
      <c r="BZ578" s="616" t="e">
        <f t="shared" si="424"/>
        <v>#N/A</v>
      </c>
      <c r="CA578" s="616" t="e">
        <f t="shared" si="424"/>
        <v>#N/A</v>
      </c>
      <c r="CB578" s="616" t="e">
        <f t="shared" si="424"/>
        <v>#N/A</v>
      </c>
      <c r="CC578" s="616" t="e">
        <f t="shared" ref="CC578:CN578" si="425">CC565*N$419</f>
        <v>#N/A</v>
      </c>
      <c r="CD578" s="616" t="e">
        <f t="shared" si="425"/>
        <v>#N/A</v>
      </c>
      <c r="CE578" s="616" t="e">
        <f t="shared" si="425"/>
        <v>#N/A</v>
      </c>
      <c r="CF578" s="616" t="e">
        <f t="shared" si="425"/>
        <v>#N/A</v>
      </c>
      <c r="CG578" s="616" t="e">
        <f t="shared" si="425"/>
        <v>#N/A</v>
      </c>
      <c r="CH578" s="616" t="e">
        <f t="shared" si="425"/>
        <v>#N/A</v>
      </c>
      <c r="CI578" s="616" t="e">
        <f t="shared" si="425"/>
        <v>#N/A</v>
      </c>
      <c r="CJ578" s="616" t="e">
        <f t="shared" si="425"/>
        <v>#N/A</v>
      </c>
      <c r="CK578" s="616" t="e">
        <f t="shared" si="425"/>
        <v>#N/A</v>
      </c>
      <c r="CL578" s="616" t="e">
        <f t="shared" si="425"/>
        <v>#N/A</v>
      </c>
      <c r="CM578" s="616" t="e">
        <f t="shared" si="425"/>
        <v>#N/A</v>
      </c>
      <c r="CN578" s="616" t="e">
        <f t="shared" si="425"/>
        <v>#N/A</v>
      </c>
    </row>
    <row r="579" spans="8:92">
      <c r="H579" s="602" t="s">
        <v>940</v>
      </c>
      <c r="L579" s="618" t="s">
        <v>1304</v>
      </c>
      <c r="M579" s="600" t="s">
        <v>974</v>
      </c>
      <c r="N579" s="615" t="e">
        <f>SUM(U579:AF579)</f>
        <v>#N/A</v>
      </c>
      <c r="O579" s="615" t="e">
        <f>SUM(AG579:AR579)</f>
        <v>#N/A</v>
      </c>
      <c r="P579" s="615" t="e">
        <f>SUM(AS579:BD579)</f>
        <v>#N/A</v>
      </c>
      <c r="Q579" s="615" t="e">
        <f>SUM(BE579:BP579)</f>
        <v>#N/A</v>
      </c>
      <c r="R579" s="615" t="e">
        <f>SUM(BQ579:CB579)</f>
        <v>#N/A</v>
      </c>
      <c r="S579" s="615" t="e">
        <f>SUM(CC579:CN579)</f>
        <v>#N/A</v>
      </c>
      <c r="U579" s="616" t="e">
        <f t="shared" ref="U579:CF579" si="426">SUM(U572:U575,U577:U578)</f>
        <v>#N/A</v>
      </c>
      <c r="V579" s="616" t="e">
        <f t="shared" si="426"/>
        <v>#N/A</v>
      </c>
      <c r="W579" s="616" t="e">
        <f t="shared" si="426"/>
        <v>#N/A</v>
      </c>
      <c r="X579" s="616" t="e">
        <f t="shared" si="426"/>
        <v>#N/A</v>
      </c>
      <c r="Y579" s="616" t="e">
        <f t="shared" si="426"/>
        <v>#N/A</v>
      </c>
      <c r="Z579" s="616" t="e">
        <f t="shared" si="426"/>
        <v>#N/A</v>
      </c>
      <c r="AA579" s="616" t="e">
        <f t="shared" si="426"/>
        <v>#N/A</v>
      </c>
      <c r="AB579" s="616" t="e">
        <f t="shared" si="426"/>
        <v>#N/A</v>
      </c>
      <c r="AC579" s="616" t="e">
        <f t="shared" si="426"/>
        <v>#N/A</v>
      </c>
      <c r="AD579" s="616" t="e">
        <f t="shared" si="426"/>
        <v>#N/A</v>
      </c>
      <c r="AE579" s="616" t="e">
        <f t="shared" si="426"/>
        <v>#N/A</v>
      </c>
      <c r="AF579" s="616" t="e">
        <f t="shared" si="426"/>
        <v>#N/A</v>
      </c>
      <c r="AG579" s="616" t="e">
        <f t="shared" si="426"/>
        <v>#N/A</v>
      </c>
      <c r="AH579" s="616" t="e">
        <f t="shared" si="426"/>
        <v>#N/A</v>
      </c>
      <c r="AI579" s="616" t="e">
        <f t="shared" si="426"/>
        <v>#N/A</v>
      </c>
      <c r="AJ579" s="616" t="e">
        <f t="shared" si="426"/>
        <v>#N/A</v>
      </c>
      <c r="AK579" s="616" t="e">
        <f t="shared" si="426"/>
        <v>#N/A</v>
      </c>
      <c r="AL579" s="616" t="e">
        <f t="shared" si="426"/>
        <v>#N/A</v>
      </c>
      <c r="AM579" s="616" t="e">
        <f t="shared" si="426"/>
        <v>#N/A</v>
      </c>
      <c r="AN579" s="616" t="e">
        <f t="shared" si="426"/>
        <v>#N/A</v>
      </c>
      <c r="AO579" s="616" t="e">
        <f t="shared" si="426"/>
        <v>#N/A</v>
      </c>
      <c r="AP579" s="616" t="e">
        <f t="shared" si="426"/>
        <v>#N/A</v>
      </c>
      <c r="AQ579" s="616" t="e">
        <f t="shared" si="426"/>
        <v>#N/A</v>
      </c>
      <c r="AR579" s="616" t="e">
        <f t="shared" si="426"/>
        <v>#N/A</v>
      </c>
      <c r="AS579" s="616" t="e">
        <f t="shared" si="426"/>
        <v>#N/A</v>
      </c>
      <c r="AT579" s="616" t="e">
        <f t="shared" si="426"/>
        <v>#N/A</v>
      </c>
      <c r="AU579" s="616" t="e">
        <f t="shared" si="426"/>
        <v>#N/A</v>
      </c>
      <c r="AV579" s="616" t="e">
        <f t="shared" si="426"/>
        <v>#N/A</v>
      </c>
      <c r="AW579" s="616" t="e">
        <f t="shared" si="426"/>
        <v>#N/A</v>
      </c>
      <c r="AX579" s="616" t="e">
        <f t="shared" si="426"/>
        <v>#N/A</v>
      </c>
      <c r="AY579" s="616" t="e">
        <f t="shared" si="426"/>
        <v>#N/A</v>
      </c>
      <c r="AZ579" s="616" t="e">
        <f t="shared" si="426"/>
        <v>#N/A</v>
      </c>
      <c r="BA579" s="616" t="e">
        <f t="shared" si="426"/>
        <v>#N/A</v>
      </c>
      <c r="BB579" s="616" t="e">
        <f t="shared" si="426"/>
        <v>#N/A</v>
      </c>
      <c r="BC579" s="616" t="e">
        <f t="shared" si="426"/>
        <v>#N/A</v>
      </c>
      <c r="BD579" s="616" t="e">
        <f t="shared" si="426"/>
        <v>#N/A</v>
      </c>
      <c r="BE579" s="616" t="e">
        <f t="shared" si="426"/>
        <v>#N/A</v>
      </c>
      <c r="BF579" s="616" t="e">
        <f t="shared" si="426"/>
        <v>#N/A</v>
      </c>
      <c r="BG579" s="616" t="e">
        <f t="shared" si="426"/>
        <v>#N/A</v>
      </c>
      <c r="BH579" s="616" t="e">
        <f t="shared" si="426"/>
        <v>#N/A</v>
      </c>
      <c r="BI579" s="616" t="e">
        <f t="shared" si="426"/>
        <v>#N/A</v>
      </c>
      <c r="BJ579" s="616" t="e">
        <f t="shared" si="426"/>
        <v>#N/A</v>
      </c>
      <c r="BK579" s="616" t="e">
        <f t="shared" si="426"/>
        <v>#N/A</v>
      </c>
      <c r="BL579" s="616" t="e">
        <f t="shared" si="426"/>
        <v>#N/A</v>
      </c>
      <c r="BM579" s="616" t="e">
        <f t="shared" si="426"/>
        <v>#N/A</v>
      </c>
      <c r="BN579" s="616" t="e">
        <f t="shared" si="426"/>
        <v>#N/A</v>
      </c>
      <c r="BO579" s="616" t="e">
        <f t="shared" si="426"/>
        <v>#N/A</v>
      </c>
      <c r="BP579" s="616" t="e">
        <f t="shared" si="426"/>
        <v>#N/A</v>
      </c>
      <c r="BQ579" s="616" t="e">
        <f t="shared" si="426"/>
        <v>#N/A</v>
      </c>
      <c r="BR579" s="616" t="e">
        <f t="shared" si="426"/>
        <v>#N/A</v>
      </c>
      <c r="BS579" s="616" t="e">
        <f t="shared" si="426"/>
        <v>#N/A</v>
      </c>
      <c r="BT579" s="616" t="e">
        <f t="shared" si="426"/>
        <v>#N/A</v>
      </c>
      <c r="BU579" s="616" t="e">
        <f t="shared" si="426"/>
        <v>#N/A</v>
      </c>
      <c r="BV579" s="616" t="e">
        <f t="shared" si="426"/>
        <v>#N/A</v>
      </c>
      <c r="BW579" s="616" t="e">
        <f t="shared" si="426"/>
        <v>#N/A</v>
      </c>
      <c r="BX579" s="616" t="e">
        <f t="shared" si="426"/>
        <v>#N/A</v>
      </c>
      <c r="BY579" s="616" t="e">
        <f t="shared" si="426"/>
        <v>#N/A</v>
      </c>
      <c r="BZ579" s="616" t="e">
        <f t="shared" si="426"/>
        <v>#N/A</v>
      </c>
      <c r="CA579" s="616" t="e">
        <f t="shared" si="426"/>
        <v>#N/A</v>
      </c>
      <c r="CB579" s="616" t="e">
        <f t="shared" si="426"/>
        <v>#N/A</v>
      </c>
      <c r="CC579" s="616" t="e">
        <f t="shared" si="426"/>
        <v>#N/A</v>
      </c>
      <c r="CD579" s="616" t="e">
        <f t="shared" si="426"/>
        <v>#N/A</v>
      </c>
      <c r="CE579" s="616" t="e">
        <f t="shared" si="426"/>
        <v>#N/A</v>
      </c>
      <c r="CF579" s="616" t="e">
        <f t="shared" si="426"/>
        <v>#N/A</v>
      </c>
      <c r="CG579" s="616" t="e">
        <f t="shared" ref="CG579:CN579" si="427">SUM(CG572:CG575,CG577:CG578)</f>
        <v>#N/A</v>
      </c>
      <c r="CH579" s="616" t="e">
        <f t="shared" si="427"/>
        <v>#N/A</v>
      </c>
      <c r="CI579" s="616" t="e">
        <f t="shared" si="427"/>
        <v>#N/A</v>
      </c>
      <c r="CJ579" s="616" t="e">
        <f t="shared" si="427"/>
        <v>#N/A</v>
      </c>
      <c r="CK579" s="616" t="e">
        <f t="shared" si="427"/>
        <v>#N/A</v>
      </c>
      <c r="CL579" s="616" t="e">
        <f t="shared" si="427"/>
        <v>#N/A</v>
      </c>
      <c r="CM579" s="616" t="e">
        <f t="shared" si="427"/>
        <v>#N/A</v>
      </c>
      <c r="CN579" s="616" t="e">
        <f t="shared" si="427"/>
        <v>#N/A</v>
      </c>
    </row>
    <row r="580" spans="8:92">
      <c r="H580" s="602" t="s">
        <v>940</v>
      </c>
      <c r="L580" s="618" t="s">
        <v>909</v>
      </c>
      <c r="M580" s="600" t="s">
        <v>974</v>
      </c>
      <c r="N580" s="615" t="e">
        <f>SUM(U580:AF580)</f>
        <v>#N/A</v>
      </c>
      <c r="O580" s="615" t="e">
        <f>SUM(AG580:AR580)</f>
        <v>#N/A</v>
      </c>
      <c r="P580" s="615" t="e">
        <f>SUM(AS580:BD580)</f>
        <v>#N/A</v>
      </c>
      <c r="Q580" s="615" t="e">
        <f>SUM(BE580:BP580)</f>
        <v>#N/A</v>
      </c>
      <c r="R580" s="615" t="e">
        <f>SUM(BQ580:CB580)</f>
        <v>#N/A</v>
      </c>
      <c r="S580" s="615" t="e">
        <f>SUM(CC580:CN580)</f>
        <v>#N/A</v>
      </c>
      <c r="U580" s="616" t="e">
        <f t="shared" ref="U580:AF580" si="428">U579*N$420/100</f>
        <v>#N/A</v>
      </c>
      <c r="V580" s="616" t="e">
        <f t="shared" si="428"/>
        <v>#N/A</v>
      </c>
      <c r="W580" s="616" t="e">
        <f t="shared" si="428"/>
        <v>#N/A</v>
      </c>
      <c r="X580" s="616" t="e">
        <f t="shared" si="428"/>
        <v>#N/A</v>
      </c>
      <c r="Y580" s="616" t="e">
        <f t="shared" si="428"/>
        <v>#N/A</v>
      </c>
      <c r="Z580" s="616" t="e">
        <f t="shared" si="428"/>
        <v>#N/A</v>
      </c>
      <c r="AA580" s="616" t="e">
        <f t="shared" si="428"/>
        <v>#N/A</v>
      </c>
      <c r="AB580" s="616" t="e">
        <f t="shared" si="428"/>
        <v>#N/A</v>
      </c>
      <c r="AC580" s="616" t="e">
        <f t="shared" si="428"/>
        <v>#N/A</v>
      </c>
      <c r="AD580" s="616" t="e">
        <f t="shared" si="428"/>
        <v>#N/A</v>
      </c>
      <c r="AE580" s="616" t="e">
        <f t="shared" si="428"/>
        <v>#N/A</v>
      </c>
      <c r="AF580" s="616" t="e">
        <f t="shared" si="428"/>
        <v>#N/A</v>
      </c>
      <c r="AG580" s="616" t="e">
        <f t="shared" ref="AG580:AR580" si="429">AG579*N$420/100</f>
        <v>#N/A</v>
      </c>
      <c r="AH580" s="616" t="e">
        <f t="shared" si="429"/>
        <v>#N/A</v>
      </c>
      <c r="AI580" s="616" t="e">
        <f t="shared" si="429"/>
        <v>#N/A</v>
      </c>
      <c r="AJ580" s="616" t="e">
        <f t="shared" si="429"/>
        <v>#N/A</v>
      </c>
      <c r="AK580" s="616" t="e">
        <f t="shared" si="429"/>
        <v>#N/A</v>
      </c>
      <c r="AL580" s="616" t="e">
        <f t="shared" si="429"/>
        <v>#N/A</v>
      </c>
      <c r="AM580" s="616" t="e">
        <f t="shared" si="429"/>
        <v>#N/A</v>
      </c>
      <c r="AN580" s="616" t="e">
        <f t="shared" si="429"/>
        <v>#N/A</v>
      </c>
      <c r="AO580" s="616" t="e">
        <f t="shared" si="429"/>
        <v>#N/A</v>
      </c>
      <c r="AP580" s="616" t="e">
        <f t="shared" si="429"/>
        <v>#N/A</v>
      </c>
      <c r="AQ580" s="616" t="e">
        <f t="shared" si="429"/>
        <v>#N/A</v>
      </c>
      <c r="AR580" s="616" t="e">
        <f t="shared" si="429"/>
        <v>#N/A</v>
      </c>
      <c r="AS580" s="616" t="e">
        <f t="shared" ref="AS580:BD580" si="430">AS579*N$420/100</f>
        <v>#N/A</v>
      </c>
      <c r="AT580" s="616" t="e">
        <f t="shared" si="430"/>
        <v>#N/A</v>
      </c>
      <c r="AU580" s="616" t="e">
        <f t="shared" si="430"/>
        <v>#N/A</v>
      </c>
      <c r="AV580" s="616" t="e">
        <f t="shared" si="430"/>
        <v>#N/A</v>
      </c>
      <c r="AW580" s="616" t="e">
        <f t="shared" si="430"/>
        <v>#N/A</v>
      </c>
      <c r="AX580" s="616" t="e">
        <f t="shared" si="430"/>
        <v>#N/A</v>
      </c>
      <c r="AY580" s="616" t="e">
        <f t="shared" si="430"/>
        <v>#N/A</v>
      </c>
      <c r="AZ580" s="616" t="e">
        <f t="shared" si="430"/>
        <v>#N/A</v>
      </c>
      <c r="BA580" s="616" t="e">
        <f t="shared" si="430"/>
        <v>#N/A</v>
      </c>
      <c r="BB580" s="616" t="e">
        <f t="shared" si="430"/>
        <v>#N/A</v>
      </c>
      <c r="BC580" s="616" t="e">
        <f t="shared" si="430"/>
        <v>#N/A</v>
      </c>
      <c r="BD580" s="616" t="e">
        <f t="shared" si="430"/>
        <v>#N/A</v>
      </c>
      <c r="BE580" s="616" t="e">
        <f t="shared" ref="BE580:BP580" si="431">BE579*N$420/100</f>
        <v>#N/A</v>
      </c>
      <c r="BF580" s="616" t="e">
        <f t="shared" si="431"/>
        <v>#N/A</v>
      </c>
      <c r="BG580" s="616" t="e">
        <f t="shared" si="431"/>
        <v>#N/A</v>
      </c>
      <c r="BH580" s="616" t="e">
        <f t="shared" si="431"/>
        <v>#N/A</v>
      </c>
      <c r="BI580" s="616" t="e">
        <f t="shared" si="431"/>
        <v>#N/A</v>
      </c>
      <c r="BJ580" s="616" t="e">
        <f t="shared" si="431"/>
        <v>#N/A</v>
      </c>
      <c r="BK580" s="616" t="e">
        <f t="shared" si="431"/>
        <v>#N/A</v>
      </c>
      <c r="BL580" s="616" t="e">
        <f t="shared" si="431"/>
        <v>#N/A</v>
      </c>
      <c r="BM580" s="616" t="e">
        <f t="shared" si="431"/>
        <v>#N/A</v>
      </c>
      <c r="BN580" s="616" t="e">
        <f t="shared" si="431"/>
        <v>#N/A</v>
      </c>
      <c r="BO580" s="616" t="e">
        <f t="shared" si="431"/>
        <v>#N/A</v>
      </c>
      <c r="BP580" s="616" t="e">
        <f t="shared" si="431"/>
        <v>#N/A</v>
      </c>
      <c r="BQ580" s="616" t="e">
        <f t="shared" ref="BQ580:CB580" si="432">BQ579*N$420/100</f>
        <v>#N/A</v>
      </c>
      <c r="BR580" s="616" t="e">
        <f t="shared" si="432"/>
        <v>#N/A</v>
      </c>
      <c r="BS580" s="616" t="e">
        <f t="shared" si="432"/>
        <v>#N/A</v>
      </c>
      <c r="BT580" s="616" t="e">
        <f t="shared" si="432"/>
        <v>#N/A</v>
      </c>
      <c r="BU580" s="616" t="e">
        <f t="shared" si="432"/>
        <v>#N/A</v>
      </c>
      <c r="BV580" s="616" t="e">
        <f t="shared" si="432"/>
        <v>#N/A</v>
      </c>
      <c r="BW580" s="616" t="e">
        <f t="shared" si="432"/>
        <v>#N/A</v>
      </c>
      <c r="BX580" s="616" t="e">
        <f t="shared" si="432"/>
        <v>#N/A</v>
      </c>
      <c r="BY580" s="616" t="e">
        <f t="shared" si="432"/>
        <v>#N/A</v>
      </c>
      <c r="BZ580" s="616" t="e">
        <f t="shared" si="432"/>
        <v>#N/A</v>
      </c>
      <c r="CA580" s="616" t="e">
        <f t="shared" si="432"/>
        <v>#N/A</v>
      </c>
      <c r="CB580" s="616" t="e">
        <f t="shared" si="432"/>
        <v>#N/A</v>
      </c>
      <c r="CC580" s="616" t="e">
        <f t="shared" ref="CC580:CN580" si="433">CC579*N$420/100</f>
        <v>#N/A</v>
      </c>
      <c r="CD580" s="616" t="e">
        <f t="shared" si="433"/>
        <v>#N/A</v>
      </c>
      <c r="CE580" s="616" t="e">
        <f t="shared" si="433"/>
        <v>#N/A</v>
      </c>
      <c r="CF580" s="616" t="e">
        <f t="shared" si="433"/>
        <v>#N/A</v>
      </c>
      <c r="CG580" s="616" t="e">
        <f t="shared" si="433"/>
        <v>#N/A</v>
      </c>
      <c r="CH580" s="616" t="e">
        <f t="shared" si="433"/>
        <v>#N/A</v>
      </c>
      <c r="CI580" s="616" t="e">
        <f t="shared" si="433"/>
        <v>#N/A</v>
      </c>
      <c r="CJ580" s="616" t="e">
        <f t="shared" si="433"/>
        <v>#N/A</v>
      </c>
      <c r="CK580" s="616" t="e">
        <f t="shared" si="433"/>
        <v>#N/A</v>
      </c>
      <c r="CL580" s="616" t="e">
        <f t="shared" si="433"/>
        <v>#N/A</v>
      </c>
      <c r="CM580" s="616" t="e">
        <f t="shared" si="433"/>
        <v>#N/A</v>
      </c>
      <c r="CN580" s="616" t="e">
        <f t="shared" si="433"/>
        <v>#N/A</v>
      </c>
    </row>
    <row r="581" spans="8:92">
      <c r="H581" s="602" t="s">
        <v>940</v>
      </c>
      <c r="L581" s="618"/>
      <c r="M581" s="600"/>
      <c r="N581" s="615"/>
      <c r="O581" s="615"/>
      <c r="P581" s="615"/>
      <c r="Q581" s="615"/>
      <c r="R581" s="615"/>
      <c r="S581" s="615"/>
      <c r="U581" s="616"/>
      <c r="V581" s="616"/>
      <c r="W581" s="616"/>
      <c r="X581" s="616"/>
      <c r="Y581" s="616"/>
      <c r="Z581" s="616"/>
      <c r="AA581" s="616"/>
      <c r="AB581" s="616"/>
      <c r="AC581" s="616"/>
      <c r="AD581" s="616"/>
      <c r="AE581" s="616"/>
      <c r="AF581" s="616"/>
      <c r="AG581" s="616"/>
      <c r="AH581" s="616"/>
      <c r="AI581" s="616"/>
      <c r="AJ581" s="616"/>
      <c r="AK581" s="616"/>
      <c r="AL581" s="616"/>
      <c r="AM581" s="616"/>
      <c r="AN581" s="616"/>
      <c r="AO581" s="616"/>
      <c r="AP581" s="616"/>
      <c r="AQ581" s="616"/>
      <c r="AR581" s="616"/>
      <c r="AS581" s="616"/>
      <c r="AT581" s="616"/>
      <c r="AU581" s="616"/>
      <c r="AV581" s="616"/>
      <c r="AW581" s="616"/>
      <c r="AX581" s="616"/>
      <c r="AY581" s="616"/>
      <c r="AZ581" s="616"/>
      <c r="BA581" s="616"/>
      <c r="BB581" s="616"/>
      <c r="BC581" s="616"/>
      <c r="BD581" s="616"/>
      <c r="BE581" s="616"/>
      <c r="BF581" s="616"/>
      <c r="BG581" s="616"/>
      <c r="BH581" s="616"/>
      <c r="BI581" s="616"/>
      <c r="BJ581" s="616"/>
      <c r="BK581" s="616"/>
      <c r="BL581" s="616"/>
      <c r="BM581" s="616"/>
      <c r="BN581" s="616"/>
      <c r="BO581" s="616"/>
      <c r="BP581" s="616"/>
      <c r="BQ581" s="616"/>
      <c r="BR581" s="616"/>
      <c r="BS581" s="616"/>
      <c r="BT581" s="616"/>
      <c r="BU581" s="616"/>
      <c r="BV581" s="616"/>
      <c r="BW581" s="616"/>
      <c r="BX581" s="616"/>
      <c r="BY581" s="616"/>
      <c r="BZ581" s="616"/>
      <c r="CA581" s="616"/>
      <c r="CB581" s="616"/>
      <c r="CC581" s="616"/>
      <c r="CD581" s="616"/>
      <c r="CE581" s="616"/>
      <c r="CF581" s="616"/>
      <c r="CG581" s="616"/>
      <c r="CH581" s="616"/>
      <c r="CI581" s="616"/>
      <c r="CJ581" s="616"/>
      <c r="CK581" s="616"/>
      <c r="CL581" s="616"/>
      <c r="CM581" s="616"/>
      <c r="CN581" s="616"/>
    </row>
    <row r="582" spans="8:92">
      <c r="H582" s="602" t="s">
        <v>940</v>
      </c>
      <c r="L582" s="618" t="s">
        <v>1305</v>
      </c>
      <c r="M582" s="600" t="s">
        <v>974</v>
      </c>
      <c r="N582" s="615" t="e">
        <f>SUM(U582:AF582)</f>
        <v>#N/A</v>
      </c>
      <c r="O582" s="615" t="e">
        <f>SUM(AG582:AR582)</f>
        <v>#N/A</v>
      </c>
      <c r="P582" s="615" t="e">
        <f>SUM(AS582:BD582)</f>
        <v>#N/A</v>
      </c>
      <c r="Q582" s="615" t="e">
        <f>SUM(BE582:BP582)</f>
        <v>#N/A</v>
      </c>
      <c r="R582" s="615" t="e">
        <f>SUM(BQ582:CB582)</f>
        <v>#N/A</v>
      </c>
      <c r="S582" s="615" t="e">
        <f>SUM(CC582:CN582)</f>
        <v>#N/A</v>
      </c>
      <c r="U582" s="616" t="e">
        <f>SUM(U579:U580)</f>
        <v>#N/A</v>
      </c>
      <c r="V582" s="616" t="e">
        <f t="shared" ref="V582:CG582" si="434">SUM(V579:V580)</f>
        <v>#N/A</v>
      </c>
      <c r="W582" s="616" t="e">
        <f t="shared" si="434"/>
        <v>#N/A</v>
      </c>
      <c r="X582" s="616" t="e">
        <f t="shared" si="434"/>
        <v>#N/A</v>
      </c>
      <c r="Y582" s="616" t="e">
        <f t="shared" si="434"/>
        <v>#N/A</v>
      </c>
      <c r="Z582" s="616" t="e">
        <f t="shared" si="434"/>
        <v>#N/A</v>
      </c>
      <c r="AA582" s="616" t="e">
        <f t="shared" si="434"/>
        <v>#N/A</v>
      </c>
      <c r="AB582" s="616" t="e">
        <f t="shared" si="434"/>
        <v>#N/A</v>
      </c>
      <c r="AC582" s="616" t="e">
        <f t="shared" si="434"/>
        <v>#N/A</v>
      </c>
      <c r="AD582" s="616" t="e">
        <f t="shared" si="434"/>
        <v>#N/A</v>
      </c>
      <c r="AE582" s="616" t="e">
        <f t="shared" si="434"/>
        <v>#N/A</v>
      </c>
      <c r="AF582" s="616" t="e">
        <f t="shared" si="434"/>
        <v>#N/A</v>
      </c>
      <c r="AG582" s="616" t="e">
        <f t="shared" si="434"/>
        <v>#N/A</v>
      </c>
      <c r="AH582" s="616" t="e">
        <f t="shared" si="434"/>
        <v>#N/A</v>
      </c>
      <c r="AI582" s="616" t="e">
        <f t="shared" si="434"/>
        <v>#N/A</v>
      </c>
      <c r="AJ582" s="616" t="e">
        <f t="shared" si="434"/>
        <v>#N/A</v>
      </c>
      <c r="AK582" s="616" t="e">
        <f t="shared" si="434"/>
        <v>#N/A</v>
      </c>
      <c r="AL582" s="616" t="e">
        <f t="shared" si="434"/>
        <v>#N/A</v>
      </c>
      <c r="AM582" s="616" t="e">
        <f t="shared" si="434"/>
        <v>#N/A</v>
      </c>
      <c r="AN582" s="616" t="e">
        <f t="shared" si="434"/>
        <v>#N/A</v>
      </c>
      <c r="AO582" s="616" t="e">
        <f t="shared" si="434"/>
        <v>#N/A</v>
      </c>
      <c r="AP582" s="616" t="e">
        <f t="shared" si="434"/>
        <v>#N/A</v>
      </c>
      <c r="AQ582" s="616" t="e">
        <f t="shared" si="434"/>
        <v>#N/A</v>
      </c>
      <c r="AR582" s="616" t="e">
        <f t="shared" si="434"/>
        <v>#N/A</v>
      </c>
      <c r="AS582" s="616" t="e">
        <f t="shared" si="434"/>
        <v>#N/A</v>
      </c>
      <c r="AT582" s="616" t="e">
        <f t="shared" si="434"/>
        <v>#N/A</v>
      </c>
      <c r="AU582" s="616" t="e">
        <f t="shared" si="434"/>
        <v>#N/A</v>
      </c>
      <c r="AV582" s="616" t="e">
        <f t="shared" si="434"/>
        <v>#N/A</v>
      </c>
      <c r="AW582" s="616" t="e">
        <f t="shared" si="434"/>
        <v>#N/A</v>
      </c>
      <c r="AX582" s="616" t="e">
        <f t="shared" si="434"/>
        <v>#N/A</v>
      </c>
      <c r="AY582" s="616" t="e">
        <f t="shared" si="434"/>
        <v>#N/A</v>
      </c>
      <c r="AZ582" s="616" t="e">
        <f t="shared" si="434"/>
        <v>#N/A</v>
      </c>
      <c r="BA582" s="616" t="e">
        <f t="shared" si="434"/>
        <v>#N/A</v>
      </c>
      <c r="BB582" s="616" t="e">
        <f t="shared" si="434"/>
        <v>#N/A</v>
      </c>
      <c r="BC582" s="616" t="e">
        <f t="shared" si="434"/>
        <v>#N/A</v>
      </c>
      <c r="BD582" s="616" t="e">
        <f t="shared" si="434"/>
        <v>#N/A</v>
      </c>
      <c r="BE582" s="616" t="e">
        <f t="shared" si="434"/>
        <v>#N/A</v>
      </c>
      <c r="BF582" s="616" t="e">
        <f t="shared" si="434"/>
        <v>#N/A</v>
      </c>
      <c r="BG582" s="616" t="e">
        <f t="shared" si="434"/>
        <v>#N/A</v>
      </c>
      <c r="BH582" s="616" t="e">
        <f t="shared" si="434"/>
        <v>#N/A</v>
      </c>
      <c r="BI582" s="616" t="e">
        <f t="shared" si="434"/>
        <v>#N/A</v>
      </c>
      <c r="BJ582" s="616" t="e">
        <f t="shared" si="434"/>
        <v>#N/A</v>
      </c>
      <c r="BK582" s="616" t="e">
        <f t="shared" si="434"/>
        <v>#N/A</v>
      </c>
      <c r="BL582" s="616" t="e">
        <f t="shared" si="434"/>
        <v>#N/A</v>
      </c>
      <c r="BM582" s="616" t="e">
        <f t="shared" si="434"/>
        <v>#N/A</v>
      </c>
      <c r="BN582" s="616" t="e">
        <f t="shared" si="434"/>
        <v>#N/A</v>
      </c>
      <c r="BO582" s="616" t="e">
        <f t="shared" si="434"/>
        <v>#N/A</v>
      </c>
      <c r="BP582" s="616" t="e">
        <f t="shared" si="434"/>
        <v>#N/A</v>
      </c>
      <c r="BQ582" s="616" t="e">
        <f t="shared" si="434"/>
        <v>#N/A</v>
      </c>
      <c r="BR582" s="616" t="e">
        <f t="shared" si="434"/>
        <v>#N/A</v>
      </c>
      <c r="BS582" s="616" t="e">
        <f t="shared" si="434"/>
        <v>#N/A</v>
      </c>
      <c r="BT582" s="616" t="e">
        <f t="shared" si="434"/>
        <v>#N/A</v>
      </c>
      <c r="BU582" s="616" t="e">
        <f t="shared" si="434"/>
        <v>#N/A</v>
      </c>
      <c r="BV582" s="616" t="e">
        <f t="shared" si="434"/>
        <v>#N/A</v>
      </c>
      <c r="BW582" s="616" t="e">
        <f t="shared" si="434"/>
        <v>#N/A</v>
      </c>
      <c r="BX582" s="616" t="e">
        <f t="shared" si="434"/>
        <v>#N/A</v>
      </c>
      <c r="BY582" s="616" t="e">
        <f t="shared" si="434"/>
        <v>#N/A</v>
      </c>
      <c r="BZ582" s="616" t="e">
        <f t="shared" si="434"/>
        <v>#N/A</v>
      </c>
      <c r="CA582" s="616" t="e">
        <f t="shared" si="434"/>
        <v>#N/A</v>
      </c>
      <c r="CB582" s="616" t="e">
        <f t="shared" si="434"/>
        <v>#N/A</v>
      </c>
      <c r="CC582" s="616" t="e">
        <f t="shared" si="434"/>
        <v>#N/A</v>
      </c>
      <c r="CD582" s="616" t="e">
        <f t="shared" si="434"/>
        <v>#N/A</v>
      </c>
      <c r="CE582" s="616" t="e">
        <f t="shared" si="434"/>
        <v>#N/A</v>
      </c>
      <c r="CF582" s="616" t="e">
        <f t="shared" si="434"/>
        <v>#N/A</v>
      </c>
      <c r="CG582" s="616" t="e">
        <f t="shared" si="434"/>
        <v>#N/A</v>
      </c>
      <c r="CH582" s="616" t="e">
        <f t="shared" ref="CH582:CN582" si="435">SUM(CH579:CH580)</f>
        <v>#N/A</v>
      </c>
      <c r="CI582" s="616" t="e">
        <f t="shared" si="435"/>
        <v>#N/A</v>
      </c>
      <c r="CJ582" s="616" t="e">
        <f t="shared" si="435"/>
        <v>#N/A</v>
      </c>
      <c r="CK582" s="616" t="e">
        <f t="shared" si="435"/>
        <v>#N/A</v>
      </c>
      <c r="CL582" s="616" t="e">
        <f t="shared" si="435"/>
        <v>#N/A</v>
      </c>
      <c r="CM582" s="616" t="e">
        <f t="shared" si="435"/>
        <v>#N/A</v>
      </c>
      <c r="CN582" s="616" t="e">
        <f t="shared" si="435"/>
        <v>#N/A</v>
      </c>
    </row>
    <row r="583" spans="8:92">
      <c r="H583" s="602" t="s">
        <v>940</v>
      </c>
      <c r="L583" s="618" t="s">
        <v>1307</v>
      </c>
      <c r="M583" s="600" t="s">
        <v>974</v>
      </c>
      <c r="N583" s="615" t="e">
        <f>SUM(U583:AF583)</f>
        <v>#N/A</v>
      </c>
      <c r="O583" s="615" t="e">
        <f>SUM(AG583:AR583)</f>
        <v>#N/A</v>
      </c>
      <c r="P583" s="615" t="e">
        <f>SUM(AS583:BD583)</f>
        <v>#N/A</v>
      </c>
      <c r="Q583" s="615" t="e">
        <f>SUM(BE583:BP583)</f>
        <v>#N/A</v>
      </c>
      <c r="R583" s="615" t="e">
        <f>SUM(BQ583:CB583)</f>
        <v>#N/A</v>
      </c>
      <c r="S583" s="615" t="e">
        <f>SUM(CC583:CN583)</f>
        <v>#N/A</v>
      </c>
      <c r="U583" s="616" t="e">
        <f>U582-U558</f>
        <v>#N/A</v>
      </c>
      <c r="V583" s="616" t="e">
        <f t="shared" ref="V583:CG583" si="436">V582-V558</f>
        <v>#N/A</v>
      </c>
      <c r="W583" s="616" t="e">
        <f t="shared" si="436"/>
        <v>#N/A</v>
      </c>
      <c r="X583" s="616" t="e">
        <f t="shared" si="436"/>
        <v>#N/A</v>
      </c>
      <c r="Y583" s="616" t="e">
        <f t="shared" si="436"/>
        <v>#N/A</v>
      </c>
      <c r="Z583" s="616" t="e">
        <f t="shared" si="436"/>
        <v>#N/A</v>
      </c>
      <c r="AA583" s="616" t="e">
        <f t="shared" si="436"/>
        <v>#N/A</v>
      </c>
      <c r="AB583" s="616" t="e">
        <f t="shared" si="436"/>
        <v>#N/A</v>
      </c>
      <c r="AC583" s="616" t="e">
        <f t="shared" si="436"/>
        <v>#N/A</v>
      </c>
      <c r="AD583" s="616" t="e">
        <f t="shared" si="436"/>
        <v>#N/A</v>
      </c>
      <c r="AE583" s="616" t="e">
        <f t="shared" si="436"/>
        <v>#N/A</v>
      </c>
      <c r="AF583" s="616" t="e">
        <f t="shared" si="436"/>
        <v>#N/A</v>
      </c>
      <c r="AG583" s="616" t="e">
        <f t="shared" si="436"/>
        <v>#N/A</v>
      </c>
      <c r="AH583" s="616" t="e">
        <f t="shared" si="436"/>
        <v>#N/A</v>
      </c>
      <c r="AI583" s="616" t="e">
        <f t="shared" si="436"/>
        <v>#N/A</v>
      </c>
      <c r="AJ583" s="616" t="e">
        <f t="shared" si="436"/>
        <v>#N/A</v>
      </c>
      <c r="AK583" s="616" t="e">
        <f t="shared" si="436"/>
        <v>#N/A</v>
      </c>
      <c r="AL583" s="616" t="e">
        <f t="shared" si="436"/>
        <v>#N/A</v>
      </c>
      <c r="AM583" s="616" t="e">
        <f t="shared" si="436"/>
        <v>#N/A</v>
      </c>
      <c r="AN583" s="616" t="e">
        <f t="shared" si="436"/>
        <v>#N/A</v>
      </c>
      <c r="AO583" s="616" t="e">
        <f t="shared" si="436"/>
        <v>#N/A</v>
      </c>
      <c r="AP583" s="616" t="e">
        <f t="shared" si="436"/>
        <v>#N/A</v>
      </c>
      <c r="AQ583" s="616" t="e">
        <f t="shared" si="436"/>
        <v>#N/A</v>
      </c>
      <c r="AR583" s="616" t="e">
        <f t="shared" si="436"/>
        <v>#N/A</v>
      </c>
      <c r="AS583" s="616" t="e">
        <f t="shared" si="436"/>
        <v>#N/A</v>
      </c>
      <c r="AT583" s="616" t="e">
        <f t="shared" si="436"/>
        <v>#N/A</v>
      </c>
      <c r="AU583" s="616" t="e">
        <f t="shared" si="436"/>
        <v>#N/A</v>
      </c>
      <c r="AV583" s="616" t="e">
        <f t="shared" si="436"/>
        <v>#N/A</v>
      </c>
      <c r="AW583" s="616" t="e">
        <f t="shared" si="436"/>
        <v>#N/A</v>
      </c>
      <c r="AX583" s="616" t="e">
        <f t="shared" si="436"/>
        <v>#N/A</v>
      </c>
      <c r="AY583" s="616" t="e">
        <f t="shared" si="436"/>
        <v>#N/A</v>
      </c>
      <c r="AZ583" s="616" t="e">
        <f t="shared" si="436"/>
        <v>#N/A</v>
      </c>
      <c r="BA583" s="616" t="e">
        <f t="shared" si="436"/>
        <v>#N/A</v>
      </c>
      <c r="BB583" s="616" t="e">
        <f t="shared" si="436"/>
        <v>#N/A</v>
      </c>
      <c r="BC583" s="616" t="e">
        <f t="shared" si="436"/>
        <v>#N/A</v>
      </c>
      <c r="BD583" s="616" t="e">
        <f t="shared" si="436"/>
        <v>#N/A</v>
      </c>
      <c r="BE583" s="616" t="e">
        <f t="shared" si="436"/>
        <v>#N/A</v>
      </c>
      <c r="BF583" s="616" t="e">
        <f t="shared" si="436"/>
        <v>#N/A</v>
      </c>
      <c r="BG583" s="616" t="e">
        <f t="shared" si="436"/>
        <v>#N/A</v>
      </c>
      <c r="BH583" s="616" t="e">
        <f t="shared" si="436"/>
        <v>#N/A</v>
      </c>
      <c r="BI583" s="616" t="e">
        <f t="shared" si="436"/>
        <v>#N/A</v>
      </c>
      <c r="BJ583" s="616" t="e">
        <f t="shared" si="436"/>
        <v>#N/A</v>
      </c>
      <c r="BK583" s="616" t="e">
        <f t="shared" si="436"/>
        <v>#N/A</v>
      </c>
      <c r="BL583" s="616" t="e">
        <f t="shared" si="436"/>
        <v>#N/A</v>
      </c>
      <c r="BM583" s="616" t="e">
        <f t="shared" si="436"/>
        <v>#N/A</v>
      </c>
      <c r="BN583" s="616" t="e">
        <f t="shared" si="436"/>
        <v>#N/A</v>
      </c>
      <c r="BO583" s="616" t="e">
        <f t="shared" si="436"/>
        <v>#N/A</v>
      </c>
      <c r="BP583" s="616" t="e">
        <f t="shared" si="436"/>
        <v>#N/A</v>
      </c>
      <c r="BQ583" s="616" t="e">
        <f t="shared" si="436"/>
        <v>#N/A</v>
      </c>
      <c r="BR583" s="616" t="e">
        <f t="shared" si="436"/>
        <v>#N/A</v>
      </c>
      <c r="BS583" s="616" t="e">
        <f t="shared" si="436"/>
        <v>#N/A</v>
      </c>
      <c r="BT583" s="616" t="e">
        <f t="shared" si="436"/>
        <v>#N/A</v>
      </c>
      <c r="BU583" s="616" t="e">
        <f t="shared" si="436"/>
        <v>#N/A</v>
      </c>
      <c r="BV583" s="616" t="e">
        <f t="shared" si="436"/>
        <v>#N/A</v>
      </c>
      <c r="BW583" s="616" t="e">
        <f t="shared" si="436"/>
        <v>#N/A</v>
      </c>
      <c r="BX583" s="616" t="e">
        <f t="shared" si="436"/>
        <v>#N/A</v>
      </c>
      <c r="BY583" s="616" t="e">
        <f t="shared" si="436"/>
        <v>#N/A</v>
      </c>
      <c r="BZ583" s="616" t="e">
        <f t="shared" si="436"/>
        <v>#N/A</v>
      </c>
      <c r="CA583" s="616" t="e">
        <f t="shared" si="436"/>
        <v>#N/A</v>
      </c>
      <c r="CB583" s="616" t="e">
        <f t="shared" si="436"/>
        <v>#N/A</v>
      </c>
      <c r="CC583" s="616" t="e">
        <f t="shared" si="436"/>
        <v>#N/A</v>
      </c>
      <c r="CD583" s="616" t="e">
        <f t="shared" si="436"/>
        <v>#N/A</v>
      </c>
      <c r="CE583" s="616" t="e">
        <f t="shared" si="436"/>
        <v>#N/A</v>
      </c>
      <c r="CF583" s="616" t="e">
        <f t="shared" si="436"/>
        <v>#N/A</v>
      </c>
      <c r="CG583" s="616" t="e">
        <f t="shared" si="436"/>
        <v>#N/A</v>
      </c>
      <c r="CH583" s="616" t="e">
        <f t="shared" ref="CH583:CN583" si="437">CH582-CH558</f>
        <v>#N/A</v>
      </c>
      <c r="CI583" s="616" t="e">
        <f t="shared" si="437"/>
        <v>#N/A</v>
      </c>
      <c r="CJ583" s="616" t="e">
        <f t="shared" si="437"/>
        <v>#N/A</v>
      </c>
      <c r="CK583" s="616" t="e">
        <f t="shared" si="437"/>
        <v>#N/A</v>
      </c>
      <c r="CL583" s="616" t="e">
        <f t="shared" si="437"/>
        <v>#N/A</v>
      </c>
      <c r="CM583" s="616" t="e">
        <f t="shared" si="437"/>
        <v>#N/A</v>
      </c>
      <c r="CN583" s="616" t="e">
        <f t="shared" si="437"/>
        <v>#N/A</v>
      </c>
    </row>
    <row r="584" spans="8:92" ht="13.5" thickBot="1">
      <c r="H584" s="602" t="s">
        <v>940</v>
      </c>
    </row>
    <row r="585" spans="8:92" ht="13.5" thickTop="1">
      <c r="H585" s="602" t="s">
        <v>940</v>
      </c>
      <c r="L585" s="757" t="s">
        <v>1309</v>
      </c>
      <c r="M585" s="758"/>
      <c r="N585" s="758"/>
      <c r="O585" s="758"/>
      <c r="P585" s="758"/>
      <c r="Q585" s="758"/>
      <c r="R585" s="758"/>
      <c r="S585" s="758"/>
      <c r="T585" s="758"/>
      <c r="U585" s="758"/>
      <c r="V585" s="758"/>
      <c r="W585" s="758"/>
      <c r="X585" s="758"/>
      <c r="Y585" s="758"/>
      <c r="Z585" s="758"/>
      <c r="AA585" s="758"/>
      <c r="AB585" s="758"/>
      <c r="AC585" s="758"/>
      <c r="AD585" s="758"/>
      <c r="AE585" s="758"/>
      <c r="AF585" s="758"/>
      <c r="AG585" s="758"/>
      <c r="AH585" s="758"/>
      <c r="AI585" s="758"/>
      <c r="AJ585" s="758"/>
      <c r="AK585" s="758"/>
      <c r="AL585" s="758"/>
      <c r="AM585" s="758"/>
      <c r="AN585" s="758"/>
      <c r="AO585" s="758"/>
      <c r="AP585" s="758"/>
      <c r="AQ585" s="758"/>
      <c r="AR585" s="758"/>
      <c r="AS585" s="758"/>
      <c r="AT585" s="758"/>
      <c r="AU585" s="758"/>
      <c r="AV585" s="758"/>
      <c r="AW585" s="758"/>
      <c r="AX585" s="758"/>
      <c r="AY585" s="758"/>
      <c r="AZ585" s="758"/>
      <c r="BA585" s="758"/>
      <c r="BB585" s="758"/>
      <c r="BC585" s="758"/>
      <c r="BD585" s="758"/>
      <c r="BE585" s="758"/>
      <c r="BF585" s="758"/>
      <c r="BG585" s="758"/>
      <c r="BH585" s="758"/>
      <c r="BI585" s="758"/>
      <c r="BJ585" s="758"/>
      <c r="BK585" s="758"/>
      <c r="BL585" s="758"/>
      <c r="BM585" s="758"/>
      <c r="BN585" s="758"/>
      <c r="BO585" s="758"/>
      <c r="BP585" s="758"/>
      <c r="BQ585" s="758"/>
      <c r="BR585" s="758"/>
      <c r="BS585" s="758"/>
      <c r="BT585" s="758"/>
      <c r="BU585" s="758"/>
      <c r="BV585" s="758"/>
      <c r="BW585" s="758"/>
      <c r="BX585" s="758"/>
      <c r="BY585" s="758"/>
      <c r="BZ585" s="758"/>
      <c r="CA585" s="758"/>
      <c r="CB585" s="758"/>
      <c r="CC585" s="758"/>
      <c r="CD585" s="758"/>
      <c r="CE585" s="758"/>
      <c r="CF585" s="758"/>
      <c r="CG585" s="758"/>
      <c r="CH585" s="758"/>
      <c r="CI585" s="758"/>
      <c r="CJ585" s="758"/>
      <c r="CK585" s="758"/>
      <c r="CL585" s="758"/>
      <c r="CM585" s="758"/>
      <c r="CN585" s="758"/>
    </row>
    <row r="586" spans="8:92">
      <c r="H586" s="602" t="s">
        <v>940</v>
      </c>
      <c r="L586" s="609"/>
      <c r="M586" s="609" t="s">
        <v>359</v>
      </c>
      <c r="N586" s="704" t="s">
        <v>929</v>
      </c>
      <c r="O586" s="704" t="s">
        <v>1193</v>
      </c>
      <c r="P586" s="704" t="s">
        <v>1194</v>
      </c>
      <c r="Q586" s="704" t="s">
        <v>1195</v>
      </c>
      <c r="R586" s="704" t="s">
        <v>1196</v>
      </c>
      <c r="S586" s="704" t="s">
        <v>1197</v>
      </c>
      <c r="T586" s="753"/>
      <c r="U586" s="692" t="s">
        <v>929</v>
      </c>
      <c r="AF586" s="753"/>
      <c r="AG586" s="704" t="s">
        <v>1193</v>
      </c>
      <c r="AR586" s="753"/>
      <c r="AS586" s="704" t="s">
        <v>1194</v>
      </c>
      <c r="BD586" s="753"/>
      <c r="BE586" s="704" t="s">
        <v>1195</v>
      </c>
      <c r="BP586" s="753"/>
      <c r="BQ586" s="704" t="s">
        <v>1196</v>
      </c>
      <c r="CB586" s="753"/>
      <c r="CC586" s="704" t="s">
        <v>1197</v>
      </c>
    </row>
    <row r="587" spans="8:92">
      <c r="H587" s="602" t="s">
        <v>940</v>
      </c>
      <c r="L587" s="611"/>
      <c r="M587" s="611"/>
      <c r="N587" s="754" t="s">
        <v>405</v>
      </c>
      <c r="O587" s="754" t="s">
        <v>405</v>
      </c>
      <c r="P587" s="754" t="s">
        <v>405</v>
      </c>
      <c r="Q587" s="754" t="s">
        <v>405</v>
      </c>
      <c r="R587" s="754" t="s">
        <v>405</v>
      </c>
      <c r="S587" s="754" t="s">
        <v>405</v>
      </c>
      <c r="T587" s="755"/>
      <c r="U587" s="754" t="s">
        <v>1259</v>
      </c>
      <c r="V587" s="754" t="s">
        <v>1260</v>
      </c>
      <c r="W587" s="754" t="s">
        <v>1261</v>
      </c>
      <c r="X587" s="754" t="s">
        <v>1262</v>
      </c>
      <c r="Y587" s="754" t="s">
        <v>947</v>
      </c>
      <c r="Z587" s="754" t="s">
        <v>1263</v>
      </c>
      <c r="AA587" s="754" t="s">
        <v>1264</v>
      </c>
      <c r="AB587" s="754" t="s">
        <v>1265</v>
      </c>
      <c r="AC587" s="754" t="s">
        <v>1266</v>
      </c>
      <c r="AD587" s="754" t="s">
        <v>1267</v>
      </c>
      <c r="AE587" s="754" t="s">
        <v>1268</v>
      </c>
      <c r="AF587" s="756" t="s">
        <v>1269</v>
      </c>
      <c r="AG587" s="754" t="s">
        <v>1259</v>
      </c>
      <c r="AH587" s="754" t="s">
        <v>1260</v>
      </c>
      <c r="AI587" s="754" t="s">
        <v>1261</v>
      </c>
      <c r="AJ587" s="754" t="s">
        <v>1262</v>
      </c>
      <c r="AK587" s="754" t="s">
        <v>947</v>
      </c>
      <c r="AL587" s="754" t="s">
        <v>1263</v>
      </c>
      <c r="AM587" s="754" t="s">
        <v>1264</v>
      </c>
      <c r="AN587" s="754" t="s">
        <v>1265</v>
      </c>
      <c r="AO587" s="754" t="s">
        <v>1266</v>
      </c>
      <c r="AP587" s="754" t="s">
        <v>1267</v>
      </c>
      <c r="AQ587" s="754" t="s">
        <v>1268</v>
      </c>
      <c r="AR587" s="756" t="s">
        <v>1269</v>
      </c>
      <c r="AS587" s="754" t="s">
        <v>1259</v>
      </c>
      <c r="AT587" s="754" t="s">
        <v>1260</v>
      </c>
      <c r="AU587" s="754" t="s">
        <v>1261</v>
      </c>
      <c r="AV587" s="754" t="s">
        <v>1262</v>
      </c>
      <c r="AW587" s="754" t="s">
        <v>947</v>
      </c>
      <c r="AX587" s="754" t="s">
        <v>1263</v>
      </c>
      <c r="AY587" s="754" t="s">
        <v>1264</v>
      </c>
      <c r="AZ587" s="754" t="s">
        <v>1265</v>
      </c>
      <c r="BA587" s="754" t="s">
        <v>1266</v>
      </c>
      <c r="BB587" s="754" t="s">
        <v>1267</v>
      </c>
      <c r="BC587" s="754" t="s">
        <v>1268</v>
      </c>
      <c r="BD587" s="756" t="s">
        <v>1269</v>
      </c>
      <c r="BE587" s="754" t="s">
        <v>1259</v>
      </c>
      <c r="BF587" s="754" t="s">
        <v>1260</v>
      </c>
      <c r="BG587" s="754" t="s">
        <v>1261</v>
      </c>
      <c r="BH587" s="754" t="s">
        <v>1262</v>
      </c>
      <c r="BI587" s="754" t="s">
        <v>947</v>
      </c>
      <c r="BJ587" s="754" t="s">
        <v>1263</v>
      </c>
      <c r="BK587" s="754" t="s">
        <v>1264</v>
      </c>
      <c r="BL587" s="754" t="s">
        <v>1265</v>
      </c>
      <c r="BM587" s="754" t="s">
        <v>1266</v>
      </c>
      <c r="BN587" s="754" t="s">
        <v>1267</v>
      </c>
      <c r="BO587" s="754" t="s">
        <v>1268</v>
      </c>
      <c r="BP587" s="756" t="s">
        <v>1269</v>
      </c>
      <c r="BQ587" s="754" t="s">
        <v>1259</v>
      </c>
      <c r="BR587" s="754" t="s">
        <v>1260</v>
      </c>
      <c r="BS587" s="754" t="s">
        <v>1261</v>
      </c>
      <c r="BT587" s="754" t="s">
        <v>1262</v>
      </c>
      <c r="BU587" s="754" t="s">
        <v>947</v>
      </c>
      <c r="BV587" s="754" t="s">
        <v>1263</v>
      </c>
      <c r="BW587" s="754" t="s">
        <v>1264</v>
      </c>
      <c r="BX587" s="754" t="s">
        <v>1265</v>
      </c>
      <c r="BY587" s="754" t="s">
        <v>1266</v>
      </c>
      <c r="BZ587" s="754" t="s">
        <v>1267</v>
      </c>
      <c r="CA587" s="754" t="s">
        <v>1268</v>
      </c>
      <c r="CB587" s="756" t="s">
        <v>1269</v>
      </c>
      <c r="CC587" s="754" t="s">
        <v>1259</v>
      </c>
      <c r="CD587" s="754" t="s">
        <v>1260</v>
      </c>
      <c r="CE587" s="754" t="s">
        <v>1261</v>
      </c>
      <c r="CF587" s="754" t="s">
        <v>1262</v>
      </c>
      <c r="CG587" s="754" t="s">
        <v>947</v>
      </c>
      <c r="CH587" s="754" t="s">
        <v>1263</v>
      </c>
      <c r="CI587" s="754" t="s">
        <v>1264</v>
      </c>
      <c r="CJ587" s="754" t="s">
        <v>1265</v>
      </c>
      <c r="CK587" s="754" t="s">
        <v>1266</v>
      </c>
      <c r="CL587" s="754" t="s">
        <v>1267</v>
      </c>
      <c r="CM587" s="754" t="s">
        <v>1268</v>
      </c>
      <c r="CN587" s="754" t="s">
        <v>1269</v>
      </c>
    </row>
    <row r="588" spans="8:92">
      <c r="H588" s="602" t="s">
        <v>940</v>
      </c>
      <c r="L588" s="609"/>
    </row>
    <row r="589" spans="8:92">
      <c r="H589" s="602" t="s">
        <v>940</v>
      </c>
      <c r="L589" s="618" t="s">
        <v>1290</v>
      </c>
      <c r="M589" s="600" t="s">
        <v>898</v>
      </c>
      <c r="N589" s="615" t="e">
        <f>SUM(U589:AF589)</f>
        <v>#N/A</v>
      </c>
      <c r="O589" s="615" t="e">
        <f>SUM(AG589:AR589)</f>
        <v>#N/A</v>
      </c>
      <c r="P589" s="615" t="e">
        <f>SUM(AS589:BD589)</f>
        <v>#N/A</v>
      </c>
      <c r="Q589" s="615" t="e">
        <f>SUM(BE589:BP589)</f>
        <v>#N/A</v>
      </c>
      <c r="R589" s="615" t="e">
        <f>SUM(BQ589:CB589)</f>
        <v>#N/A</v>
      </c>
      <c r="S589" s="615" t="e">
        <f>SUM(CC589:CN589)</f>
        <v>#N/A</v>
      </c>
      <c r="U589" s="615" t="e">
        <f>U490</f>
        <v>#N/A</v>
      </c>
      <c r="V589" s="615" t="e">
        <f t="shared" ref="V589:CG589" si="438">V490</f>
        <v>#N/A</v>
      </c>
      <c r="W589" s="615" t="e">
        <f t="shared" si="438"/>
        <v>#N/A</v>
      </c>
      <c r="X589" s="615" t="e">
        <f t="shared" si="438"/>
        <v>#N/A</v>
      </c>
      <c r="Y589" s="615" t="e">
        <f t="shared" si="438"/>
        <v>#N/A</v>
      </c>
      <c r="Z589" s="615" t="e">
        <f t="shared" si="438"/>
        <v>#N/A</v>
      </c>
      <c r="AA589" s="615" t="e">
        <f t="shared" si="438"/>
        <v>#N/A</v>
      </c>
      <c r="AB589" s="615" t="e">
        <f t="shared" si="438"/>
        <v>#N/A</v>
      </c>
      <c r="AC589" s="615" t="e">
        <f t="shared" si="438"/>
        <v>#N/A</v>
      </c>
      <c r="AD589" s="615" t="e">
        <f t="shared" si="438"/>
        <v>#N/A</v>
      </c>
      <c r="AE589" s="615" t="e">
        <f t="shared" si="438"/>
        <v>#N/A</v>
      </c>
      <c r="AF589" s="615" t="e">
        <f t="shared" si="438"/>
        <v>#N/A</v>
      </c>
      <c r="AG589" s="615" t="e">
        <f t="shared" si="438"/>
        <v>#N/A</v>
      </c>
      <c r="AH589" s="615" t="e">
        <f t="shared" si="438"/>
        <v>#N/A</v>
      </c>
      <c r="AI589" s="615" t="e">
        <f t="shared" si="438"/>
        <v>#N/A</v>
      </c>
      <c r="AJ589" s="615" t="e">
        <f t="shared" si="438"/>
        <v>#N/A</v>
      </c>
      <c r="AK589" s="615" t="e">
        <f t="shared" si="438"/>
        <v>#N/A</v>
      </c>
      <c r="AL589" s="615" t="e">
        <f t="shared" si="438"/>
        <v>#N/A</v>
      </c>
      <c r="AM589" s="615" t="e">
        <f t="shared" si="438"/>
        <v>#N/A</v>
      </c>
      <c r="AN589" s="615" t="e">
        <f t="shared" si="438"/>
        <v>#N/A</v>
      </c>
      <c r="AO589" s="615" t="e">
        <f t="shared" si="438"/>
        <v>#N/A</v>
      </c>
      <c r="AP589" s="615" t="e">
        <f t="shared" si="438"/>
        <v>#N/A</v>
      </c>
      <c r="AQ589" s="615" t="e">
        <f t="shared" si="438"/>
        <v>#N/A</v>
      </c>
      <c r="AR589" s="615" t="e">
        <f t="shared" si="438"/>
        <v>#N/A</v>
      </c>
      <c r="AS589" s="615" t="e">
        <f t="shared" si="438"/>
        <v>#N/A</v>
      </c>
      <c r="AT589" s="615" t="e">
        <f t="shared" si="438"/>
        <v>#N/A</v>
      </c>
      <c r="AU589" s="615" t="e">
        <f t="shared" si="438"/>
        <v>#N/A</v>
      </c>
      <c r="AV589" s="615" t="e">
        <f t="shared" si="438"/>
        <v>#N/A</v>
      </c>
      <c r="AW589" s="615" t="e">
        <f t="shared" si="438"/>
        <v>#N/A</v>
      </c>
      <c r="AX589" s="615" t="e">
        <f t="shared" si="438"/>
        <v>#N/A</v>
      </c>
      <c r="AY589" s="615" t="e">
        <f t="shared" si="438"/>
        <v>#N/A</v>
      </c>
      <c r="AZ589" s="615" t="e">
        <f t="shared" si="438"/>
        <v>#N/A</v>
      </c>
      <c r="BA589" s="615" t="e">
        <f t="shared" si="438"/>
        <v>#N/A</v>
      </c>
      <c r="BB589" s="615" t="e">
        <f t="shared" si="438"/>
        <v>#N/A</v>
      </c>
      <c r="BC589" s="615" t="e">
        <f t="shared" si="438"/>
        <v>#N/A</v>
      </c>
      <c r="BD589" s="615" t="e">
        <f t="shared" si="438"/>
        <v>#N/A</v>
      </c>
      <c r="BE589" s="615" t="e">
        <f t="shared" si="438"/>
        <v>#N/A</v>
      </c>
      <c r="BF589" s="615" t="e">
        <f t="shared" si="438"/>
        <v>#N/A</v>
      </c>
      <c r="BG589" s="615" t="e">
        <f t="shared" si="438"/>
        <v>#N/A</v>
      </c>
      <c r="BH589" s="615" t="e">
        <f t="shared" si="438"/>
        <v>#N/A</v>
      </c>
      <c r="BI589" s="615" t="e">
        <f t="shared" si="438"/>
        <v>#N/A</v>
      </c>
      <c r="BJ589" s="615" t="e">
        <f t="shared" si="438"/>
        <v>#N/A</v>
      </c>
      <c r="BK589" s="615" t="e">
        <f t="shared" si="438"/>
        <v>#N/A</v>
      </c>
      <c r="BL589" s="615" t="e">
        <f t="shared" si="438"/>
        <v>#N/A</v>
      </c>
      <c r="BM589" s="615" t="e">
        <f t="shared" si="438"/>
        <v>#N/A</v>
      </c>
      <c r="BN589" s="615" t="e">
        <f t="shared" si="438"/>
        <v>#N/A</v>
      </c>
      <c r="BO589" s="615" t="e">
        <f t="shared" si="438"/>
        <v>#N/A</v>
      </c>
      <c r="BP589" s="615" t="e">
        <f t="shared" si="438"/>
        <v>#N/A</v>
      </c>
      <c r="BQ589" s="615" t="e">
        <f t="shared" si="438"/>
        <v>#N/A</v>
      </c>
      <c r="BR589" s="615" t="e">
        <f t="shared" si="438"/>
        <v>#N/A</v>
      </c>
      <c r="BS589" s="615" t="e">
        <f t="shared" si="438"/>
        <v>#N/A</v>
      </c>
      <c r="BT589" s="615" t="e">
        <f t="shared" si="438"/>
        <v>#N/A</v>
      </c>
      <c r="BU589" s="615" t="e">
        <f t="shared" si="438"/>
        <v>#N/A</v>
      </c>
      <c r="BV589" s="615" t="e">
        <f t="shared" si="438"/>
        <v>#N/A</v>
      </c>
      <c r="BW589" s="615" t="e">
        <f t="shared" si="438"/>
        <v>#N/A</v>
      </c>
      <c r="BX589" s="615" t="e">
        <f t="shared" si="438"/>
        <v>#N/A</v>
      </c>
      <c r="BY589" s="615" t="e">
        <f t="shared" si="438"/>
        <v>#N/A</v>
      </c>
      <c r="BZ589" s="615" t="e">
        <f t="shared" si="438"/>
        <v>#N/A</v>
      </c>
      <c r="CA589" s="615" t="e">
        <f t="shared" si="438"/>
        <v>#N/A</v>
      </c>
      <c r="CB589" s="615" t="e">
        <f t="shared" si="438"/>
        <v>#N/A</v>
      </c>
      <c r="CC589" s="615" t="e">
        <f t="shared" si="438"/>
        <v>#N/A</v>
      </c>
      <c r="CD589" s="615" t="e">
        <f t="shared" si="438"/>
        <v>#N/A</v>
      </c>
      <c r="CE589" s="615" t="e">
        <f t="shared" si="438"/>
        <v>#N/A</v>
      </c>
      <c r="CF589" s="615" t="e">
        <f t="shared" si="438"/>
        <v>#N/A</v>
      </c>
      <c r="CG589" s="615" t="e">
        <f t="shared" si="438"/>
        <v>#N/A</v>
      </c>
      <c r="CH589" s="615" t="e">
        <f t="shared" ref="CH589:CN589" si="439">CH490</f>
        <v>#N/A</v>
      </c>
      <c r="CI589" s="615" t="e">
        <f t="shared" si="439"/>
        <v>#N/A</v>
      </c>
      <c r="CJ589" s="615" t="e">
        <f t="shared" si="439"/>
        <v>#N/A</v>
      </c>
      <c r="CK589" s="615" t="e">
        <f t="shared" si="439"/>
        <v>#N/A</v>
      </c>
      <c r="CL589" s="615" t="e">
        <f t="shared" si="439"/>
        <v>#N/A</v>
      </c>
      <c r="CM589" s="615" t="e">
        <f t="shared" si="439"/>
        <v>#N/A</v>
      </c>
      <c r="CN589" s="615" t="e">
        <f t="shared" si="439"/>
        <v>#N/A</v>
      </c>
    </row>
    <row r="590" spans="8:92">
      <c r="H590" s="602" t="s">
        <v>940</v>
      </c>
      <c r="L590" s="609"/>
      <c r="N590" s="615"/>
      <c r="O590" s="615"/>
      <c r="P590" s="615"/>
      <c r="Q590" s="615"/>
      <c r="R590" s="615"/>
      <c r="S590" s="615"/>
    </row>
    <row r="591" spans="8:92">
      <c r="H591" s="602" t="s">
        <v>940</v>
      </c>
      <c r="L591" s="618" t="s">
        <v>1296</v>
      </c>
      <c r="M591" s="600" t="s">
        <v>898</v>
      </c>
      <c r="N591" s="615" t="e">
        <f>SUM(U591:AF591)</f>
        <v>#N/A</v>
      </c>
      <c r="O591" s="615" t="e">
        <f>SUM(AG591:AR591)</f>
        <v>#N/A</v>
      </c>
      <c r="P591" s="615" t="e">
        <f>SUM(AS591:BD591)</f>
        <v>#N/A</v>
      </c>
      <c r="Q591" s="615" t="e">
        <f>SUM(BE591:BP591)</f>
        <v>#N/A</v>
      </c>
      <c r="R591" s="615" t="e">
        <f>SUM(BQ591:CB591)</f>
        <v>#N/A</v>
      </c>
      <c r="S591" s="615" t="e">
        <f>SUM(CC591:CN591)</f>
        <v>#N/A</v>
      </c>
      <c r="U591" s="615" t="e">
        <f t="shared" ref="U591:AF591" si="440">MIN(U589,N$422)</f>
        <v>#N/A</v>
      </c>
      <c r="V591" s="615" t="e">
        <f t="shared" si="440"/>
        <v>#N/A</v>
      </c>
      <c r="W591" s="615" t="e">
        <f t="shared" si="440"/>
        <v>#N/A</v>
      </c>
      <c r="X591" s="615" t="e">
        <f t="shared" si="440"/>
        <v>#N/A</v>
      </c>
      <c r="Y591" s="615" t="e">
        <f t="shared" si="440"/>
        <v>#N/A</v>
      </c>
      <c r="Z591" s="615" t="e">
        <f t="shared" si="440"/>
        <v>#N/A</v>
      </c>
      <c r="AA591" s="615" t="e">
        <f t="shared" si="440"/>
        <v>#N/A</v>
      </c>
      <c r="AB591" s="615" t="e">
        <f t="shared" si="440"/>
        <v>#N/A</v>
      </c>
      <c r="AC591" s="615" t="e">
        <f t="shared" si="440"/>
        <v>#N/A</v>
      </c>
      <c r="AD591" s="615" t="e">
        <f t="shared" si="440"/>
        <v>#N/A</v>
      </c>
      <c r="AE591" s="615" t="e">
        <f t="shared" si="440"/>
        <v>#N/A</v>
      </c>
      <c r="AF591" s="615" t="e">
        <f t="shared" si="440"/>
        <v>#N/A</v>
      </c>
      <c r="AG591" s="615" t="e">
        <f t="shared" ref="AG591:AR591" si="441">MIN(AG589,N$422)</f>
        <v>#N/A</v>
      </c>
      <c r="AH591" s="615" t="e">
        <f t="shared" si="441"/>
        <v>#N/A</v>
      </c>
      <c r="AI591" s="615" t="e">
        <f t="shared" si="441"/>
        <v>#N/A</v>
      </c>
      <c r="AJ591" s="615" t="e">
        <f t="shared" si="441"/>
        <v>#N/A</v>
      </c>
      <c r="AK591" s="615" t="e">
        <f t="shared" si="441"/>
        <v>#N/A</v>
      </c>
      <c r="AL591" s="615" t="e">
        <f t="shared" si="441"/>
        <v>#N/A</v>
      </c>
      <c r="AM591" s="615" t="e">
        <f t="shared" si="441"/>
        <v>#N/A</v>
      </c>
      <c r="AN591" s="615" t="e">
        <f t="shared" si="441"/>
        <v>#N/A</v>
      </c>
      <c r="AO591" s="615" t="e">
        <f t="shared" si="441"/>
        <v>#N/A</v>
      </c>
      <c r="AP591" s="615" t="e">
        <f t="shared" si="441"/>
        <v>#N/A</v>
      </c>
      <c r="AQ591" s="615" t="e">
        <f t="shared" si="441"/>
        <v>#N/A</v>
      </c>
      <c r="AR591" s="615" t="e">
        <f t="shared" si="441"/>
        <v>#N/A</v>
      </c>
      <c r="AS591" s="615" t="e">
        <f t="shared" ref="AS591:BD591" si="442">MIN(AS589,N$422)</f>
        <v>#N/A</v>
      </c>
      <c r="AT591" s="615" t="e">
        <f t="shared" si="442"/>
        <v>#N/A</v>
      </c>
      <c r="AU591" s="615" t="e">
        <f t="shared" si="442"/>
        <v>#N/A</v>
      </c>
      <c r="AV591" s="615" t="e">
        <f t="shared" si="442"/>
        <v>#N/A</v>
      </c>
      <c r="AW591" s="615" t="e">
        <f t="shared" si="442"/>
        <v>#N/A</v>
      </c>
      <c r="AX591" s="615" t="e">
        <f t="shared" si="442"/>
        <v>#N/A</v>
      </c>
      <c r="AY591" s="615" t="e">
        <f t="shared" si="442"/>
        <v>#N/A</v>
      </c>
      <c r="AZ591" s="615" t="e">
        <f t="shared" si="442"/>
        <v>#N/A</v>
      </c>
      <c r="BA591" s="615" t="e">
        <f t="shared" si="442"/>
        <v>#N/A</v>
      </c>
      <c r="BB591" s="615" t="e">
        <f t="shared" si="442"/>
        <v>#N/A</v>
      </c>
      <c r="BC591" s="615" t="e">
        <f t="shared" si="442"/>
        <v>#N/A</v>
      </c>
      <c r="BD591" s="615" t="e">
        <f t="shared" si="442"/>
        <v>#N/A</v>
      </c>
      <c r="BE591" s="615" t="e">
        <f t="shared" ref="BE591:BP591" si="443">MIN(BE589,N$422)</f>
        <v>#N/A</v>
      </c>
      <c r="BF591" s="615" t="e">
        <f t="shared" si="443"/>
        <v>#N/A</v>
      </c>
      <c r="BG591" s="615" t="e">
        <f t="shared" si="443"/>
        <v>#N/A</v>
      </c>
      <c r="BH591" s="615" t="e">
        <f t="shared" si="443"/>
        <v>#N/A</v>
      </c>
      <c r="BI591" s="615" t="e">
        <f t="shared" si="443"/>
        <v>#N/A</v>
      </c>
      <c r="BJ591" s="615" t="e">
        <f t="shared" si="443"/>
        <v>#N/A</v>
      </c>
      <c r="BK591" s="615" t="e">
        <f t="shared" si="443"/>
        <v>#N/A</v>
      </c>
      <c r="BL591" s="615" t="e">
        <f t="shared" si="443"/>
        <v>#N/A</v>
      </c>
      <c r="BM591" s="615" t="e">
        <f t="shared" si="443"/>
        <v>#N/A</v>
      </c>
      <c r="BN591" s="615" t="e">
        <f t="shared" si="443"/>
        <v>#N/A</v>
      </c>
      <c r="BO591" s="615" t="e">
        <f t="shared" si="443"/>
        <v>#N/A</v>
      </c>
      <c r="BP591" s="615" t="e">
        <f t="shared" si="443"/>
        <v>#N/A</v>
      </c>
      <c r="BQ591" s="615" t="e">
        <f t="shared" ref="BQ591:CB591" si="444">MIN(BQ589,N$422)</f>
        <v>#N/A</v>
      </c>
      <c r="BR591" s="615" t="e">
        <f t="shared" si="444"/>
        <v>#N/A</v>
      </c>
      <c r="BS591" s="615" t="e">
        <f t="shared" si="444"/>
        <v>#N/A</v>
      </c>
      <c r="BT591" s="615" t="e">
        <f t="shared" si="444"/>
        <v>#N/A</v>
      </c>
      <c r="BU591" s="615" t="e">
        <f t="shared" si="444"/>
        <v>#N/A</v>
      </c>
      <c r="BV591" s="615" t="e">
        <f t="shared" si="444"/>
        <v>#N/A</v>
      </c>
      <c r="BW591" s="615" t="e">
        <f t="shared" si="444"/>
        <v>#N/A</v>
      </c>
      <c r="BX591" s="615" t="e">
        <f t="shared" si="444"/>
        <v>#N/A</v>
      </c>
      <c r="BY591" s="615" t="e">
        <f t="shared" si="444"/>
        <v>#N/A</v>
      </c>
      <c r="BZ591" s="615" t="e">
        <f t="shared" si="444"/>
        <v>#N/A</v>
      </c>
      <c r="CA591" s="615" t="e">
        <f t="shared" si="444"/>
        <v>#N/A</v>
      </c>
      <c r="CB591" s="615" t="e">
        <f t="shared" si="444"/>
        <v>#N/A</v>
      </c>
      <c r="CC591" s="615" t="e">
        <f t="shared" ref="CC591:CN591" si="445">MIN(CC589,N$422)</f>
        <v>#N/A</v>
      </c>
      <c r="CD591" s="615" t="e">
        <f t="shared" si="445"/>
        <v>#N/A</v>
      </c>
      <c r="CE591" s="615" t="e">
        <f t="shared" si="445"/>
        <v>#N/A</v>
      </c>
      <c r="CF591" s="615" t="e">
        <f t="shared" si="445"/>
        <v>#N/A</v>
      </c>
      <c r="CG591" s="615" t="e">
        <f t="shared" si="445"/>
        <v>#N/A</v>
      </c>
      <c r="CH591" s="615" t="e">
        <f t="shared" si="445"/>
        <v>#N/A</v>
      </c>
      <c r="CI591" s="615" t="e">
        <f t="shared" si="445"/>
        <v>#N/A</v>
      </c>
      <c r="CJ591" s="615" t="e">
        <f t="shared" si="445"/>
        <v>#N/A</v>
      </c>
      <c r="CK591" s="615" t="e">
        <f t="shared" si="445"/>
        <v>#N/A</v>
      </c>
      <c r="CL591" s="615" t="e">
        <f t="shared" si="445"/>
        <v>#N/A</v>
      </c>
      <c r="CM591" s="615" t="e">
        <f t="shared" si="445"/>
        <v>#N/A</v>
      </c>
      <c r="CN591" s="615" t="e">
        <f t="shared" si="445"/>
        <v>#N/A</v>
      </c>
    </row>
    <row r="592" spans="8:92">
      <c r="H592" s="602" t="s">
        <v>940</v>
      </c>
      <c r="L592" s="618" t="s">
        <v>1297</v>
      </c>
      <c r="M592" s="600" t="s">
        <v>898</v>
      </c>
      <c r="N592" s="615" t="e">
        <f>SUM(U592:AF592)</f>
        <v>#N/A</v>
      </c>
      <c r="O592" s="615" t="e">
        <f>SUM(AG592:AR592)</f>
        <v>#N/A</v>
      </c>
      <c r="P592" s="615" t="e">
        <f>SUM(AS592:BD592)</f>
        <v>#N/A</v>
      </c>
      <c r="Q592" s="615" t="e">
        <f>SUM(BE592:BP592)</f>
        <v>#N/A</v>
      </c>
      <c r="R592" s="615" t="e">
        <f>SUM(BQ592:CB592)</f>
        <v>#N/A</v>
      </c>
      <c r="S592" s="615" t="e">
        <f>SUM(CC592:CN592)</f>
        <v>#N/A</v>
      </c>
      <c r="U592" s="615" t="e">
        <f t="shared" ref="U592:AF592" si="446">MIN(U589-U591,N$423)</f>
        <v>#N/A</v>
      </c>
      <c r="V592" s="615" t="e">
        <f t="shared" si="446"/>
        <v>#N/A</v>
      </c>
      <c r="W592" s="615" t="e">
        <f t="shared" si="446"/>
        <v>#N/A</v>
      </c>
      <c r="X592" s="615" t="e">
        <f t="shared" si="446"/>
        <v>#N/A</v>
      </c>
      <c r="Y592" s="615" t="e">
        <f t="shared" si="446"/>
        <v>#N/A</v>
      </c>
      <c r="Z592" s="615" t="e">
        <f t="shared" si="446"/>
        <v>#N/A</v>
      </c>
      <c r="AA592" s="615" t="e">
        <f t="shared" si="446"/>
        <v>#N/A</v>
      </c>
      <c r="AB592" s="615" t="e">
        <f t="shared" si="446"/>
        <v>#N/A</v>
      </c>
      <c r="AC592" s="615" t="e">
        <f t="shared" si="446"/>
        <v>#N/A</v>
      </c>
      <c r="AD592" s="615" t="e">
        <f t="shared" si="446"/>
        <v>#N/A</v>
      </c>
      <c r="AE592" s="615" t="e">
        <f t="shared" si="446"/>
        <v>#N/A</v>
      </c>
      <c r="AF592" s="615" t="e">
        <f t="shared" si="446"/>
        <v>#N/A</v>
      </c>
      <c r="AG592" s="615" t="e">
        <f t="shared" ref="AG592:AR592" si="447">MIN(AG589-AG591,N$423)</f>
        <v>#N/A</v>
      </c>
      <c r="AH592" s="615" t="e">
        <f t="shared" si="447"/>
        <v>#N/A</v>
      </c>
      <c r="AI592" s="615" t="e">
        <f t="shared" si="447"/>
        <v>#N/A</v>
      </c>
      <c r="AJ592" s="615" t="e">
        <f t="shared" si="447"/>
        <v>#N/A</v>
      </c>
      <c r="AK592" s="615" t="e">
        <f t="shared" si="447"/>
        <v>#N/A</v>
      </c>
      <c r="AL592" s="615" t="e">
        <f t="shared" si="447"/>
        <v>#N/A</v>
      </c>
      <c r="AM592" s="615" t="e">
        <f t="shared" si="447"/>
        <v>#N/A</v>
      </c>
      <c r="AN592" s="615" t="e">
        <f t="shared" si="447"/>
        <v>#N/A</v>
      </c>
      <c r="AO592" s="615" t="e">
        <f t="shared" si="447"/>
        <v>#N/A</v>
      </c>
      <c r="AP592" s="615" t="e">
        <f t="shared" si="447"/>
        <v>#N/A</v>
      </c>
      <c r="AQ592" s="615" t="e">
        <f t="shared" si="447"/>
        <v>#N/A</v>
      </c>
      <c r="AR592" s="615" t="e">
        <f t="shared" si="447"/>
        <v>#N/A</v>
      </c>
      <c r="AS592" s="615" t="e">
        <f t="shared" ref="AS592:BD592" si="448">MIN(AS589-AS591,N$423)</f>
        <v>#N/A</v>
      </c>
      <c r="AT592" s="615" t="e">
        <f t="shared" si="448"/>
        <v>#N/A</v>
      </c>
      <c r="AU592" s="615" t="e">
        <f t="shared" si="448"/>
        <v>#N/A</v>
      </c>
      <c r="AV592" s="615" t="e">
        <f t="shared" si="448"/>
        <v>#N/A</v>
      </c>
      <c r="AW592" s="615" t="e">
        <f t="shared" si="448"/>
        <v>#N/A</v>
      </c>
      <c r="AX592" s="615" t="e">
        <f t="shared" si="448"/>
        <v>#N/A</v>
      </c>
      <c r="AY592" s="615" t="e">
        <f t="shared" si="448"/>
        <v>#N/A</v>
      </c>
      <c r="AZ592" s="615" t="e">
        <f t="shared" si="448"/>
        <v>#N/A</v>
      </c>
      <c r="BA592" s="615" t="e">
        <f t="shared" si="448"/>
        <v>#N/A</v>
      </c>
      <c r="BB592" s="615" t="e">
        <f t="shared" si="448"/>
        <v>#N/A</v>
      </c>
      <c r="BC592" s="615" t="e">
        <f t="shared" si="448"/>
        <v>#N/A</v>
      </c>
      <c r="BD592" s="615" t="e">
        <f t="shared" si="448"/>
        <v>#N/A</v>
      </c>
      <c r="BE592" s="615" t="e">
        <f t="shared" ref="BE592:BP592" si="449">MIN(BE589-BE591,N$423)</f>
        <v>#N/A</v>
      </c>
      <c r="BF592" s="615" t="e">
        <f t="shared" si="449"/>
        <v>#N/A</v>
      </c>
      <c r="BG592" s="615" t="e">
        <f t="shared" si="449"/>
        <v>#N/A</v>
      </c>
      <c r="BH592" s="615" t="e">
        <f t="shared" si="449"/>
        <v>#N/A</v>
      </c>
      <c r="BI592" s="615" t="e">
        <f t="shared" si="449"/>
        <v>#N/A</v>
      </c>
      <c r="BJ592" s="615" t="e">
        <f t="shared" si="449"/>
        <v>#N/A</v>
      </c>
      <c r="BK592" s="615" t="e">
        <f t="shared" si="449"/>
        <v>#N/A</v>
      </c>
      <c r="BL592" s="615" t="e">
        <f t="shared" si="449"/>
        <v>#N/A</v>
      </c>
      <c r="BM592" s="615" t="e">
        <f t="shared" si="449"/>
        <v>#N/A</v>
      </c>
      <c r="BN592" s="615" t="e">
        <f t="shared" si="449"/>
        <v>#N/A</v>
      </c>
      <c r="BO592" s="615" t="e">
        <f t="shared" si="449"/>
        <v>#N/A</v>
      </c>
      <c r="BP592" s="615" t="e">
        <f t="shared" si="449"/>
        <v>#N/A</v>
      </c>
      <c r="BQ592" s="615" t="e">
        <f t="shared" ref="BQ592:CB592" si="450">MIN(BQ589-BQ591,N$423)</f>
        <v>#N/A</v>
      </c>
      <c r="BR592" s="615" t="e">
        <f t="shared" si="450"/>
        <v>#N/A</v>
      </c>
      <c r="BS592" s="615" t="e">
        <f t="shared" si="450"/>
        <v>#N/A</v>
      </c>
      <c r="BT592" s="615" t="e">
        <f t="shared" si="450"/>
        <v>#N/A</v>
      </c>
      <c r="BU592" s="615" t="e">
        <f t="shared" si="450"/>
        <v>#N/A</v>
      </c>
      <c r="BV592" s="615" t="e">
        <f t="shared" si="450"/>
        <v>#N/A</v>
      </c>
      <c r="BW592" s="615" t="e">
        <f t="shared" si="450"/>
        <v>#N/A</v>
      </c>
      <c r="BX592" s="615" t="e">
        <f t="shared" si="450"/>
        <v>#N/A</v>
      </c>
      <c r="BY592" s="615" t="e">
        <f t="shared" si="450"/>
        <v>#N/A</v>
      </c>
      <c r="BZ592" s="615" t="e">
        <f t="shared" si="450"/>
        <v>#N/A</v>
      </c>
      <c r="CA592" s="615" t="e">
        <f t="shared" si="450"/>
        <v>#N/A</v>
      </c>
      <c r="CB592" s="615" t="e">
        <f t="shared" si="450"/>
        <v>#N/A</v>
      </c>
      <c r="CC592" s="615" t="e">
        <f t="shared" ref="CC592:CN592" si="451">MIN(CC589-CC591,N$423)</f>
        <v>#N/A</v>
      </c>
      <c r="CD592" s="615" t="e">
        <f t="shared" si="451"/>
        <v>#N/A</v>
      </c>
      <c r="CE592" s="615" t="e">
        <f t="shared" si="451"/>
        <v>#N/A</v>
      </c>
      <c r="CF592" s="615" t="e">
        <f t="shared" si="451"/>
        <v>#N/A</v>
      </c>
      <c r="CG592" s="615" t="e">
        <f t="shared" si="451"/>
        <v>#N/A</v>
      </c>
      <c r="CH592" s="615" t="e">
        <f t="shared" si="451"/>
        <v>#N/A</v>
      </c>
      <c r="CI592" s="615" t="e">
        <f t="shared" si="451"/>
        <v>#N/A</v>
      </c>
      <c r="CJ592" s="615" t="e">
        <f t="shared" si="451"/>
        <v>#N/A</v>
      </c>
      <c r="CK592" s="615" t="e">
        <f t="shared" si="451"/>
        <v>#N/A</v>
      </c>
      <c r="CL592" s="615" t="e">
        <f t="shared" si="451"/>
        <v>#N/A</v>
      </c>
      <c r="CM592" s="615" t="e">
        <f t="shared" si="451"/>
        <v>#N/A</v>
      </c>
      <c r="CN592" s="615" t="e">
        <f t="shared" si="451"/>
        <v>#N/A</v>
      </c>
    </row>
    <row r="593" spans="8:92">
      <c r="H593" s="602" t="s">
        <v>940</v>
      </c>
      <c r="L593" s="618" t="s">
        <v>1298</v>
      </c>
      <c r="M593" s="600" t="s">
        <v>898</v>
      </c>
      <c r="N593" s="615" t="e">
        <f>SUM(U593:AF593)</f>
        <v>#N/A</v>
      </c>
      <c r="O593" s="615" t="e">
        <f>SUM(AG593:AR593)</f>
        <v>#N/A</v>
      </c>
      <c r="P593" s="615" t="e">
        <f>SUM(AS593:BD593)</f>
        <v>#N/A</v>
      </c>
      <c r="Q593" s="615" t="e">
        <f>SUM(BE593:BP593)</f>
        <v>#N/A</v>
      </c>
      <c r="R593" s="615" t="e">
        <f>SUM(BQ593:CB593)</f>
        <v>#N/A</v>
      </c>
      <c r="S593" s="615" t="e">
        <f>SUM(CC593:CN593)</f>
        <v>#N/A</v>
      </c>
      <c r="U593" s="615" t="e">
        <f t="shared" ref="U593:AF593" si="452">MIN(U589-(U591+U592),N$424)</f>
        <v>#N/A</v>
      </c>
      <c r="V593" s="615" t="e">
        <f t="shared" si="452"/>
        <v>#N/A</v>
      </c>
      <c r="W593" s="615" t="e">
        <f t="shared" si="452"/>
        <v>#N/A</v>
      </c>
      <c r="X593" s="615" t="e">
        <f t="shared" si="452"/>
        <v>#N/A</v>
      </c>
      <c r="Y593" s="615" t="e">
        <f t="shared" si="452"/>
        <v>#N/A</v>
      </c>
      <c r="Z593" s="615" t="e">
        <f t="shared" si="452"/>
        <v>#N/A</v>
      </c>
      <c r="AA593" s="615" t="e">
        <f t="shared" si="452"/>
        <v>#N/A</v>
      </c>
      <c r="AB593" s="615" t="e">
        <f t="shared" si="452"/>
        <v>#N/A</v>
      </c>
      <c r="AC593" s="615" t="e">
        <f t="shared" si="452"/>
        <v>#N/A</v>
      </c>
      <c r="AD593" s="615" t="e">
        <f t="shared" si="452"/>
        <v>#N/A</v>
      </c>
      <c r="AE593" s="615" t="e">
        <f t="shared" si="452"/>
        <v>#N/A</v>
      </c>
      <c r="AF593" s="615" t="e">
        <f t="shared" si="452"/>
        <v>#N/A</v>
      </c>
      <c r="AG593" s="615" t="e">
        <f t="shared" ref="AG593:AR593" si="453">MIN(AG589-(AG591+AG592),N$424)</f>
        <v>#N/A</v>
      </c>
      <c r="AH593" s="615" t="e">
        <f t="shared" si="453"/>
        <v>#N/A</v>
      </c>
      <c r="AI593" s="615" t="e">
        <f t="shared" si="453"/>
        <v>#N/A</v>
      </c>
      <c r="AJ593" s="615" t="e">
        <f t="shared" si="453"/>
        <v>#N/A</v>
      </c>
      <c r="AK593" s="615" t="e">
        <f t="shared" si="453"/>
        <v>#N/A</v>
      </c>
      <c r="AL593" s="615" t="e">
        <f t="shared" si="453"/>
        <v>#N/A</v>
      </c>
      <c r="AM593" s="615" t="e">
        <f t="shared" si="453"/>
        <v>#N/A</v>
      </c>
      <c r="AN593" s="615" t="e">
        <f t="shared" si="453"/>
        <v>#N/A</v>
      </c>
      <c r="AO593" s="615" t="e">
        <f t="shared" si="453"/>
        <v>#N/A</v>
      </c>
      <c r="AP593" s="615" t="e">
        <f t="shared" si="453"/>
        <v>#N/A</v>
      </c>
      <c r="AQ593" s="615" t="e">
        <f t="shared" si="453"/>
        <v>#N/A</v>
      </c>
      <c r="AR593" s="615" t="e">
        <f t="shared" si="453"/>
        <v>#N/A</v>
      </c>
      <c r="AS593" s="615" t="e">
        <f t="shared" ref="AS593:BD593" si="454">MIN(AS589-(AS591+AS592),N$424)</f>
        <v>#N/A</v>
      </c>
      <c r="AT593" s="615" t="e">
        <f t="shared" si="454"/>
        <v>#N/A</v>
      </c>
      <c r="AU593" s="615" t="e">
        <f t="shared" si="454"/>
        <v>#N/A</v>
      </c>
      <c r="AV593" s="615" t="e">
        <f t="shared" si="454"/>
        <v>#N/A</v>
      </c>
      <c r="AW593" s="615" t="e">
        <f t="shared" si="454"/>
        <v>#N/A</v>
      </c>
      <c r="AX593" s="615" t="e">
        <f t="shared" si="454"/>
        <v>#N/A</v>
      </c>
      <c r="AY593" s="615" t="e">
        <f t="shared" si="454"/>
        <v>#N/A</v>
      </c>
      <c r="AZ593" s="615" t="e">
        <f t="shared" si="454"/>
        <v>#N/A</v>
      </c>
      <c r="BA593" s="615" t="e">
        <f t="shared" si="454"/>
        <v>#N/A</v>
      </c>
      <c r="BB593" s="615" t="e">
        <f t="shared" si="454"/>
        <v>#N/A</v>
      </c>
      <c r="BC593" s="615" t="e">
        <f t="shared" si="454"/>
        <v>#N/A</v>
      </c>
      <c r="BD593" s="615" t="e">
        <f t="shared" si="454"/>
        <v>#N/A</v>
      </c>
      <c r="BE593" s="615" t="e">
        <f t="shared" ref="BE593:BP593" si="455">MIN(BE589-(BE591+BE592),N$424)</f>
        <v>#N/A</v>
      </c>
      <c r="BF593" s="615" t="e">
        <f t="shared" si="455"/>
        <v>#N/A</v>
      </c>
      <c r="BG593" s="615" t="e">
        <f t="shared" si="455"/>
        <v>#N/A</v>
      </c>
      <c r="BH593" s="615" t="e">
        <f t="shared" si="455"/>
        <v>#N/A</v>
      </c>
      <c r="BI593" s="615" t="e">
        <f t="shared" si="455"/>
        <v>#N/A</v>
      </c>
      <c r="BJ593" s="615" t="e">
        <f t="shared" si="455"/>
        <v>#N/A</v>
      </c>
      <c r="BK593" s="615" t="e">
        <f t="shared" si="455"/>
        <v>#N/A</v>
      </c>
      <c r="BL593" s="615" t="e">
        <f t="shared" si="455"/>
        <v>#N/A</v>
      </c>
      <c r="BM593" s="615" t="e">
        <f t="shared" si="455"/>
        <v>#N/A</v>
      </c>
      <c r="BN593" s="615" t="e">
        <f t="shared" si="455"/>
        <v>#N/A</v>
      </c>
      <c r="BO593" s="615" t="e">
        <f t="shared" si="455"/>
        <v>#N/A</v>
      </c>
      <c r="BP593" s="615" t="e">
        <f t="shared" si="455"/>
        <v>#N/A</v>
      </c>
      <c r="BQ593" s="615" t="e">
        <f t="shared" ref="BQ593:CB593" si="456">MIN(BQ589-(BQ591+BQ592),N$424)</f>
        <v>#N/A</v>
      </c>
      <c r="BR593" s="615" t="e">
        <f t="shared" si="456"/>
        <v>#N/A</v>
      </c>
      <c r="BS593" s="615" t="e">
        <f t="shared" si="456"/>
        <v>#N/A</v>
      </c>
      <c r="BT593" s="615" t="e">
        <f t="shared" si="456"/>
        <v>#N/A</v>
      </c>
      <c r="BU593" s="615" t="e">
        <f t="shared" si="456"/>
        <v>#N/A</v>
      </c>
      <c r="BV593" s="615" t="e">
        <f t="shared" si="456"/>
        <v>#N/A</v>
      </c>
      <c r="BW593" s="615" t="e">
        <f t="shared" si="456"/>
        <v>#N/A</v>
      </c>
      <c r="BX593" s="615" t="e">
        <f t="shared" si="456"/>
        <v>#N/A</v>
      </c>
      <c r="BY593" s="615" t="e">
        <f t="shared" si="456"/>
        <v>#N/A</v>
      </c>
      <c r="BZ593" s="615" t="e">
        <f t="shared" si="456"/>
        <v>#N/A</v>
      </c>
      <c r="CA593" s="615" t="e">
        <f t="shared" si="456"/>
        <v>#N/A</v>
      </c>
      <c r="CB593" s="615" t="e">
        <f t="shared" si="456"/>
        <v>#N/A</v>
      </c>
      <c r="CC593" s="615" t="e">
        <f t="shared" ref="CC593:CN593" si="457">MIN(CC589-(CC591+CC592),N$424)</f>
        <v>#N/A</v>
      </c>
      <c r="CD593" s="615" t="e">
        <f t="shared" si="457"/>
        <v>#N/A</v>
      </c>
      <c r="CE593" s="615" t="e">
        <f t="shared" si="457"/>
        <v>#N/A</v>
      </c>
      <c r="CF593" s="615" t="e">
        <f t="shared" si="457"/>
        <v>#N/A</v>
      </c>
      <c r="CG593" s="615" t="e">
        <f t="shared" si="457"/>
        <v>#N/A</v>
      </c>
      <c r="CH593" s="615" t="e">
        <f t="shared" si="457"/>
        <v>#N/A</v>
      </c>
      <c r="CI593" s="615" t="e">
        <f t="shared" si="457"/>
        <v>#N/A</v>
      </c>
      <c r="CJ593" s="615" t="e">
        <f t="shared" si="457"/>
        <v>#N/A</v>
      </c>
      <c r="CK593" s="615" t="e">
        <f t="shared" si="457"/>
        <v>#N/A</v>
      </c>
      <c r="CL593" s="615" t="e">
        <f t="shared" si="457"/>
        <v>#N/A</v>
      </c>
      <c r="CM593" s="615" t="e">
        <f t="shared" si="457"/>
        <v>#N/A</v>
      </c>
      <c r="CN593" s="615" t="e">
        <f t="shared" si="457"/>
        <v>#N/A</v>
      </c>
    </row>
    <row r="594" spans="8:92">
      <c r="H594" s="602" t="s">
        <v>940</v>
      </c>
      <c r="L594" s="618" t="s">
        <v>1299</v>
      </c>
      <c r="M594" s="600" t="s">
        <v>898</v>
      </c>
      <c r="N594" s="615" t="e">
        <f>SUM(U594:AF594)</f>
        <v>#N/A</v>
      </c>
      <c r="O594" s="615" t="e">
        <f>SUM(AG594:AR594)</f>
        <v>#N/A</v>
      </c>
      <c r="P594" s="615" t="e">
        <f>SUM(AS594:BD594)</f>
        <v>#N/A</v>
      </c>
      <c r="Q594" s="615" t="e">
        <f>SUM(BE594:BP594)</f>
        <v>#N/A</v>
      </c>
      <c r="R594" s="615" t="e">
        <f>SUM(BQ594:CB594)</f>
        <v>#N/A</v>
      </c>
      <c r="S594" s="615" t="e">
        <f>SUM(CC594:CN594)</f>
        <v>#N/A</v>
      </c>
      <c r="U594" s="615" t="e">
        <f t="shared" ref="U594:AF594" si="458">MIN(U589-(U591+U592+U593),N$425)</f>
        <v>#N/A</v>
      </c>
      <c r="V594" s="615" t="e">
        <f t="shared" si="458"/>
        <v>#N/A</v>
      </c>
      <c r="W594" s="615" t="e">
        <f t="shared" si="458"/>
        <v>#N/A</v>
      </c>
      <c r="X594" s="615" t="e">
        <f t="shared" si="458"/>
        <v>#N/A</v>
      </c>
      <c r="Y594" s="615" t="e">
        <f t="shared" si="458"/>
        <v>#N/A</v>
      </c>
      <c r="Z594" s="615" t="e">
        <f t="shared" si="458"/>
        <v>#N/A</v>
      </c>
      <c r="AA594" s="615" t="e">
        <f t="shared" si="458"/>
        <v>#N/A</v>
      </c>
      <c r="AB594" s="615" t="e">
        <f t="shared" si="458"/>
        <v>#N/A</v>
      </c>
      <c r="AC594" s="615" t="e">
        <f t="shared" si="458"/>
        <v>#N/A</v>
      </c>
      <c r="AD594" s="615" t="e">
        <f t="shared" si="458"/>
        <v>#N/A</v>
      </c>
      <c r="AE594" s="615" t="e">
        <f t="shared" si="458"/>
        <v>#N/A</v>
      </c>
      <c r="AF594" s="615" t="e">
        <f t="shared" si="458"/>
        <v>#N/A</v>
      </c>
      <c r="AG594" s="615" t="e">
        <f t="shared" ref="AG594:AR594" si="459">MIN(AG589-(AG591+AG592+AG593),N$425)</f>
        <v>#N/A</v>
      </c>
      <c r="AH594" s="615" t="e">
        <f t="shared" si="459"/>
        <v>#N/A</v>
      </c>
      <c r="AI594" s="615" t="e">
        <f t="shared" si="459"/>
        <v>#N/A</v>
      </c>
      <c r="AJ594" s="615" t="e">
        <f t="shared" si="459"/>
        <v>#N/A</v>
      </c>
      <c r="AK594" s="615" t="e">
        <f t="shared" si="459"/>
        <v>#N/A</v>
      </c>
      <c r="AL594" s="615" t="e">
        <f t="shared" si="459"/>
        <v>#N/A</v>
      </c>
      <c r="AM594" s="615" t="e">
        <f t="shared" si="459"/>
        <v>#N/A</v>
      </c>
      <c r="AN594" s="615" t="e">
        <f t="shared" si="459"/>
        <v>#N/A</v>
      </c>
      <c r="AO594" s="615" t="e">
        <f t="shared" si="459"/>
        <v>#N/A</v>
      </c>
      <c r="AP594" s="615" t="e">
        <f t="shared" si="459"/>
        <v>#N/A</v>
      </c>
      <c r="AQ594" s="615" t="e">
        <f t="shared" si="459"/>
        <v>#N/A</v>
      </c>
      <c r="AR594" s="615" t="e">
        <f t="shared" si="459"/>
        <v>#N/A</v>
      </c>
      <c r="AS594" s="615" t="e">
        <f t="shared" ref="AS594:BD594" si="460">MIN(AS589-(AS591+AS592+AS593),N$425)</f>
        <v>#N/A</v>
      </c>
      <c r="AT594" s="615" t="e">
        <f t="shared" si="460"/>
        <v>#N/A</v>
      </c>
      <c r="AU594" s="615" t="e">
        <f t="shared" si="460"/>
        <v>#N/A</v>
      </c>
      <c r="AV594" s="615" t="e">
        <f t="shared" si="460"/>
        <v>#N/A</v>
      </c>
      <c r="AW594" s="615" t="e">
        <f t="shared" si="460"/>
        <v>#N/A</v>
      </c>
      <c r="AX594" s="615" t="e">
        <f t="shared" si="460"/>
        <v>#N/A</v>
      </c>
      <c r="AY594" s="615" t="e">
        <f t="shared" si="460"/>
        <v>#N/A</v>
      </c>
      <c r="AZ594" s="615" t="e">
        <f t="shared" si="460"/>
        <v>#N/A</v>
      </c>
      <c r="BA594" s="615" t="e">
        <f t="shared" si="460"/>
        <v>#N/A</v>
      </c>
      <c r="BB594" s="615" t="e">
        <f t="shared" si="460"/>
        <v>#N/A</v>
      </c>
      <c r="BC594" s="615" t="e">
        <f t="shared" si="460"/>
        <v>#N/A</v>
      </c>
      <c r="BD594" s="615" t="e">
        <f t="shared" si="460"/>
        <v>#N/A</v>
      </c>
      <c r="BE594" s="615" t="e">
        <f t="shared" ref="BE594:BP594" si="461">MIN(BE589-(BE591+BE592+BE593),N$425)</f>
        <v>#N/A</v>
      </c>
      <c r="BF594" s="615" t="e">
        <f t="shared" si="461"/>
        <v>#N/A</v>
      </c>
      <c r="BG594" s="615" t="e">
        <f t="shared" si="461"/>
        <v>#N/A</v>
      </c>
      <c r="BH594" s="615" t="e">
        <f t="shared" si="461"/>
        <v>#N/A</v>
      </c>
      <c r="BI594" s="615" t="e">
        <f t="shared" si="461"/>
        <v>#N/A</v>
      </c>
      <c r="BJ594" s="615" t="e">
        <f t="shared" si="461"/>
        <v>#N/A</v>
      </c>
      <c r="BK594" s="615" t="e">
        <f t="shared" si="461"/>
        <v>#N/A</v>
      </c>
      <c r="BL594" s="615" t="e">
        <f t="shared" si="461"/>
        <v>#N/A</v>
      </c>
      <c r="BM594" s="615" t="e">
        <f t="shared" si="461"/>
        <v>#N/A</v>
      </c>
      <c r="BN594" s="615" t="e">
        <f t="shared" si="461"/>
        <v>#N/A</v>
      </c>
      <c r="BO594" s="615" t="e">
        <f t="shared" si="461"/>
        <v>#N/A</v>
      </c>
      <c r="BP594" s="615" t="e">
        <f t="shared" si="461"/>
        <v>#N/A</v>
      </c>
      <c r="BQ594" s="615" t="e">
        <f t="shared" ref="BQ594:CB594" si="462">MIN(BQ589-(BQ591+BQ592+BQ593),N$425)</f>
        <v>#N/A</v>
      </c>
      <c r="BR594" s="615" t="e">
        <f t="shared" si="462"/>
        <v>#N/A</v>
      </c>
      <c r="BS594" s="615" t="e">
        <f t="shared" si="462"/>
        <v>#N/A</v>
      </c>
      <c r="BT594" s="615" t="e">
        <f t="shared" si="462"/>
        <v>#N/A</v>
      </c>
      <c r="BU594" s="615" t="e">
        <f t="shared" si="462"/>
        <v>#N/A</v>
      </c>
      <c r="BV594" s="615" t="e">
        <f t="shared" si="462"/>
        <v>#N/A</v>
      </c>
      <c r="BW594" s="615" t="e">
        <f t="shared" si="462"/>
        <v>#N/A</v>
      </c>
      <c r="BX594" s="615" t="e">
        <f t="shared" si="462"/>
        <v>#N/A</v>
      </c>
      <c r="BY594" s="615" t="e">
        <f t="shared" si="462"/>
        <v>#N/A</v>
      </c>
      <c r="BZ594" s="615" t="e">
        <f t="shared" si="462"/>
        <v>#N/A</v>
      </c>
      <c r="CA594" s="615" t="e">
        <f t="shared" si="462"/>
        <v>#N/A</v>
      </c>
      <c r="CB594" s="615" t="e">
        <f t="shared" si="462"/>
        <v>#N/A</v>
      </c>
      <c r="CC594" s="615" t="e">
        <f t="shared" ref="CC594:CN594" si="463">MIN(CC589-(CC591+CC592+CC593),N$425)</f>
        <v>#N/A</v>
      </c>
      <c r="CD594" s="615" t="e">
        <f t="shared" si="463"/>
        <v>#N/A</v>
      </c>
      <c r="CE594" s="615" t="e">
        <f t="shared" si="463"/>
        <v>#N/A</v>
      </c>
      <c r="CF594" s="615" t="e">
        <f t="shared" si="463"/>
        <v>#N/A</v>
      </c>
      <c r="CG594" s="615" t="e">
        <f t="shared" si="463"/>
        <v>#N/A</v>
      </c>
      <c r="CH594" s="615" t="e">
        <f t="shared" si="463"/>
        <v>#N/A</v>
      </c>
      <c r="CI594" s="615" t="e">
        <f t="shared" si="463"/>
        <v>#N/A</v>
      </c>
      <c r="CJ594" s="615" t="e">
        <f t="shared" si="463"/>
        <v>#N/A</v>
      </c>
      <c r="CK594" s="615" t="e">
        <f t="shared" si="463"/>
        <v>#N/A</v>
      </c>
      <c r="CL594" s="615" t="e">
        <f t="shared" si="463"/>
        <v>#N/A</v>
      </c>
      <c r="CM594" s="615" t="e">
        <f t="shared" si="463"/>
        <v>#N/A</v>
      </c>
      <c r="CN594" s="615" t="e">
        <f t="shared" si="463"/>
        <v>#N/A</v>
      </c>
    </row>
    <row r="595" spans="8:92">
      <c r="H595" s="602" t="s">
        <v>940</v>
      </c>
      <c r="L595" s="618"/>
      <c r="M595" s="600"/>
      <c r="N595" s="615"/>
      <c r="O595" s="615"/>
      <c r="P595" s="615"/>
      <c r="Q595" s="615"/>
      <c r="R595" s="615"/>
      <c r="S595" s="615"/>
    </row>
    <row r="596" spans="8:92">
      <c r="H596" s="602" t="s">
        <v>940</v>
      </c>
      <c r="L596" s="618" t="s">
        <v>1300</v>
      </c>
      <c r="M596" s="600" t="s">
        <v>974</v>
      </c>
      <c r="N596" s="615" t="e">
        <f>SUM(U596:AF596)</f>
        <v>#N/A</v>
      </c>
      <c r="O596" s="615" t="e">
        <f>SUM(AG596:AR596)</f>
        <v>#N/A</v>
      </c>
      <c r="P596" s="615" t="e">
        <f>SUM(AS596:BD596)</f>
        <v>#N/A</v>
      </c>
      <c r="Q596" s="615" t="e">
        <f>SUM(BE596:BP596)</f>
        <v>#N/A</v>
      </c>
      <c r="R596" s="615" t="e">
        <f>SUM(BQ596:CB596)</f>
        <v>#N/A</v>
      </c>
      <c r="S596" s="615" t="e">
        <f>SUM(CC596:CN596)</f>
        <v>#N/A</v>
      </c>
      <c r="U596" s="616" t="e">
        <f t="shared" ref="U596:AF596" si="464">U591*N$427</f>
        <v>#N/A</v>
      </c>
      <c r="V596" s="616" t="e">
        <f t="shared" si="464"/>
        <v>#N/A</v>
      </c>
      <c r="W596" s="616" t="e">
        <f t="shared" si="464"/>
        <v>#N/A</v>
      </c>
      <c r="X596" s="616" t="e">
        <f t="shared" si="464"/>
        <v>#N/A</v>
      </c>
      <c r="Y596" s="616" t="e">
        <f t="shared" si="464"/>
        <v>#N/A</v>
      </c>
      <c r="Z596" s="616" t="e">
        <f t="shared" si="464"/>
        <v>#N/A</v>
      </c>
      <c r="AA596" s="616" t="e">
        <f t="shared" si="464"/>
        <v>#N/A</v>
      </c>
      <c r="AB596" s="616" t="e">
        <f t="shared" si="464"/>
        <v>#N/A</v>
      </c>
      <c r="AC596" s="616" t="e">
        <f t="shared" si="464"/>
        <v>#N/A</v>
      </c>
      <c r="AD596" s="616" t="e">
        <f t="shared" si="464"/>
        <v>#N/A</v>
      </c>
      <c r="AE596" s="616" t="e">
        <f t="shared" si="464"/>
        <v>#N/A</v>
      </c>
      <c r="AF596" s="616" t="e">
        <f t="shared" si="464"/>
        <v>#N/A</v>
      </c>
      <c r="AG596" s="616" t="e">
        <f t="shared" ref="AG596:AR596" si="465">AG591*N$427</f>
        <v>#N/A</v>
      </c>
      <c r="AH596" s="616" t="e">
        <f t="shared" si="465"/>
        <v>#N/A</v>
      </c>
      <c r="AI596" s="616" t="e">
        <f t="shared" si="465"/>
        <v>#N/A</v>
      </c>
      <c r="AJ596" s="616" t="e">
        <f t="shared" si="465"/>
        <v>#N/A</v>
      </c>
      <c r="AK596" s="616" t="e">
        <f t="shared" si="465"/>
        <v>#N/A</v>
      </c>
      <c r="AL596" s="616" t="e">
        <f t="shared" si="465"/>
        <v>#N/A</v>
      </c>
      <c r="AM596" s="616" t="e">
        <f t="shared" si="465"/>
        <v>#N/A</v>
      </c>
      <c r="AN596" s="616" t="e">
        <f t="shared" si="465"/>
        <v>#N/A</v>
      </c>
      <c r="AO596" s="616" t="e">
        <f t="shared" si="465"/>
        <v>#N/A</v>
      </c>
      <c r="AP596" s="616" t="e">
        <f t="shared" si="465"/>
        <v>#N/A</v>
      </c>
      <c r="AQ596" s="616" t="e">
        <f t="shared" si="465"/>
        <v>#N/A</v>
      </c>
      <c r="AR596" s="616" t="e">
        <f t="shared" si="465"/>
        <v>#N/A</v>
      </c>
      <c r="AS596" s="616" t="e">
        <f t="shared" ref="AS596:BD596" si="466">AS591*N$427</f>
        <v>#N/A</v>
      </c>
      <c r="AT596" s="616" t="e">
        <f t="shared" si="466"/>
        <v>#N/A</v>
      </c>
      <c r="AU596" s="616" t="e">
        <f t="shared" si="466"/>
        <v>#N/A</v>
      </c>
      <c r="AV596" s="616" t="e">
        <f t="shared" si="466"/>
        <v>#N/A</v>
      </c>
      <c r="AW596" s="616" t="e">
        <f t="shared" si="466"/>
        <v>#N/A</v>
      </c>
      <c r="AX596" s="616" t="e">
        <f t="shared" si="466"/>
        <v>#N/A</v>
      </c>
      <c r="AY596" s="616" t="e">
        <f t="shared" si="466"/>
        <v>#N/A</v>
      </c>
      <c r="AZ596" s="616" t="e">
        <f t="shared" si="466"/>
        <v>#N/A</v>
      </c>
      <c r="BA596" s="616" t="e">
        <f t="shared" si="466"/>
        <v>#N/A</v>
      </c>
      <c r="BB596" s="616" t="e">
        <f t="shared" si="466"/>
        <v>#N/A</v>
      </c>
      <c r="BC596" s="616" t="e">
        <f t="shared" si="466"/>
        <v>#N/A</v>
      </c>
      <c r="BD596" s="616" t="e">
        <f t="shared" si="466"/>
        <v>#N/A</v>
      </c>
      <c r="BE596" s="616" t="e">
        <f t="shared" ref="BE596:BP596" si="467">BE591*N$427</f>
        <v>#N/A</v>
      </c>
      <c r="BF596" s="616" t="e">
        <f t="shared" si="467"/>
        <v>#N/A</v>
      </c>
      <c r="BG596" s="616" t="e">
        <f t="shared" si="467"/>
        <v>#N/A</v>
      </c>
      <c r="BH596" s="616" t="e">
        <f t="shared" si="467"/>
        <v>#N/A</v>
      </c>
      <c r="BI596" s="616" t="e">
        <f t="shared" si="467"/>
        <v>#N/A</v>
      </c>
      <c r="BJ596" s="616" t="e">
        <f t="shared" si="467"/>
        <v>#N/A</v>
      </c>
      <c r="BK596" s="616" t="e">
        <f t="shared" si="467"/>
        <v>#N/A</v>
      </c>
      <c r="BL596" s="616" t="e">
        <f t="shared" si="467"/>
        <v>#N/A</v>
      </c>
      <c r="BM596" s="616" t="e">
        <f t="shared" si="467"/>
        <v>#N/A</v>
      </c>
      <c r="BN596" s="616" t="e">
        <f t="shared" si="467"/>
        <v>#N/A</v>
      </c>
      <c r="BO596" s="616" t="e">
        <f t="shared" si="467"/>
        <v>#N/A</v>
      </c>
      <c r="BP596" s="616" t="e">
        <f t="shared" si="467"/>
        <v>#N/A</v>
      </c>
      <c r="BQ596" s="616" t="e">
        <f t="shared" ref="BQ596:CB596" si="468">BQ591*N$427</f>
        <v>#N/A</v>
      </c>
      <c r="BR596" s="616" t="e">
        <f t="shared" si="468"/>
        <v>#N/A</v>
      </c>
      <c r="BS596" s="616" t="e">
        <f t="shared" si="468"/>
        <v>#N/A</v>
      </c>
      <c r="BT596" s="616" t="e">
        <f t="shared" si="468"/>
        <v>#N/A</v>
      </c>
      <c r="BU596" s="616" t="e">
        <f t="shared" si="468"/>
        <v>#N/A</v>
      </c>
      <c r="BV596" s="616" t="e">
        <f t="shared" si="468"/>
        <v>#N/A</v>
      </c>
      <c r="BW596" s="616" t="e">
        <f t="shared" si="468"/>
        <v>#N/A</v>
      </c>
      <c r="BX596" s="616" t="e">
        <f t="shared" si="468"/>
        <v>#N/A</v>
      </c>
      <c r="BY596" s="616" t="e">
        <f t="shared" si="468"/>
        <v>#N/A</v>
      </c>
      <c r="BZ596" s="616" t="e">
        <f t="shared" si="468"/>
        <v>#N/A</v>
      </c>
      <c r="CA596" s="616" t="e">
        <f t="shared" si="468"/>
        <v>#N/A</v>
      </c>
      <c r="CB596" s="616" t="e">
        <f t="shared" si="468"/>
        <v>#N/A</v>
      </c>
      <c r="CC596" s="616" t="e">
        <f t="shared" ref="CC596:CN596" si="469">CC591*N$427</f>
        <v>#N/A</v>
      </c>
      <c r="CD596" s="616" t="e">
        <f t="shared" si="469"/>
        <v>#N/A</v>
      </c>
      <c r="CE596" s="616" t="e">
        <f t="shared" si="469"/>
        <v>#N/A</v>
      </c>
      <c r="CF596" s="616" t="e">
        <f t="shared" si="469"/>
        <v>#N/A</v>
      </c>
      <c r="CG596" s="616" t="e">
        <f t="shared" si="469"/>
        <v>#N/A</v>
      </c>
      <c r="CH596" s="616" t="e">
        <f t="shared" si="469"/>
        <v>#N/A</v>
      </c>
      <c r="CI596" s="616" t="e">
        <f t="shared" si="469"/>
        <v>#N/A</v>
      </c>
      <c r="CJ596" s="616" t="e">
        <f t="shared" si="469"/>
        <v>#N/A</v>
      </c>
      <c r="CK596" s="616" t="e">
        <f t="shared" si="469"/>
        <v>#N/A</v>
      </c>
      <c r="CL596" s="616" t="e">
        <f t="shared" si="469"/>
        <v>#N/A</v>
      </c>
      <c r="CM596" s="616" t="e">
        <f t="shared" si="469"/>
        <v>#N/A</v>
      </c>
      <c r="CN596" s="616" t="e">
        <f t="shared" si="469"/>
        <v>#N/A</v>
      </c>
    </row>
    <row r="597" spans="8:92">
      <c r="H597" s="602" t="s">
        <v>940</v>
      </c>
      <c r="L597" s="618" t="s">
        <v>1301</v>
      </c>
      <c r="M597" s="600" t="s">
        <v>974</v>
      </c>
      <c r="N597" s="615" t="e">
        <f>SUM(U597:AF597)</f>
        <v>#N/A</v>
      </c>
      <c r="O597" s="615" t="e">
        <f>SUM(AG597:AR597)</f>
        <v>#N/A</v>
      </c>
      <c r="P597" s="615" t="e">
        <f>SUM(AS597:BD597)</f>
        <v>#N/A</v>
      </c>
      <c r="Q597" s="615" t="e">
        <f>SUM(BE597:BP597)</f>
        <v>#N/A</v>
      </c>
      <c r="R597" s="615" t="e">
        <f>SUM(BQ597:CB597)</f>
        <v>#N/A</v>
      </c>
      <c r="S597" s="615" t="e">
        <f>SUM(CC597:CN597)</f>
        <v>#N/A</v>
      </c>
      <c r="U597" s="616" t="e">
        <f t="shared" ref="U597:AF597" si="470">U592*N$428</f>
        <v>#N/A</v>
      </c>
      <c r="V597" s="616" t="e">
        <f t="shared" si="470"/>
        <v>#N/A</v>
      </c>
      <c r="W597" s="616" t="e">
        <f t="shared" si="470"/>
        <v>#N/A</v>
      </c>
      <c r="X597" s="616" t="e">
        <f t="shared" si="470"/>
        <v>#N/A</v>
      </c>
      <c r="Y597" s="616" t="e">
        <f t="shared" si="470"/>
        <v>#N/A</v>
      </c>
      <c r="Z597" s="616" t="e">
        <f t="shared" si="470"/>
        <v>#N/A</v>
      </c>
      <c r="AA597" s="616" t="e">
        <f t="shared" si="470"/>
        <v>#N/A</v>
      </c>
      <c r="AB597" s="616" t="e">
        <f t="shared" si="470"/>
        <v>#N/A</v>
      </c>
      <c r="AC597" s="616" t="e">
        <f t="shared" si="470"/>
        <v>#N/A</v>
      </c>
      <c r="AD597" s="616" t="e">
        <f t="shared" si="470"/>
        <v>#N/A</v>
      </c>
      <c r="AE597" s="616" t="e">
        <f t="shared" si="470"/>
        <v>#N/A</v>
      </c>
      <c r="AF597" s="616" t="e">
        <f t="shared" si="470"/>
        <v>#N/A</v>
      </c>
      <c r="AG597" s="616" t="e">
        <f t="shared" ref="AG597:AR597" si="471">AG592*N$428</f>
        <v>#N/A</v>
      </c>
      <c r="AH597" s="616" t="e">
        <f t="shared" si="471"/>
        <v>#N/A</v>
      </c>
      <c r="AI597" s="616" t="e">
        <f t="shared" si="471"/>
        <v>#N/A</v>
      </c>
      <c r="AJ597" s="616" t="e">
        <f t="shared" si="471"/>
        <v>#N/A</v>
      </c>
      <c r="AK597" s="616" t="e">
        <f t="shared" si="471"/>
        <v>#N/A</v>
      </c>
      <c r="AL597" s="616" t="e">
        <f t="shared" si="471"/>
        <v>#N/A</v>
      </c>
      <c r="AM597" s="616" t="e">
        <f t="shared" si="471"/>
        <v>#N/A</v>
      </c>
      <c r="AN597" s="616" t="e">
        <f t="shared" si="471"/>
        <v>#N/A</v>
      </c>
      <c r="AO597" s="616" t="e">
        <f t="shared" si="471"/>
        <v>#N/A</v>
      </c>
      <c r="AP597" s="616" t="e">
        <f t="shared" si="471"/>
        <v>#N/A</v>
      </c>
      <c r="AQ597" s="616" t="e">
        <f t="shared" si="471"/>
        <v>#N/A</v>
      </c>
      <c r="AR597" s="616" t="e">
        <f t="shared" si="471"/>
        <v>#N/A</v>
      </c>
      <c r="AS597" s="616" t="e">
        <f t="shared" ref="AS597:BD597" si="472">AS592*N$428</f>
        <v>#N/A</v>
      </c>
      <c r="AT597" s="616" t="e">
        <f t="shared" si="472"/>
        <v>#N/A</v>
      </c>
      <c r="AU597" s="616" t="e">
        <f t="shared" si="472"/>
        <v>#N/A</v>
      </c>
      <c r="AV597" s="616" t="e">
        <f t="shared" si="472"/>
        <v>#N/A</v>
      </c>
      <c r="AW597" s="616" t="e">
        <f t="shared" si="472"/>
        <v>#N/A</v>
      </c>
      <c r="AX597" s="616" t="e">
        <f t="shared" si="472"/>
        <v>#N/A</v>
      </c>
      <c r="AY597" s="616" t="e">
        <f t="shared" si="472"/>
        <v>#N/A</v>
      </c>
      <c r="AZ597" s="616" t="e">
        <f t="shared" si="472"/>
        <v>#N/A</v>
      </c>
      <c r="BA597" s="616" t="e">
        <f t="shared" si="472"/>
        <v>#N/A</v>
      </c>
      <c r="BB597" s="616" t="e">
        <f t="shared" si="472"/>
        <v>#N/A</v>
      </c>
      <c r="BC597" s="616" t="e">
        <f t="shared" si="472"/>
        <v>#N/A</v>
      </c>
      <c r="BD597" s="616" t="e">
        <f t="shared" si="472"/>
        <v>#N/A</v>
      </c>
      <c r="BE597" s="616" t="e">
        <f t="shared" ref="BE597:BP597" si="473">BE592*N$428</f>
        <v>#N/A</v>
      </c>
      <c r="BF597" s="616" t="e">
        <f t="shared" si="473"/>
        <v>#N/A</v>
      </c>
      <c r="BG597" s="616" t="e">
        <f t="shared" si="473"/>
        <v>#N/A</v>
      </c>
      <c r="BH597" s="616" t="e">
        <f t="shared" si="473"/>
        <v>#N/A</v>
      </c>
      <c r="BI597" s="616" t="e">
        <f t="shared" si="473"/>
        <v>#N/A</v>
      </c>
      <c r="BJ597" s="616" t="e">
        <f t="shared" si="473"/>
        <v>#N/A</v>
      </c>
      <c r="BK597" s="616" t="e">
        <f t="shared" si="473"/>
        <v>#N/A</v>
      </c>
      <c r="BL597" s="616" t="e">
        <f t="shared" si="473"/>
        <v>#N/A</v>
      </c>
      <c r="BM597" s="616" t="e">
        <f t="shared" si="473"/>
        <v>#N/A</v>
      </c>
      <c r="BN597" s="616" t="e">
        <f t="shared" si="473"/>
        <v>#N/A</v>
      </c>
      <c r="BO597" s="616" t="e">
        <f t="shared" si="473"/>
        <v>#N/A</v>
      </c>
      <c r="BP597" s="616" t="e">
        <f t="shared" si="473"/>
        <v>#N/A</v>
      </c>
      <c r="BQ597" s="616" t="e">
        <f t="shared" ref="BQ597:CB597" si="474">BQ592*N$428</f>
        <v>#N/A</v>
      </c>
      <c r="BR597" s="616" t="e">
        <f t="shared" si="474"/>
        <v>#N/A</v>
      </c>
      <c r="BS597" s="616" t="e">
        <f t="shared" si="474"/>
        <v>#N/A</v>
      </c>
      <c r="BT597" s="616" t="e">
        <f t="shared" si="474"/>
        <v>#N/A</v>
      </c>
      <c r="BU597" s="616" t="e">
        <f t="shared" si="474"/>
        <v>#N/A</v>
      </c>
      <c r="BV597" s="616" t="e">
        <f t="shared" si="474"/>
        <v>#N/A</v>
      </c>
      <c r="BW597" s="616" t="e">
        <f t="shared" si="474"/>
        <v>#N/A</v>
      </c>
      <c r="BX597" s="616" t="e">
        <f t="shared" si="474"/>
        <v>#N/A</v>
      </c>
      <c r="BY597" s="616" t="e">
        <f t="shared" si="474"/>
        <v>#N/A</v>
      </c>
      <c r="BZ597" s="616" t="e">
        <f t="shared" si="474"/>
        <v>#N/A</v>
      </c>
      <c r="CA597" s="616" t="e">
        <f t="shared" si="474"/>
        <v>#N/A</v>
      </c>
      <c r="CB597" s="616" t="e">
        <f t="shared" si="474"/>
        <v>#N/A</v>
      </c>
      <c r="CC597" s="616" t="e">
        <f t="shared" ref="CC597:CN597" si="475">CC592*N$428</f>
        <v>#N/A</v>
      </c>
      <c r="CD597" s="616" t="e">
        <f t="shared" si="475"/>
        <v>#N/A</v>
      </c>
      <c r="CE597" s="616" t="e">
        <f t="shared" si="475"/>
        <v>#N/A</v>
      </c>
      <c r="CF597" s="616" t="e">
        <f t="shared" si="475"/>
        <v>#N/A</v>
      </c>
      <c r="CG597" s="616" t="e">
        <f t="shared" si="475"/>
        <v>#N/A</v>
      </c>
      <c r="CH597" s="616" t="e">
        <f t="shared" si="475"/>
        <v>#N/A</v>
      </c>
      <c r="CI597" s="616" t="e">
        <f t="shared" si="475"/>
        <v>#N/A</v>
      </c>
      <c r="CJ597" s="616" t="e">
        <f t="shared" si="475"/>
        <v>#N/A</v>
      </c>
      <c r="CK597" s="616" t="e">
        <f t="shared" si="475"/>
        <v>#N/A</v>
      </c>
      <c r="CL597" s="616" t="e">
        <f t="shared" si="475"/>
        <v>#N/A</v>
      </c>
      <c r="CM597" s="616" t="e">
        <f t="shared" si="475"/>
        <v>#N/A</v>
      </c>
      <c r="CN597" s="616" t="e">
        <f t="shared" si="475"/>
        <v>#N/A</v>
      </c>
    </row>
    <row r="598" spans="8:92">
      <c r="H598" s="602" t="s">
        <v>940</v>
      </c>
      <c r="L598" s="618" t="s">
        <v>1302</v>
      </c>
      <c r="M598" s="600" t="s">
        <v>974</v>
      </c>
      <c r="N598" s="615" t="e">
        <f>SUM(U598:AF598)</f>
        <v>#N/A</v>
      </c>
      <c r="O598" s="615" t="e">
        <f>SUM(AG598:AR598)</f>
        <v>#N/A</v>
      </c>
      <c r="P598" s="615" t="e">
        <f>SUM(AS598:BD598)</f>
        <v>#N/A</v>
      </c>
      <c r="Q598" s="615" t="e">
        <f>SUM(BE598:BP598)</f>
        <v>#N/A</v>
      </c>
      <c r="R598" s="615" t="e">
        <f>SUM(BQ598:CB598)</f>
        <v>#N/A</v>
      </c>
      <c r="S598" s="615" t="e">
        <f>SUM(CC598:CN598)</f>
        <v>#N/A</v>
      </c>
      <c r="U598" s="616" t="e">
        <f t="shared" ref="U598:AF598" si="476">U593*N$429</f>
        <v>#N/A</v>
      </c>
      <c r="V598" s="616" t="e">
        <f t="shared" si="476"/>
        <v>#N/A</v>
      </c>
      <c r="W598" s="616" t="e">
        <f t="shared" si="476"/>
        <v>#N/A</v>
      </c>
      <c r="X598" s="616" t="e">
        <f t="shared" si="476"/>
        <v>#N/A</v>
      </c>
      <c r="Y598" s="616" t="e">
        <f t="shared" si="476"/>
        <v>#N/A</v>
      </c>
      <c r="Z598" s="616" t="e">
        <f t="shared" si="476"/>
        <v>#N/A</v>
      </c>
      <c r="AA598" s="616" t="e">
        <f t="shared" si="476"/>
        <v>#N/A</v>
      </c>
      <c r="AB598" s="616" t="e">
        <f t="shared" si="476"/>
        <v>#N/A</v>
      </c>
      <c r="AC598" s="616" t="e">
        <f t="shared" si="476"/>
        <v>#N/A</v>
      </c>
      <c r="AD598" s="616" t="e">
        <f t="shared" si="476"/>
        <v>#N/A</v>
      </c>
      <c r="AE598" s="616" t="e">
        <f t="shared" si="476"/>
        <v>#N/A</v>
      </c>
      <c r="AF598" s="616" t="e">
        <f t="shared" si="476"/>
        <v>#N/A</v>
      </c>
      <c r="AG598" s="616" t="e">
        <f t="shared" ref="AG598:AR598" si="477">AG593*N$429</f>
        <v>#N/A</v>
      </c>
      <c r="AH598" s="616" t="e">
        <f t="shared" si="477"/>
        <v>#N/A</v>
      </c>
      <c r="AI598" s="616" t="e">
        <f t="shared" si="477"/>
        <v>#N/A</v>
      </c>
      <c r="AJ598" s="616" t="e">
        <f t="shared" si="477"/>
        <v>#N/A</v>
      </c>
      <c r="AK598" s="616" t="e">
        <f t="shared" si="477"/>
        <v>#N/A</v>
      </c>
      <c r="AL598" s="616" t="e">
        <f t="shared" si="477"/>
        <v>#N/A</v>
      </c>
      <c r="AM598" s="616" t="e">
        <f t="shared" si="477"/>
        <v>#N/A</v>
      </c>
      <c r="AN598" s="616" t="e">
        <f t="shared" si="477"/>
        <v>#N/A</v>
      </c>
      <c r="AO598" s="616" t="e">
        <f t="shared" si="477"/>
        <v>#N/A</v>
      </c>
      <c r="AP598" s="616" t="e">
        <f t="shared" si="477"/>
        <v>#N/A</v>
      </c>
      <c r="AQ598" s="616" t="e">
        <f t="shared" si="477"/>
        <v>#N/A</v>
      </c>
      <c r="AR598" s="616" t="e">
        <f t="shared" si="477"/>
        <v>#N/A</v>
      </c>
      <c r="AS598" s="616" t="e">
        <f t="shared" ref="AS598:BD598" si="478">AS593*N$429</f>
        <v>#N/A</v>
      </c>
      <c r="AT598" s="616" t="e">
        <f t="shared" si="478"/>
        <v>#N/A</v>
      </c>
      <c r="AU598" s="616" t="e">
        <f t="shared" si="478"/>
        <v>#N/A</v>
      </c>
      <c r="AV598" s="616" t="e">
        <f t="shared" si="478"/>
        <v>#N/A</v>
      </c>
      <c r="AW598" s="616" t="e">
        <f t="shared" si="478"/>
        <v>#N/A</v>
      </c>
      <c r="AX598" s="616" t="e">
        <f t="shared" si="478"/>
        <v>#N/A</v>
      </c>
      <c r="AY598" s="616" t="e">
        <f t="shared" si="478"/>
        <v>#N/A</v>
      </c>
      <c r="AZ598" s="616" t="e">
        <f t="shared" si="478"/>
        <v>#N/A</v>
      </c>
      <c r="BA598" s="616" t="e">
        <f t="shared" si="478"/>
        <v>#N/A</v>
      </c>
      <c r="BB598" s="616" t="e">
        <f t="shared" si="478"/>
        <v>#N/A</v>
      </c>
      <c r="BC598" s="616" t="e">
        <f t="shared" si="478"/>
        <v>#N/A</v>
      </c>
      <c r="BD598" s="616" t="e">
        <f t="shared" si="478"/>
        <v>#N/A</v>
      </c>
      <c r="BE598" s="616" t="e">
        <f t="shared" ref="BE598:BP598" si="479">BE593*N$429</f>
        <v>#N/A</v>
      </c>
      <c r="BF598" s="616" t="e">
        <f t="shared" si="479"/>
        <v>#N/A</v>
      </c>
      <c r="BG598" s="616" t="e">
        <f t="shared" si="479"/>
        <v>#N/A</v>
      </c>
      <c r="BH598" s="616" t="e">
        <f t="shared" si="479"/>
        <v>#N/A</v>
      </c>
      <c r="BI598" s="616" t="e">
        <f t="shared" si="479"/>
        <v>#N/A</v>
      </c>
      <c r="BJ598" s="616" t="e">
        <f t="shared" si="479"/>
        <v>#N/A</v>
      </c>
      <c r="BK598" s="616" t="e">
        <f t="shared" si="479"/>
        <v>#N/A</v>
      </c>
      <c r="BL598" s="616" t="e">
        <f t="shared" si="479"/>
        <v>#N/A</v>
      </c>
      <c r="BM598" s="616" t="e">
        <f t="shared" si="479"/>
        <v>#N/A</v>
      </c>
      <c r="BN598" s="616" t="e">
        <f t="shared" si="479"/>
        <v>#N/A</v>
      </c>
      <c r="BO598" s="616" t="e">
        <f t="shared" si="479"/>
        <v>#N/A</v>
      </c>
      <c r="BP598" s="616" t="e">
        <f t="shared" si="479"/>
        <v>#N/A</v>
      </c>
      <c r="BQ598" s="616" t="e">
        <f t="shared" ref="BQ598:CB598" si="480">BQ593*N$429</f>
        <v>#N/A</v>
      </c>
      <c r="BR598" s="616" t="e">
        <f t="shared" si="480"/>
        <v>#N/A</v>
      </c>
      <c r="BS598" s="616" t="e">
        <f t="shared" si="480"/>
        <v>#N/A</v>
      </c>
      <c r="BT598" s="616" t="e">
        <f t="shared" si="480"/>
        <v>#N/A</v>
      </c>
      <c r="BU598" s="616" t="e">
        <f t="shared" si="480"/>
        <v>#N/A</v>
      </c>
      <c r="BV598" s="616" t="e">
        <f t="shared" si="480"/>
        <v>#N/A</v>
      </c>
      <c r="BW598" s="616" t="e">
        <f t="shared" si="480"/>
        <v>#N/A</v>
      </c>
      <c r="BX598" s="616" t="e">
        <f t="shared" si="480"/>
        <v>#N/A</v>
      </c>
      <c r="BY598" s="616" t="e">
        <f t="shared" si="480"/>
        <v>#N/A</v>
      </c>
      <c r="BZ598" s="616" t="e">
        <f t="shared" si="480"/>
        <v>#N/A</v>
      </c>
      <c r="CA598" s="616" t="e">
        <f t="shared" si="480"/>
        <v>#N/A</v>
      </c>
      <c r="CB598" s="616" t="e">
        <f t="shared" si="480"/>
        <v>#N/A</v>
      </c>
      <c r="CC598" s="616" t="e">
        <f t="shared" ref="CC598:CN598" si="481">CC593*N$429</f>
        <v>#N/A</v>
      </c>
      <c r="CD598" s="616" t="e">
        <f t="shared" si="481"/>
        <v>#N/A</v>
      </c>
      <c r="CE598" s="616" t="e">
        <f t="shared" si="481"/>
        <v>#N/A</v>
      </c>
      <c r="CF598" s="616" t="e">
        <f t="shared" si="481"/>
        <v>#N/A</v>
      </c>
      <c r="CG598" s="616" t="e">
        <f t="shared" si="481"/>
        <v>#N/A</v>
      </c>
      <c r="CH598" s="616" t="e">
        <f t="shared" si="481"/>
        <v>#N/A</v>
      </c>
      <c r="CI598" s="616" t="e">
        <f t="shared" si="481"/>
        <v>#N/A</v>
      </c>
      <c r="CJ598" s="616" t="e">
        <f t="shared" si="481"/>
        <v>#N/A</v>
      </c>
      <c r="CK598" s="616" t="e">
        <f t="shared" si="481"/>
        <v>#N/A</v>
      </c>
      <c r="CL598" s="616" t="e">
        <f t="shared" si="481"/>
        <v>#N/A</v>
      </c>
      <c r="CM598" s="616" t="e">
        <f t="shared" si="481"/>
        <v>#N/A</v>
      </c>
      <c r="CN598" s="616" t="e">
        <f t="shared" si="481"/>
        <v>#N/A</v>
      </c>
    </row>
    <row r="599" spans="8:92">
      <c r="H599" s="602" t="s">
        <v>940</v>
      </c>
      <c r="L599" s="618" t="s">
        <v>1303</v>
      </c>
      <c r="M599" s="600" t="s">
        <v>974</v>
      </c>
      <c r="N599" s="615" t="e">
        <f>SUM(U599:AF599)</f>
        <v>#N/A</v>
      </c>
      <c r="O599" s="615" t="e">
        <f>SUM(AG599:AR599)</f>
        <v>#N/A</v>
      </c>
      <c r="P599" s="615" t="e">
        <f>SUM(AS599:BD599)</f>
        <v>#N/A</v>
      </c>
      <c r="Q599" s="615" t="e">
        <f>SUM(BE599:BP599)</f>
        <v>#N/A</v>
      </c>
      <c r="R599" s="615" t="e">
        <f>SUM(BQ599:CB599)</f>
        <v>#N/A</v>
      </c>
      <c r="S599" s="615" t="e">
        <f>SUM(CC599:CN599)</f>
        <v>#N/A</v>
      </c>
      <c r="U599" s="616" t="e">
        <f t="shared" ref="U599:AF599" si="482">U594*N$430</f>
        <v>#N/A</v>
      </c>
      <c r="V599" s="616" t="e">
        <f t="shared" si="482"/>
        <v>#N/A</v>
      </c>
      <c r="W599" s="616" t="e">
        <f t="shared" si="482"/>
        <v>#N/A</v>
      </c>
      <c r="X599" s="616" t="e">
        <f t="shared" si="482"/>
        <v>#N/A</v>
      </c>
      <c r="Y599" s="616" t="e">
        <f t="shared" si="482"/>
        <v>#N/A</v>
      </c>
      <c r="Z599" s="616" t="e">
        <f t="shared" si="482"/>
        <v>#N/A</v>
      </c>
      <c r="AA599" s="616" t="e">
        <f t="shared" si="482"/>
        <v>#N/A</v>
      </c>
      <c r="AB599" s="616" t="e">
        <f t="shared" si="482"/>
        <v>#N/A</v>
      </c>
      <c r="AC599" s="616" t="e">
        <f t="shared" si="482"/>
        <v>#N/A</v>
      </c>
      <c r="AD599" s="616" t="e">
        <f t="shared" si="482"/>
        <v>#N/A</v>
      </c>
      <c r="AE599" s="616" t="e">
        <f t="shared" si="482"/>
        <v>#N/A</v>
      </c>
      <c r="AF599" s="616" t="e">
        <f t="shared" si="482"/>
        <v>#N/A</v>
      </c>
      <c r="AG599" s="616" t="e">
        <f t="shared" ref="AG599:AR599" si="483">AG594*N$430</f>
        <v>#N/A</v>
      </c>
      <c r="AH599" s="616" t="e">
        <f t="shared" si="483"/>
        <v>#N/A</v>
      </c>
      <c r="AI599" s="616" t="e">
        <f t="shared" si="483"/>
        <v>#N/A</v>
      </c>
      <c r="AJ599" s="616" t="e">
        <f t="shared" si="483"/>
        <v>#N/A</v>
      </c>
      <c r="AK599" s="616" t="e">
        <f t="shared" si="483"/>
        <v>#N/A</v>
      </c>
      <c r="AL599" s="616" t="e">
        <f t="shared" si="483"/>
        <v>#N/A</v>
      </c>
      <c r="AM599" s="616" t="e">
        <f t="shared" si="483"/>
        <v>#N/A</v>
      </c>
      <c r="AN599" s="616" t="e">
        <f t="shared" si="483"/>
        <v>#N/A</v>
      </c>
      <c r="AO599" s="616" t="e">
        <f t="shared" si="483"/>
        <v>#N/A</v>
      </c>
      <c r="AP599" s="616" t="e">
        <f t="shared" si="483"/>
        <v>#N/A</v>
      </c>
      <c r="AQ599" s="616" t="e">
        <f t="shared" si="483"/>
        <v>#N/A</v>
      </c>
      <c r="AR599" s="616" t="e">
        <f t="shared" si="483"/>
        <v>#N/A</v>
      </c>
      <c r="AS599" s="616" t="e">
        <f t="shared" ref="AS599:BD599" si="484">AS594*N$430</f>
        <v>#N/A</v>
      </c>
      <c r="AT599" s="616" t="e">
        <f t="shared" si="484"/>
        <v>#N/A</v>
      </c>
      <c r="AU599" s="616" t="e">
        <f t="shared" si="484"/>
        <v>#N/A</v>
      </c>
      <c r="AV599" s="616" t="e">
        <f t="shared" si="484"/>
        <v>#N/A</v>
      </c>
      <c r="AW599" s="616" t="e">
        <f t="shared" si="484"/>
        <v>#N/A</v>
      </c>
      <c r="AX599" s="616" t="e">
        <f t="shared" si="484"/>
        <v>#N/A</v>
      </c>
      <c r="AY599" s="616" t="e">
        <f t="shared" si="484"/>
        <v>#N/A</v>
      </c>
      <c r="AZ599" s="616" t="e">
        <f t="shared" si="484"/>
        <v>#N/A</v>
      </c>
      <c r="BA599" s="616" t="e">
        <f t="shared" si="484"/>
        <v>#N/A</v>
      </c>
      <c r="BB599" s="616" t="e">
        <f t="shared" si="484"/>
        <v>#N/A</v>
      </c>
      <c r="BC599" s="616" t="e">
        <f t="shared" si="484"/>
        <v>#N/A</v>
      </c>
      <c r="BD599" s="616" t="e">
        <f t="shared" si="484"/>
        <v>#N/A</v>
      </c>
      <c r="BE599" s="616" t="e">
        <f t="shared" ref="BE599:BP599" si="485">BE594*N$430</f>
        <v>#N/A</v>
      </c>
      <c r="BF599" s="616" t="e">
        <f t="shared" si="485"/>
        <v>#N/A</v>
      </c>
      <c r="BG599" s="616" t="e">
        <f t="shared" si="485"/>
        <v>#N/A</v>
      </c>
      <c r="BH599" s="616" t="e">
        <f t="shared" si="485"/>
        <v>#N/A</v>
      </c>
      <c r="BI599" s="616" t="e">
        <f t="shared" si="485"/>
        <v>#N/A</v>
      </c>
      <c r="BJ599" s="616" t="e">
        <f t="shared" si="485"/>
        <v>#N/A</v>
      </c>
      <c r="BK599" s="616" t="e">
        <f t="shared" si="485"/>
        <v>#N/A</v>
      </c>
      <c r="BL599" s="616" t="e">
        <f t="shared" si="485"/>
        <v>#N/A</v>
      </c>
      <c r="BM599" s="616" t="e">
        <f t="shared" si="485"/>
        <v>#N/A</v>
      </c>
      <c r="BN599" s="616" t="e">
        <f t="shared" si="485"/>
        <v>#N/A</v>
      </c>
      <c r="BO599" s="616" t="e">
        <f t="shared" si="485"/>
        <v>#N/A</v>
      </c>
      <c r="BP599" s="616" t="e">
        <f t="shared" si="485"/>
        <v>#N/A</v>
      </c>
      <c r="BQ599" s="616" t="e">
        <f t="shared" ref="BQ599:CB599" si="486">BQ594*N$430</f>
        <v>#N/A</v>
      </c>
      <c r="BR599" s="616" t="e">
        <f t="shared" si="486"/>
        <v>#N/A</v>
      </c>
      <c r="BS599" s="616" t="e">
        <f t="shared" si="486"/>
        <v>#N/A</v>
      </c>
      <c r="BT599" s="616" t="e">
        <f t="shared" si="486"/>
        <v>#N/A</v>
      </c>
      <c r="BU599" s="616" t="e">
        <f t="shared" si="486"/>
        <v>#N/A</v>
      </c>
      <c r="BV599" s="616" t="e">
        <f t="shared" si="486"/>
        <v>#N/A</v>
      </c>
      <c r="BW599" s="616" t="e">
        <f t="shared" si="486"/>
        <v>#N/A</v>
      </c>
      <c r="BX599" s="616" t="e">
        <f t="shared" si="486"/>
        <v>#N/A</v>
      </c>
      <c r="BY599" s="616" t="e">
        <f t="shared" si="486"/>
        <v>#N/A</v>
      </c>
      <c r="BZ599" s="616" t="e">
        <f t="shared" si="486"/>
        <v>#N/A</v>
      </c>
      <c r="CA599" s="616" t="e">
        <f t="shared" si="486"/>
        <v>#N/A</v>
      </c>
      <c r="CB599" s="616" t="e">
        <f t="shared" si="486"/>
        <v>#N/A</v>
      </c>
      <c r="CC599" s="616" t="e">
        <f t="shared" ref="CC599:CN599" si="487">CC594*N$430</f>
        <v>#N/A</v>
      </c>
      <c r="CD599" s="616" t="e">
        <f t="shared" si="487"/>
        <v>#N/A</v>
      </c>
      <c r="CE599" s="616" t="e">
        <f t="shared" si="487"/>
        <v>#N/A</v>
      </c>
      <c r="CF599" s="616" t="e">
        <f t="shared" si="487"/>
        <v>#N/A</v>
      </c>
      <c r="CG599" s="616" t="e">
        <f t="shared" si="487"/>
        <v>#N/A</v>
      </c>
      <c r="CH599" s="616" t="e">
        <f t="shared" si="487"/>
        <v>#N/A</v>
      </c>
      <c r="CI599" s="616" t="e">
        <f t="shared" si="487"/>
        <v>#N/A</v>
      </c>
      <c r="CJ599" s="616" t="e">
        <f t="shared" si="487"/>
        <v>#N/A</v>
      </c>
      <c r="CK599" s="616" t="e">
        <f t="shared" si="487"/>
        <v>#N/A</v>
      </c>
      <c r="CL599" s="616" t="e">
        <f t="shared" si="487"/>
        <v>#N/A</v>
      </c>
      <c r="CM599" s="616" t="e">
        <f t="shared" si="487"/>
        <v>#N/A</v>
      </c>
      <c r="CN599" s="616" t="e">
        <f t="shared" si="487"/>
        <v>#N/A</v>
      </c>
    </row>
    <row r="600" spans="8:92">
      <c r="H600" s="602" t="s">
        <v>940</v>
      </c>
      <c r="L600" s="618"/>
      <c r="M600" s="600"/>
      <c r="N600" s="615"/>
      <c r="O600" s="615"/>
      <c r="P600" s="615"/>
      <c r="Q600" s="615"/>
      <c r="R600" s="615"/>
      <c r="S600" s="615"/>
      <c r="U600" s="616"/>
      <c r="V600" s="616"/>
      <c r="W600" s="616"/>
      <c r="X600" s="616"/>
      <c r="Y600" s="616"/>
      <c r="Z600" s="616"/>
      <c r="AA600" s="616"/>
      <c r="AB600" s="616"/>
      <c r="AC600" s="616"/>
      <c r="AD600" s="616"/>
      <c r="AE600" s="616"/>
      <c r="AF600" s="616"/>
      <c r="AG600" s="616"/>
      <c r="AH600" s="616"/>
      <c r="AI600" s="616"/>
      <c r="AJ600" s="616"/>
      <c r="AK600" s="616"/>
      <c r="AL600" s="616"/>
      <c r="AM600" s="616"/>
      <c r="AN600" s="616"/>
      <c r="AO600" s="616"/>
      <c r="AP600" s="616"/>
      <c r="AQ600" s="616"/>
      <c r="AR600" s="616"/>
      <c r="AS600" s="616"/>
      <c r="AT600" s="616"/>
      <c r="AU600" s="616"/>
      <c r="AV600" s="616"/>
      <c r="AW600" s="616"/>
      <c r="AX600" s="616"/>
      <c r="AY600" s="616"/>
      <c r="AZ600" s="616"/>
      <c r="BA600" s="616"/>
      <c r="BB600" s="616"/>
      <c r="BC600" s="616"/>
      <c r="BD600" s="616"/>
      <c r="BE600" s="616"/>
      <c r="BF600" s="616"/>
      <c r="BG600" s="616"/>
      <c r="BH600" s="616"/>
      <c r="BI600" s="616"/>
      <c r="BJ600" s="616"/>
      <c r="BK600" s="616"/>
      <c r="BL600" s="616"/>
      <c r="BM600" s="616"/>
      <c r="BN600" s="616"/>
      <c r="BO600" s="616"/>
      <c r="BP600" s="616"/>
      <c r="BQ600" s="616"/>
      <c r="BR600" s="616"/>
      <c r="BS600" s="616"/>
      <c r="BT600" s="616"/>
      <c r="BU600" s="616"/>
      <c r="BV600" s="616"/>
      <c r="BW600" s="616"/>
      <c r="BX600" s="616"/>
      <c r="BY600" s="616"/>
      <c r="BZ600" s="616"/>
      <c r="CA600" s="616"/>
      <c r="CB600" s="616"/>
      <c r="CC600" s="616"/>
      <c r="CD600" s="616"/>
      <c r="CE600" s="616"/>
      <c r="CF600" s="616"/>
      <c r="CG600" s="616"/>
      <c r="CH600" s="616"/>
      <c r="CI600" s="616"/>
      <c r="CJ600" s="616"/>
      <c r="CK600" s="616"/>
      <c r="CL600" s="616"/>
      <c r="CM600" s="616"/>
      <c r="CN600" s="616"/>
    </row>
    <row r="601" spans="8:92">
      <c r="H601" s="602" t="s">
        <v>940</v>
      </c>
      <c r="L601" s="618" t="s">
        <v>1247</v>
      </c>
      <c r="M601" s="600" t="s">
        <v>974</v>
      </c>
      <c r="N601" s="615">
        <f>SUM(U601:AF601)</f>
        <v>0</v>
      </c>
      <c r="O601" s="615">
        <f>SUM(AG601:AR601)</f>
        <v>0</v>
      </c>
      <c r="P601" s="615">
        <f>SUM(AS601:BD601)</f>
        <v>0</v>
      </c>
      <c r="Q601" s="615">
        <f>SUM(BE601:BP601)</f>
        <v>0</v>
      </c>
      <c r="R601" s="615">
        <f>SUM(BQ601:CB601)</f>
        <v>0</v>
      </c>
      <c r="S601" s="615">
        <f>SUM(CC601:CN601)</f>
        <v>0</v>
      </c>
      <c r="U601" s="616">
        <f t="shared" ref="U601:AF601" si="488">N$418</f>
        <v>0</v>
      </c>
      <c r="V601" s="616">
        <f t="shared" si="488"/>
        <v>0</v>
      </c>
      <c r="W601" s="616">
        <f t="shared" si="488"/>
        <v>0</v>
      </c>
      <c r="X601" s="616">
        <f t="shared" si="488"/>
        <v>0</v>
      </c>
      <c r="Y601" s="616">
        <f t="shared" si="488"/>
        <v>0</v>
      </c>
      <c r="Z601" s="616">
        <f t="shared" si="488"/>
        <v>0</v>
      </c>
      <c r="AA601" s="616">
        <f t="shared" si="488"/>
        <v>0</v>
      </c>
      <c r="AB601" s="616">
        <f t="shared" si="488"/>
        <v>0</v>
      </c>
      <c r="AC601" s="616">
        <f t="shared" si="488"/>
        <v>0</v>
      </c>
      <c r="AD601" s="616">
        <f t="shared" si="488"/>
        <v>0</v>
      </c>
      <c r="AE601" s="616">
        <f t="shared" si="488"/>
        <v>0</v>
      </c>
      <c r="AF601" s="616">
        <f t="shared" si="488"/>
        <v>0</v>
      </c>
      <c r="AG601" s="616">
        <f t="shared" ref="AG601:AR601" si="489">N$418</f>
        <v>0</v>
      </c>
      <c r="AH601" s="616">
        <f t="shared" si="489"/>
        <v>0</v>
      </c>
      <c r="AI601" s="616">
        <f t="shared" si="489"/>
        <v>0</v>
      </c>
      <c r="AJ601" s="616">
        <f t="shared" si="489"/>
        <v>0</v>
      </c>
      <c r="AK601" s="616">
        <f t="shared" si="489"/>
        <v>0</v>
      </c>
      <c r="AL601" s="616">
        <f t="shared" si="489"/>
        <v>0</v>
      </c>
      <c r="AM601" s="616">
        <f t="shared" si="489"/>
        <v>0</v>
      </c>
      <c r="AN601" s="616">
        <f t="shared" si="489"/>
        <v>0</v>
      </c>
      <c r="AO601" s="616">
        <f t="shared" si="489"/>
        <v>0</v>
      </c>
      <c r="AP601" s="616">
        <f t="shared" si="489"/>
        <v>0</v>
      </c>
      <c r="AQ601" s="616">
        <f t="shared" si="489"/>
        <v>0</v>
      </c>
      <c r="AR601" s="616">
        <f t="shared" si="489"/>
        <v>0</v>
      </c>
      <c r="AS601" s="616">
        <f t="shared" ref="AS601:BD601" si="490">N$418</f>
        <v>0</v>
      </c>
      <c r="AT601" s="616">
        <f t="shared" si="490"/>
        <v>0</v>
      </c>
      <c r="AU601" s="616">
        <f t="shared" si="490"/>
        <v>0</v>
      </c>
      <c r="AV601" s="616">
        <f t="shared" si="490"/>
        <v>0</v>
      </c>
      <c r="AW601" s="616">
        <f t="shared" si="490"/>
        <v>0</v>
      </c>
      <c r="AX601" s="616">
        <f t="shared" si="490"/>
        <v>0</v>
      </c>
      <c r="AY601" s="616">
        <f t="shared" si="490"/>
        <v>0</v>
      </c>
      <c r="AZ601" s="616">
        <f t="shared" si="490"/>
        <v>0</v>
      </c>
      <c r="BA601" s="616">
        <f t="shared" si="490"/>
        <v>0</v>
      </c>
      <c r="BB601" s="616">
        <f t="shared" si="490"/>
        <v>0</v>
      </c>
      <c r="BC601" s="616">
        <f t="shared" si="490"/>
        <v>0</v>
      </c>
      <c r="BD601" s="616">
        <f t="shared" si="490"/>
        <v>0</v>
      </c>
      <c r="BE601" s="616">
        <f t="shared" ref="BE601:BP601" si="491">N$418</f>
        <v>0</v>
      </c>
      <c r="BF601" s="616">
        <f t="shared" si="491"/>
        <v>0</v>
      </c>
      <c r="BG601" s="616">
        <f t="shared" si="491"/>
        <v>0</v>
      </c>
      <c r="BH601" s="616">
        <f t="shared" si="491"/>
        <v>0</v>
      </c>
      <c r="BI601" s="616">
        <f t="shared" si="491"/>
        <v>0</v>
      </c>
      <c r="BJ601" s="616">
        <f t="shared" si="491"/>
        <v>0</v>
      </c>
      <c r="BK601" s="616">
        <f t="shared" si="491"/>
        <v>0</v>
      </c>
      <c r="BL601" s="616">
        <f t="shared" si="491"/>
        <v>0</v>
      </c>
      <c r="BM601" s="616">
        <f t="shared" si="491"/>
        <v>0</v>
      </c>
      <c r="BN601" s="616">
        <f t="shared" si="491"/>
        <v>0</v>
      </c>
      <c r="BO601" s="616">
        <f t="shared" si="491"/>
        <v>0</v>
      </c>
      <c r="BP601" s="616">
        <f t="shared" si="491"/>
        <v>0</v>
      </c>
      <c r="BQ601" s="616">
        <f t="shared" ref="BQ601:CB601" si="492">N$418</f>
        <v>0</v>
      </c>
      <c r="BR601" s="616">
        <f t="shared" si="492"/>
        <v>0</v>
      </c>
      <c r="BS601" s="616">
        <f t="shared" si="492"/>
        <v>0</v>
      </c>
      <c r="BT601" s="616">
        <f t="shared" si="492"/>
        <v>0</v>
      </c>
      <c r="BU601" s="616">
        <f t="shared" si="492"/>
        <v>0</v>
      </c>
      <c r="BV601" s="616">
        <f t="shared" si="492"/>
        <v>0</v>
      </c>
      <c r="BW601" s="616">
        <f t="shared" si="492"/>
        <v>0</v>
      </c>
      <c r="BX601" s="616">
        <f t="shared" si="492"/>
        <v>0</v>
      </c>
      <c r="BY601" s="616">
        <f t="shared" si="492"/>
        <v>0</v>
      </c>
      <c r="BZ601" s="616">
        <f t="shared" si="492"/>
        <v>0</v>
      </c>
      <c r="CA601" s="616">
        <f t="shared" si="492"/>
        <v>0</v>
      </c>
      <c r="CB601" s="616">
        <f t="shared" si="492"/>
        <v>0</v>
      </c>
      <c r="CC601" s="616">
        <f t="shared" ref="CC601:CN601" si="493">N$418</f>
        <v>0</v>
      </c>
      <c r="CD601" s="616">
        <f t="shared" si="493"/>
        <v>0</v>
      </c>
      <c r="CE601" s="616">
        <f t="shared" si="493"/>
        <v>0</v>
      </c>
      <c r="CF601" s="616">
        <f t="shared" si="493"/>
        <v>0</v>
      </c>
      <c r="CG601" s="616">
        <f t="shared" si="493"/>
        <v>0</v>
      </c>
      <c r="CH601" s="616">
        <f t="shared" si="493"/>
        <v>0</v>
      </c>
      <c r="CI601" s="616">
        <f t="shared" si="493"/>
        <v>0</v>
      </c>
      <c r="CJ601" s="616">
        <f t="shared" si="493"/>
        <v>0</v>
      </c>
      <c r="CK601" s="616">
        <f t="shared" si="493"/>
        <v>0</v>
      </c>
      <c r="CL601" s="616">
        <f t="shared" si="493"/>
        <v>0</v>
      </c>
      <c r="CM601" s="616">
        <f t="shared" si="493"/>
        <v>0</v>
      </c>
      <c r="CN601" s="616">
        <f t="shared" si="493"/>
        <v>0</v>
      </c>
    </row>
    <row r="602" spans="8:92">
      <c r="H602" s="602" t="s">
        <v>940</v>
      </c>
      <c r="L602" s="618" t="s">
        <v>908</v>
      </c>
      <c r="M602" s="600" t="s">
        <v>974</v>
      </c>
      <c r="N602" s="615" t="e">
        <f>SUM(U602:AF602)</f>
        <v>#N/A</v>
      </c>
      <c r="O602" s="615" t="e">
        <f>SUM(AG602:AR602)</f>
        <v>#N/A</v>
      </c>
      <c r="P602" s="615" t="e">
        <f>SUM(AS602:BD602)</f>
        <v>#N/A</v>
      </c>
      <c r="Q602" s="615" t="e">
        <f>SUM(BE602:BP602)</f>
        <v>#N/A</v>
      </c>
      <c r="R602" s="615" t="e">
        <f>SUM(BQ602:CB602)</f>
        <v>#N/A</v>
      </c>
      <c r="S602" s="615" t="e">
        <f>SUM(CC602:CN602)</f>
        <v>#N/A</v>
      </c>
      <c r="U602" s="616" t="e">
        <f t="shared" ref="U602:AF602" si="494">U589*N$419</f>
        <v>#N/A</v>
      </c>
      <c r="V602" s="616" t="e">
        <f t="shared" si="494"/>
        <v>#N/A</v>
      </c>
      <c r="W602" s="616" t="e">
        <f t="shared" si="494"/>
        <v>#N/A</v>
      </c>
      <c r="X602" s="616" t="e">
        <f t="shared" si="494"/>
        <v>#N/A</v>
      </c>
      <c r="Y602" s="616" t="e">
        <f t="shared" si="494"/>
        <v>#N/A</v>
      </c>
      <c r="Z602" s="616" t="e">
        <f t="shared" si="494"/>
        <v>#N/A</v>
      </c>
      <c r="AA602" s="616" t="e">
        <f t="shared" si="494"/>
        <v>#N/A</v>
      </c>
      <c r="AB602" s="616" t="e">
        <f t="shared" si="494"/>
        <v>#N/A</v>
      </c>
      <c r="AC602" s="616" t="e">
        <f t="shared" si="494"/>
        <v>#N/A</v>
      </c>
      <c r="AD602" s="616" t="e">
        <f t="shared" si="494"/>
        <v>#N/A</v>
      </c>
      <c r="AE602" s="616" t="e">
        <f t="shared" si="494"/>
        <v>#N/A</v>
      </c>
      <c r="AF602" s="616" t="e">
        <f t="shared" si="494"/>
        <v>#N/A</v>
      </c>
      <c r="AG602" s="616" t="e">
        <f t="shared" ref="AG602:AR602" si="495">AG589*N$419</f>
        <v>#N/A</v>
      </c>
      <c r="AH602" s="616" t="e">
        <f t="shared" si="495"/>
        <v>#N/A</v>
      </c>
      <c r="AI602" s="616" t="e">
        <f t="shared" si="495"/>
        <v>#N/A</v>
      </c>
      <c r="AJ602" s="616" t="e">
        <f t="shared" si="495"/>
        <v>#N/A</v>
      </c>
      <c r="AK602" s="616" t="e">
        <f t="shared" si="495"/>
        <v>#N/A</v>
      </c>
      <c r="AL602" s="616" t="e">
        <f t="shared" si="495"/>
        <v>#N/A</v>
      </c>
      <c r="AM602" s="616" t="e">
        <f t="shared" si="495"/>
        <v>#N/A</v>
      </c>
      <c r="AN602" s="616" t="e">
        <f t="shared" si="495"/>
        <v>#N/A</v>
      </c>
      <c r="AO602" s="616" t="e">
        <f t="shared" si="495"/>
        <v>#N/A</v>
      </c>
      <c r="AP602" s="616" t="e">
        <f t="shared" si="495"/>
        <v>#N/A</v>
      </c>
      <c r="AQ602" s="616" t="e">
        <f t="shared" si="495"/>
        <v>#N/A</v>
      </c>
      <c r="AR602" s="616" t="e">
        <f t="shared" si="495"/>
        <v>#N/A</v>
      </c>
      <c r="AS602" s="616" t="e">
        <f t="shared" ref="AS602:BD602" si="496">AS589*N$419</f>
        <v>#N/A</v>
      </c>
      <c r="AT602" s="616" t="e">
        <f t="shared" si="496"/>
        <v>#N/A</v>
      </c>
      <c r="AU602" s="616" t="e">
        <f t="shared" si="496"/>
        <v>#N/A</v>
      </c>
      <c r="AV602" s="616" t="e">
        <f t="shared" si="496"/>
        <v>#N/A</v>
      </c>
      <c r="AW602" s="616" t="e">
        <f t="shared" si="496"/>
        <v>#N/A</v>
      </c>
      <c r="AX602" s="616" t="e">
        <f t="shared" si="496"/>
        <v>#N/A</v>
      </c>
      <c r="AY602" s="616" t="e">
        <f t="shared" si="496"/>
        <v>#N/A</v>
      </c>
      <c r="AZ602" s="616" t="e">
        <f t="shared" si="496"/>
        <v>#N/A</v>
      </c>
      <c r="BA602" s="616" t="e">
        <f t="shared" si="496"/>
        <v>#N/A</v>
      </c>
      <c r="BB602" s="616" t="e">
        <f t="shared" si="496"/>
        <v>#N/A</v>
      </c>
      <c r="BC602" s="616" t="e">
        <f t="shared" si="496"/>
        <v>#N/A</v>
      </c>
      <c r="BD602" s="616" t="e">
        <f t="shared" si="496"/>
        <v>#N/A</v>
      </c>
      <c r="BE602" s="616" t="e">
        <f t="shared" ref="BE602:BP602" si="497">BE589*N$419</f>
        <v>#N/A</v>
      </c>
      <c r="BF602" s="616" t="e">
        <f t="shared" si="497"/>
        <v>#N/A</v>
      </c>
      <c r="BG602" s="616" t="e">
        <f t="shared" si="497"/>
        <v>#N/A</v>
      </c>
      <c r="BH602" s="616" t="e">
        <f t="shared" si="497"/>
        <v>#N/A</v>
      </c>
      <c r="BI602" s="616" t="e">
        <f t="shared" si="497"/>
        <v>#N/A</v>
      </c>
      <c r="BJ602" s="616" t="e">
        <f t="shared" si="497"/>
        <v>#N/A</v>
      </c>
      <c r="BK602" s="616" t="e">
        <f t="shared" si="497"/>
        <v>#N/A</v>
      </c>
      <c r="BL602" s="616" t="e">
        <f t="shared" si="497"/>
        <v>#N/A</v>
      </c>
      <c r="BM602" s="616" t="e">
        <f t="shared" si="497"/>
        <v>#N/A</v>
      </c>
      <c r="BN602" s="616" t="e">
        <f t="shared" si="497"/>
        <v>#N/A</v>
      </c>
      <c r="BO602" s="616" t="e">
        <f t="shared" si="497"/>
        <v>#N/A</v>
      </c>
      <c r="BP602" s="616" t="e">
        <f t="shared" si="497"/>
        <v>#N/A</v>
      </c>
      <c r="BQ602" s="616" t="e">
        <f t="shared" ref="BQ602:CB602" si="498">BQ589*N$419</f>
        <v>#N/A</v>
      </c>
      <c r="BR602" s="616" t="e">
        <f t="shared" si="498"/>
        <v>#N/A</v>
      </c>
      <c r="BS602" s="616" t="e">
        <f t="shared" si="498"/>
        <v>#N/A</v>
      </c>
      <c r="BT602" s="616" t="e">
        <f t="shared" si="498"/>
        <v>#N/A</v>
      </c>
      <c r="BU602" s="616" t="e">
        <f t="shared" si="498"/>
        <v>#N/A</v>
      </c>
      <c r="BV602" s="616" t="e">
        <f t="shared" si="498"/>
        <v>#N/A</v>
      </c>
      <c r="BW602" s="616" t="e">
        <f t="shared" si="498"/>
        <v>#N/A</v>
      </c>
      <c r="BX602" s="616" t="e">
        <f t="shared" si="498"/>
        <v>#N/A</v>
      </c>
      <c r="BY602" s="616" t="e">
        <f t="shared" si="498"/>
        <v>#N/A</v>
      </c>
      <c r="BZ602" s="616" t="e">
        <f t="shared" si="498"/>
        <v>#N/A</v>
      </c>
      <c r="CA602" s="616" t="e">
        <f t="shared" si="498"/>
        <v>#N/A</v>
      </c>
      <c r="CB602" s="616" t="e">
        <f t="shared" si="498"/>
        <v>#N/A</v>
      </c>
      <c r="CC602" s="616" t="e">
        <f t="shared" ref="CC602:CN602" si="499">CC589*N$419</f>
        <v>#N/A</v>
      </c>
      <c r="CD602" s="616" t="e">
        <f t="shared" si="499"/>
        <v>#N/A</v>
      </c>
      <c r="CE602" s="616" t="e">
        <f t="shared" si="499"/>
        <v>#N/A</v>
      </c>
      <c r="CF602" s="616" t="e">
        <f t="shared" si="499"/>
        <v>#N/A</v>
      </c>
      <c r="CG602" s="616" t="e">
        <f t="shared" si="499"/>
        <v>#N/A</v>
      </c>
      <c r="CH602" s="616" t="e">
        <f t="shared" si="499"/>
        <v>#N/A</v>
      </c>
      <c r="CI602" s="616" t="e">
        <f t="shared" si="499"/>
        <v>#N/A</v>
      </c>
      <c r="CJ602" s="616" t="e">
        <f t="shared" si="499"/>
        <v>#N/A</v>
      </c>
      <c r="CK602" s="616" t="e">
        <f t="shared" si="499"/>
        <v>#N/A</v>
      </c>
      <c r="CL602" s="616" t="e">
        <f t="shared" si="499"/>
        <v>#N/A</v>
      </c>
      <c r="CM602" s="616" t="e">
        <f t="shared" si="499"/>
        <v>#N/A</v>
      </c>
      <c r="CN602" s="616" t="e">
        <f t="shared" si="499"/>
        <v>#N/A</v>
      </c>
    </row>
    <row r="603" spans="8:92">
      <c r="H603" s="602" t="s">
        <v>940</v>
      </c>
      <c r="L603" s="618" t="s">
        <v>1304</v>
      </c>
      <c r="M603" s="600" t="s">
        <v>974</v>
      </c>
      <c r="N603" s="615" t="e">
        <f>SUM(U603:AF603)</f>
        <v>#N/A</v>
      </c>
      <c r="O603" s="615" t="e">
        <f>SUM(AG603:AR603)</f>
        <v>#N/A</v>
      </c>
      <c r="P603" s="615" t="e">
        <f>SUM(AS603:BD603)</f>
        <v>#N/A</v>
      </c>
      <c r="Q603" s="615" t="e">
        <f>SUM(BE603:BP603)</f>
        <v>#N/A</v>
      </c>
      <c r="R603" s="615" t="e">
        <f>SUM(BQ603:CB603)</f>
        <v>#N/A</v>
      </c>
      <c r="S603" s="615" t="e">
        <f>SUM(CC603:CN603)</f>
        <v>#N/A</v>
      </c>
      <c r="U603" s="616" t="e">
        <f t="shared" ref="U603:CF603" si="500">SUM(U596:U599,U601:U602)</f>
        <v>#N/A</v>
      </c>
      <c r="V603" s="616" t="e">
        <f t="shared" si="500"/>
        <v>#N/A</v>
      </c>
      <c r="W603" s="616" t="e">
        <f t="shared" si="500"/>
        <v>#N/A</v>
      </c>
      <c r="X603" s="616" t="e">
        <f t="shared" si="500"/>
        <v>#N/A</v>
      </c>
      <c r="Y603" s="616" t="e">
        <f t="shared" si="500"/>
        <v>#N/A</v>
      </c>
      <c r="Z603" s="616" t="e">
        <f t="shared" si="500"/>
        <v>#N/A</v>
      </c>
      <c r="AA603" s="616" t="e">
        <f t="shared" si="500"/>
        <v>#N/A</v>
      </c>
      <c r="AB603" s="616" t="e">
        <f t="shared" si="500"/>
        <v>#N/A</v>
      </c>
      <c r="AC603" s="616" t="e">
        <f t="shared" si="500"/>
        <v>#N/A</v>
      </c>
      <c r="AD603" s="616" t="e">
        <f t="shared" si="500"/>
        <v>#N/A</v>
      </c>
      <c r="AE603" s="616" t="e">
        <f t="shared" si="500"/>
        <v>#N/A</v>
      </c>
      <c r="AF603" s="616" t="e">
        <f t="shared" si="500"/>
        <v>#N/A</v>
      </c>
      <c r="AG603" s="616" t="e">
        <f t="shared" si="500"/>
        <v>#N/A</v>
      </c>
      <c r="AH603" s="616" t="e">
        <f t="shared" si="500"/>
        <v>#N/A</v>
      </c>
      <c r="AI603" s="616" t="e">
        <f t="shared" si="500"/>
        <v>#N/A</v>
      </c>
      <c r="AJ603" s="616" t="e">
        <f t="shared" si="500"/>
        <v>#N/A</v>
      </c>
      <c r="AK603" s="616" t="e">
        <f t="shared" si="500"/>
        <v>#N/A</v>
      </c>
      <c r="AL603" s="616" t="e">
        <f t="shared" si="500"/>
        <v>#N/A</v>
      </c>
      <c r="AM603" s="616" t="e">
        <f t="shared" si="500"/>
        <v>#N/A</v>
      </c>
      <c r="AN603" s="616" t="e">
        <f t="shared" si="500"/>
        <v>#N/A</v>
      </c>
      <c r="AO603" s="616" t="e">
        <f t="shared" si="500"/>
        <v>#N/A</v>
      </c>
      <c r="AP603" s="616" t="e">
        <f t="shared" si="500"/>
        <v>#N/A</v>
      </c>
      <c r="AQ603" s="616" t="e">
        <f t="shared" si="500"/>
        <v>#N/A</v>
      </c>
      <c r="AR603" s="616" t="e">
        <f t="shared" si="500"/>
        <v>#N/A</v>
      </c>
      <c r="AS603" s="616" t="e">
        <f t="shared" si="500"/>
        <v>#N/A</v>
      </c>
      <c r="AT603" s="616" t="e">
        <f t="shared" si="500"/>
        <v>#N/A</v>
      </c>
      <c r="AU603" s="616" t="e">
        <f t="shared" si="500"/>
        <v>#N/A</v>
      </c>
      <c r="AV603" s="616" t="e">
        <f t="shared" si="500"/>
        <v>#N/A</v>
      </c>
      <c r="AW603" s="616" t="e">
        <f t="shared" si="500"/>
        <v>#N/A</v>
      </c>
      <c r="AX603" s="616" t="e">
        <f t="shared" si="500"/>
        <v>#N/A</v>
      </c>
      <c r="AY603" s="616" t="e">
        <f t="shared" si="500"/>
        <v>#N/A</v>
      </c>
      <c r="AZ603" s="616" t="e">
        <f t="shared" si="500"/>
        <v>#N/A</v>
      </c>
      <c r="BA603" s="616" t="e">
        <f t="shared" si="500"/>
        <v>#N/A</v>
      </c>
      <c r="BB603" s="616" t="e">
        <f t="shared" si="500"/>
        <v>#N/A</v>
      </c>
      <c r="BC603" s="616" t="e">
        <f t="shared" si="500"/>
        <v>#N/A</v>
      </c>
      <c r="BD603" s="616" t="e">
        <f t="shared" si="500"/>
        <v>#N/A</v>
      </c>
      <c r="BE603" s="616" t="e">
        <f t="shared" si="500"/>
        <v>#N/A</v>
      </c>
      <c r="BF603" s="616" t="e">
        <f t="shared" si="500"/>
        <v>#N/A</v>
      </c>
      <c r="BG603" s="616" t="e">
        <f t="shared" si="500"/>
        <v>#N/A</v>
      </c>
      <c r="BH603" s="616" t="e">
        <f t="shared" si="500"/>
        <v>#N/A</v>
      </c>
      <c r="BI603" s="616" t="e">
        <f t="shared" si="500"/>
        <v>#N/A</v>
      </c>
      <c r="BJ603" s="616" t="e">
        <f t="shared" si="500"/>
        <v>#N/A</v>
      </c>
      <c r="BK603" s="616" t="e">
        <f t="shared" si="500"/>
        <v>#N/A</v>
      </c>
      <c r="BL603" s="616" t="e">
        <f t="shared" si="500"/>
        <v>#N/A</v>
      </c>
      <c r="BM603" s="616" t="e">
        <f t="shared" si="500"/>
        <v>#N/A</v>
      </c>
      <c r="BN603" s="616" t="e">
        <f t="shared" si="500"/>
        <v>#N/A</v>
      </c>
      <c r="BO603" s="616" t="e">
        <f t="shared" si="500"/>
        <v>#N/A</v>
      </c>
      <c r="BP603" s="616" t="e">
        <f t="shared" si="500"/>
        <v>#N/A</v>
      </c>
      <c r="BQ603" s="616" t="e">
        <f t="shared" si="500"/>
        <v>#N/A</v>
      </c>
      <c r="BR603" s="616" t="e">
        <f t="shared" si="500"/>
        <v>#N/A</v>
      </c>
      <c r="BS603" s="616" t="e">
        <f t="shared" si="500"/>
        <v>#N/A</v>
      </c>
      <c r="BT603" s="616" t="e">
        <f t="shared" si="500"/>
        <v>#N/A</v>
      </c>
      <c r="BU603" s="616" t="e">
        <f t="shared" si="500"/>
        <v>#N/A</v>
      </c>
      <c r="BV603" s="616" t="e">
        <f t="shared" si="500"/>
        <v>#N/A</v>
      </c>
      <c r="BW603" s="616" t="e">
        <f t="shared" si="500"/>
        <v>#N/A</v>
      </c>
      <c r="BX603" s="616" t="e">
        <f t="shared" si="500"/>
        <v>#N/A</v>
      </c>
      <c r="BY603" s="616" t="e">
        <f t="shared" si="500"/>
        <v>#N/A</v>
      </c>
      <c r="BZ603" s="616" t="e">
        <f t="shared" si="500"/>
        <v>#N/A</v>
      </c>
      <c r="CA603" s="616" t="e">
        <f t="shared" si="500"/>
        <v>#N/A</v>
      </c>
      <c r="CB603" s="616" t="e">
        <f t="shared" si="500"/>
        <v>#N/A</v>
      </c>
      <c r="CC603" s="616" t="e">
        <f t="shared" si="500"/>
        <v>#N/A</v>
      </c>
      <c r="CD603" s="616" t="e">
        <f t="shared" si="500"/>
        <v>#N/A</v>
      </c>
      <c r="CE603" s="616" t="e">
        <f t="shared" si="500"/>
        <v>#N/A</v>
      </c>
      <c r="CF603" s="616" t="e">
        <f t="shared" si="500"/>
        <v>#N/A</v>
      </c>
      <c r="CG603" s="616" t="e">
        <f t="shared" ref="CG603:CN603" si="501">SUM(CG596:CG599,CG601:CG602)</f>
        <v>#N/A</v>
      </c>
      <c r="CH603" s="616" t="e">
        <f t="shared" si="501"/>
        <v>#N/A</v>
      </c>
      <c r="CI603" s="616" t="e">
        <f t="shared" si="501"/>
        <v>#N/A</v>
      </c>
      <c r="CJ603" s="616" t="e">
        <f t="shared" si="501"/>
        <v>#N/A</v>
      </c>
      <c r="CK603" s="616" t="e">
        <f t="shared" si="501"/>
        <v>#N/A</v>
      </c>
      <c r="CL603" s="616" t="e">
        <f t="shared" si="501"/>
        <v>#N/A</v>
      </c>
      <c r="CM603" s="616" t="e">
        <f t="shared" si="501"/>
        <v>#N/A</v>
      </c>
      <c r="CN603" s="616" t="e">
        <f t="shared" si="501"/>
        <v>#N/A</v>
      </c>
    </row>
    <row r="604" spans="8:92">
      <c r="H604" s="602" t="s">
        <v>940</v>
      </c>
      <c r="L604" s="618" t="s">
        <v>909</v>
      </c>
      <c r="M604" s="600" t="s">
        <v>974</v>
      </c>
      <c r="N604" s="615" t="e">
        <f>SUM(U604:AF604)</f>
        <v>#N/A</v>
      </c>
      <c r="O604" s="615" t="e">
        <f>SUM(AG604:AR604)</f>
        <v>#N/A</v>
      </c>
      <c r="P604" s="615" t="e">
        <f>SUM(AS604:BD604)</f>
        <v>#N/A</v>
      </c>
      <c r="Q604" s="615" t="e">
        <f>SUM(BE604:BP604)</f>
        <v>#N/A</v>
      </c>
      <c r="R604" s="615" t="e">
        <f>SUM(BQ604:CB604)</f>
        <v>#N/A</v>
      </c>
      <c r="S604" s="615" t="e">
        <f>SUM(CC604:CN604)</f>
        <v>#N/A</v>
      </c>
      <c r="U604" s="616" t="e">
        <f t="shared" ref="U604:AF604" si="502">U603*N$420/100</f>
        <v>#N/A</v>
      </c>
      <c r="V604" s="616" t="e">
        <f t="shared" si="502"/>
        <v>#N/A</v>
      </c>
      <c r="W604" s="616" t="e">
        <f t="shared" si="502"/>
        <v>#N/A</v>
      </c>
      <c r="X604" s="616" t="e">
        <f t="shared" si="502"/>
        <v>#N/A</v>
      </c>
      <c r="Y604" s="616" t="e">
        <f t="shared" si="502"/>
        <v>#N/A</v>
      </c>
      <c r="Z604" s="616" t="e">
        <f t="shared" si="502"/>
        <v>#N/A</v>
      </c>
      <c r="AA604" s="616" t="e">
        <f t="shared" si="502"/>
        <v>#N/A</v>
      </c>
      <c r="AB604" s="616" t="e">
        <f t="shared" si="502"/>
        <v>#N/A</v>
      </c>
      <c r="AC604" s="616" t="e">
        <f t="shared" si="502"/>
        <v>#N/A</v>
      </c>
      <c r="AD604" s="616" t="e">
        <f t="shared" si="502"/>
        <v>#N/A</v>
      </c>
      <c r="AE604" s="616" t="e">
        <f t="shared" si="502"/>
        <v>#N/A</v>
      </c>
      <c r="AF604" s="616" t="e">
        <f t="shared" si="502"/>
        <v>#N/A</v>
      </c>
      <c r="AG604" s="616" t="e">
        <f t="shared" ref="AG604:AR604" si="503">AG603*N$420/100</f>
        <v>#N/A</v>
      </c>
      <c r="AH604" s="616" t="e">
        <f t="shared" si="503"/>
        <v>#N/A</v>
      </c>
      <c r="AI604" s="616" t="e">
        <f t="shared" si="503"/>
        <v>#N/A</v>
      </c>
      <c r="AJ604" s="616" t="e">
        <f t="shared" si="503"/>
        <v>#N/A</v>
      </c>
      <c r="AK604" s="616" t="e">
        <f t="shared" si="503"/>
        <v>#N/A</v>
      </c>
      <c r="AL604" s="616" t="e">
        <f t="shared" si="503"/>
        <v>#N/A</v>
      </c>
      <c r="AM604" s="616" t="e">
        <f t="shared" si="503"/>
        <v>#N/A</v>
      </c>
      <c r="AN604" s="616" t="e">
        <f t="shared" si="503"/>
        <v>#N/A</v>
      </c>
      <c r="AO604" s="616" t="e">
        <f t="shared" si="503"/>
        <v>#N/A</v>
      </c>
      <c r="AP604" s="616" t="e">
        <f t="shared" si="503"/>
        <v>#N/A</v>
      </c>
      <c r="AQ604" s="616" t="e">
        <f t="shared" si="503"/>
        <v>#N/A</v>
      </c>
      <c r="AR604" s="616" t="e">
        <f t="shared" si="503"/>
        <v>#N/A</v>
      </c>
      <c r="AS604" s="616" t="e">
        <f t="shared" ref="AS604:BD604" si="504">AS603*N$420/100</f>
        <v>#N/A</v>
      </c>
      <c r="AT604" s="616" t="e">
        <f t="shared" si="504"/>
        <v>#N/A</v>
      </c>
      <c r="AU604" s="616" t="e">
        <f t="shared" si="504"/>
        <v>#N/A</v>
      </c>
      <c r="AV604" s="616" t="e">
        <f t="shared" si="504"/>
        <v>#N/A</v>
      </c>
      <c r="AW604" s="616" t="e">
        <f t="shared" si="504"/>
        <v>#N/A</v>
      </c>
      <c r="AX604" s="616" t="e">
        <f t="shared" si="504"/>
        <v>#N/A</v>
      </c>
      <c r="AY604" s="616" t="e">
        <f t="shared" si="504"/>
        <v>#N/A</v>
      </c>
      <c r="AZ604" s="616" t="e">
        <f t="shared" si="504"/>
        <v>#N/A</v>
      </c>
      <c r="BA604" s="616" t="e">
        <f t="shared" si="504"/>
        <v>#N/A</v>
      </c>
      <c r="BB604" s="616" t="e">
        <f t="shared" si="504"/>
        <v>#N/A</v>
      </c>
      <c r="BC604" s="616" t="e">
        <f t="shared" si="504"/>
        <v>#N/A</v>
      </c>
      <c r="BD604" s="616" t="e">
        <f t="shared" si="504"/>
        <v>#N/A</v>
      </c>
      <c r="BE604" s="616" t="e">
        <f t="shared" ref="BE604:BP604" si="505">BE603*N$420/100</f>
        <v>#N/A</v>
      </c>
      <c r="BF604" s="616" t="e">
        <f t="shared" si="505"/>
        <v>#N/A</v>
      </c>
      <c r="BG604" s="616" t="e">
        <f t="shared" si="505"/>
        <v>#N/A</v>
      </c>
      <c r="BH604" s="616" t="e">
        <f t="shared" si="505"/>
        <v>#N/A</v>
      </c>
      <c r="BI604" s="616" t="e">
        <f t="shared" si="505"/>
        <v>#N/A</v>
      </c>
      <c r="BJ604" s="616" t="e">
        <f t="shared" si="505"/>
        <v>#N/A</v>
      </c>
      <c r="BK604" s="616" t="e">
        <f t="shared" si="505"/>
        <v>#N/A</v>
      </c>
      <c r="BL604" s="616" t="e">
        <f t="shared" si="505"/>
        <v>#N/A</v>
      </c>
      <c r="BM604" s="616" t="e">
        <f t="shared" si="505"/>
        <v>#N/A</v>
      </c>
      <c r="BN604" s="616" t="e">
        <f t="shared" si="505"/>
        <v>#N/A</v>
      </c>
      <c r="BO604" s="616" t="e">
        <f t="shared" si="505"/>
        <v>#N/A</v>
      </c>
      <c r="BP604" s="616" t="e">
        <f t="shared" si="505"/>
        <v>#N/A</v>
      </c>
      <c r="BQ604" s="616" t="e">
        <f t="shared" ref="BQ604:CB604" si="506">BQ603*N$420/100</f>
        <v>#N/A</v>
      </c>
      <c r="BR604" s="616" t="e">
        <f t="shared" si="506"/>
        <v>#N/A</v>
      </c>
      <c r="BS604" s="616" t="e">
        <f t="shared" si="506"/>
        <v>#N/A</v>
      </c>
      <c r="BT604" s="616" t="e">
        <f t="shared" si="506"/>
        <v>#N/A</v>
      </c>
      <c r="BU604" s="616" t="e">
        <f t="shared" si="506"/>
        <v>#N/A</v>
      </c>
      <c r="BV604" s="616" t="e">
        <f t="shared" si="506"/>
        <v>#N/A</v>
      </c>
      <c r="BW604" s="616" t="e">
        <f t="shared" si="506"/>
        <v>#N/A</v>
      </c>
      <c r="BX604" s="616" t="e">
        <f t="shared" si="506"/>
        <v>#N/A</v>
      </c>
      <c r="BY604" s="616" t="e">
        <f t="shared" si="506"/>
        <v>#N/A</v>
      </c>
      <c r="BZ604" s="616" t="e">
        <f t="shared" si="506"/>
        <v>#N/A</v>
      </c>
      <c r="CA604" s="616" t="e">
        <f t="shared" si="506"/>
        <v>#N/A</v>
      </c>
      <c r="CB604" s="616" t="e">
        <f t="shared" si="506"/>
        <v>#N/A</v>
      </c>
      <c r="CC604" s="616" t="e">
        <f t="shared" ref="CC604:CN604" si="507">CC603*N$420/100</f>
        <v>#N/A</v>
      </c>
      <c r="CD604" s="616" t="e">
        <f t="shared" si="507"/>
        <v>#N/A</v>
      </c>
      <c r="CE604" s="616" t="e">
        <f t="shared" si="507"/>
        <v>#N/A</v>
      </c>
      <c r="CF604" s="616" t="e">
        <f t="shared" si="507"/>
        <v>#N/A</v>
      </c>
      <c r="CG604" s="616" t="e">
        <f t="shared" si="507"/>
        <v>#N/A</v>
      </c>
      <c r="CH604" s="616" t="e">
        <f t="shared" si="507"/>
        <v>#N/A</v>
      </c>
      <c r="CI604" s="616" t="e">
        <f t="shared" si="507"/>
        <v>#N/A</v>
      </c>
      <c r="CJ604" s="616" t="e">
        <f t="shared" si="507"/>
        <v>#N/A</v>
      </c>
      <c r="CK604" s="616" t="e">
        <f t="shared" si="507"/>
        <v>#N/A</v>
      </c>
      <c r="CL604" s="616" t="e">
        <f t="shared" si="507"/>
        <v>#N/A</v>
      </c>
      <c r="CM604" s="616" t="e">
        <f t="shared" si="507"/>
        <v>#N/A</v>
      </c>
      <c r="CN604" s="616" t="e">
        <f t="shared" si="507"/>
        <v>#N/A</v>
      </c>
    </row>
    <row r="605" spans="8:92">
      <c r="H605" s="602" t="s">
        <v>940</v>
      </c>
      <c r="L605" s="618"/>
      <c r="M605" s="600"/>
      <c r="N605" s="615"/>
      <c r="O605" s="615"/>
      <c r="P605" s="615"/>
      <c r="Q605" s="615"/>
      <c r="R605" s="615"/>
      <c r="S605" s="615"/>
      <c r="U605" s="616"/>
      <c r="V605" s="616"/>
      <c r="W605" s="616"/>
      <c r="X605" s="616"/>
      <c r="Y605" s="616"/>
      <c r="Z605" s="616"/>
      <c r="AA605" s="616"/>
      <c r="AB605" s="616"/>
      <c r="AC605" s="616"/>
      <c r="AD605" s="616"/>
      <c r="AE605" s="616"/>
      <c r="AF605" s="616"/>
      <c r="AG605" s="616"/>
      <c r="AH605" s="616"/>
      <c r="AI605" s="616"/>
      <c r="AJ605" s="616"/>
      <c r="AK605" s="616"/>
      <c r="AL605" s="616"/>
      <c r="AM605" s="616"/>
      <c r="AN605" s="616"/>
      <c r="AO605" s="616"/>
      <c r="AP605" s="616"/>
      <c r="AQ605" s="616"/>
      <c r="AR605" s="616"/>
      <c r="AS605" s="616"/>
      <c r="AT605" s="616"/>
      <c r="AU605" s="616"/>
      <c r="AV605" s="616"/>
      <c r="AW605" s="616"/>
      <c r="AX605" s="616"/>
      <c r="AY605" s="616"/>
      <c r="AZ605" s="616"/>
      <c r="BA605" s="616"/>
      <c r="BB605" s="616"/>
      <c r="BC605" s="616"/>
      <c r="BD605" s="616"/>
      <c r="BE605" s="616"/>
      <c r="BF605" s="616"/>
      <c r="BG605" s="616"/>
      <c r="BH605" s="616"/>
      <c r="BI605" s="616"/>
      <c r="BJ605" s="616"/>
      <c r="BK605" s="616"/>
      <c r="BL605" s="616"/>
      <c r="BM605" s="616"/>
      <c r="BN605" s="616"/>
      <c r="BO605" s="616"/>
      <c r="BP605" s="616"/>
      <c r="BQ605" s="616"/>
      <c r="BR605" s="616"/>
      <c r="BS605" s="616"/>
      <c r="BT605" s="616"/>
      <c r="BU605" s="616"/>
      <c r="BV605" s="616"/>
      <c r="BW605" s="616"/>
      <c r="BX605" s="616"/>
      <c r="BY605" s="616"/>
      <c r="BZ605" s="616"/>
      <c r="CA605" s="616"/>
      <c r="CB605" s="616"/>
      <c r="CC605" s="616"/>
      <c r="CD605" s="616"/>
      <c r="CE605" s="616"/>
      <c r="CF605" s="616"/>
      <c r="CG605" s="616"/>
      <c r="CH605" s="616"/>
      <c r="CI605" s="616"/>
      <c r="CJ605" s="616"/>
      <c r="CK605" s="616"/>
      <c r="CL605" s="616"/>
      <c r="CM605" s="616"/>
      <c r="CN605" s="616"/>
    </row>
    <row r="606" spans="8:92">
      <c r="H606" s="602" t="s">
        <v>940</v>
      </c>
      <c r="L606" s="618" t="s">
        <v>1305</v>
      </c>
      <c r="M606" s="600" t="s">
        <v>974</v>
      </c>
      <c r="N606" s="615" t="e">
        <f>SUM(U606:AF606)</f>
        <v>#N/A</v>
      </c>
      <c r="O606" s="615" t="e">
        <f>SUM(AG606:AR606)</f>
        <v>#N/A</v>
      </c>
      <c r="P606" s="615" t="e">
        <f>SUM(AS606:BD606)</f>
        <v>#N/A</v>
      </c>
      <c r="Q606" s="615" t="e">
        <f>SUM(BE606:BP606)</f>
        <v>#N/A</v>
      </c>
      <c r="R606" s="615" t="e">
        <f>SUM(BQ606:CB606)</f>
        <v>#N/A</v>
      </c>
      <c r="S606" s="615" t="e">
        <f>SUM(CC606:CN606)</f>
        <v>#N/A</v>
      </c>
      <c r="U606" s="616" t="e">
        <f>SUM(U603:U604)</f>
        <v>#N/A</v>
      </c>
      <c r="V606" s="616" t="e">
        <f t="shared" ref="V606:CG606" si="508">SUM(V603:V604)</f>
        <v>#N/A</v>
      </c>
      <c r="W606" s="616" t="e">
        <f t="shared" si="508"/>
        <v>#N/A</v>
      </c>
      <c r="X606" s="616" t="e">
        <f t="shared" si="508"/>
        <v>#N/A</v>
      </c>
      <c r="Y606" s="616" t="e">
        <f t="shared" si="508"/>
        <v>#N/A</v>
      </c>
      <c r="Z606" s="616" t="e">
        <f t="shared" si="508"/>
        <v>#N/A</v>
      </c>
      <c r="AA606" s="616" t="e">
        <f t="shared" si="508"/>
        <v>#N/A</v>
      </c>
      <c r="AB606" s="616" t="e">
        <f t="shared" si="508"/>
        <v>#N/A</v>
      </c>
      <c r="AC606" s="616" t="e">
        <f t="shared" si="508"/>
        <v>#N/A</v>
      </c>
      <c r="AD606" s="616" t="e">
        <f t="shared" si="508"/>
        <v>#N/A</v>
      </c>
      <c r="AE606" s="616" t="e">
        <f t="shared" si="508"/>
        <v>#N/A</v>
      </c>
      <c r="AF606" s="616" t="e">
        <f t="shared" si="508"/>
        <v>#N/A</v>
      </c>
      <c r="AG606" s="616" t="e">
        <f t="shared" si="508"/>
        <v>#N/A</v>
      </c>
      <c r="AH606" s="616" t="e">
        <f t="shared" si="508"/>
        <v>#N/A</v>
      </c>
      <c r="AI606" s="616" t="e">
        <f t="shared" si="508"/>
        <v>#N/A</v>
      </c>
      <c r="AJ606" s="616" t="e">
        <f t="shared" si="508"/>
        <v>#N/A</v>
      </c>
      <c r="AK606" s="616" t="e">
        <f t="shared" si="508"/>
        <v>#N/A</v>
      </c>
      <c r="AL606" s="616" t="e">
        <f t="shared" si="508"/>
        <v>#N/A</v>
      </c>
      <c r="AM606" s="616" t="e">
        <f t="shared" si="508"/>
        <v>#N/A</v>
      </c>
      <c r="AN606" s="616" t="e">
        <f t="shared" si="508"/>
        <v>#N/A</v>
      </c>
      <c r="AO606" s="616" t="e">
        <f t="shared" si="508"/>
        <v>#N/A</v>
      </c>
      <c r="AP606" s="616" t="e">
        <f t="shared" si="508"/>
        <v>#N/A</v>
      </c>
      <c r="AQ606" s="616" t="e">
        <f t="shared" si="508"/>
        <v>#N/A</v>
      </c>
      <c r="AR606" s="616" t="e">
        <f t="shared" si="508"/>
        <v>#N/A</v>
      </c>
      <c r="AS606" s="616" t="e">
        <f t="shared" si="508"/>
        <v>#N/A</v>
      </c>
      <c r="AT606" s="616" t="e">
        <f t="shared" si="508"/>
        <v>#N/A</v>
      </c>
      <c r="AU606" s="616" t="e">
        <f t="shared" si="508"/>
        <v>#N/A</v>
      </c>
      <c r="AV606" s="616" t="e">
        <f t="shared" si="508"/>
        <v>#N/A</v>
      </c>
      <c r="AW606" s="616" t="e">
        <f t="shared" si="508"/>
        <v>#N/A</v>
      </c>
      <c r="AX606" s="616" t="e">
        <f t="shared" si="508"/>
        <v>#N/A</v>
      </c>
      <c r="AY606" s="616" t="e">
        <f t="shared" si="508"/>
        <v>#N/A</v>
      </c>
      <c r="AZ606" s="616" t="e">
        <f t="shared" si="508"/>
        <v>#N/A</v>
      </c>
      <c r="BA606" s="616" t="e">
        <f t="shared" si="508"/>
        <v>#N/A</v>
      </c>
      <c r="BB606" s="616" t="e">
        <f t="shared" si="508"/>
        <v>#N/A</v>
      </c>
      <c r="BC606" s="616" t="e">
        <f t="shared" si="508"/>
        <v>#N/A</v>
      </c>
      <c r="BD606" s="616" t="e">
        <f t="shared" si="508"/>
        <v>#N/A</v>
      </c>
      <c r="BE606" s="616" t="e">
        <f t="shared" si="508"/>
        <v>#N/A</v>
      </c>
      <c r="BF606" s="616" t="e">
        <f t="shared" si="508"/>
        <v>#N/A</v>
      </c>
      <c r="BG606" s="616" t="e">
        <f t="shared" si="508"/>
        <v>#N/A</v>
      </c>
      <c r="BH606" s="616" t="e">
        <f t="shared" si="508"/>
        <v>#N/A</v>
      </c>
      <c r="BI606" s="616" t="e">
        <f t="shared" si="508"/>
        <v>#N/A</v>
      </c>
      <c r="BJ606" s="616" t="e">
        <f t="shared" si="508"/>
        <v>#N/A</v>
      </c>
      <c r="BK606" s="616" t="e">
        <f t="shared" si="508"/>
        <v>#N/A</v>
      </c>
      <c r="BL606" s="616" t="e">
        <f t="shared" si="508"/>
        <v>#N/A</v>
      </c>
      <c r="BM606" s="616" t="e">
        <f t="shared" si="508"/>
        <v>#N/A</v>
      </c>
      <c r="BN606" s="616" t="e">
        <f t="shared" si="508"/>
        <v>#N/A</v>
      </c>
      <c r="BO606" s="616" t="e">
        <f t="shared" si="508"/>
        <v>#N/A</v>
      </c>
      <c r="BP606" s="616" t="e">
        <f t="shared" si="508"/>
        <v>#N/A</v>
      </c>
      <c r="BQ606" s="616" t="e">
        <f t="shared" si="508"/>
        <v>#N/A</v>
      </c>
      <c r="BR606" s="616" t="e">
        <f t="shared" si="508"/>
        <v>#N/A</v>
      </c>
      <c r="BS606" s="616" t="e">
        <f t="shared" si="508"/>
        <v>#N/A</v>
      </c>
      <c r="BT606" s="616" t="e">
        <f t="shared" si="508"/>
        <v>#N/A</v>
      </c>
      <c r="BU606" s="616" t="e">
        <f t="shared" si="508"/>
        <v>#N/A</v>
      </c>
      <c r="BV606" s="616" t="e">
        <f t="shared" si="508"/>
        <v>#N/A</v>
      </c>
      <c r="BW606" s="616" t="e">
        <f t="shared" si="508"/>
        <v>#N/A</v>
      </c>
      <c r="BX606" s="616" t="e">
        <f t="shared" si="508"/>
        <v>#N/A</v>
      </c>
      <c r="BY606" s="616" t="e">
        <f t="shared" si="508"/>
        <v>#N/A</v>
      </c>
      <c r="BZ606" s="616" t="e">
        <f t="shared" si="508"/>
        <v>#N/A</v>
      </c>
      <c r="CA606" s="616" t="e">
        <f t="shared" si="508"/>
        <v>#N/A</v>
      </c>
      <c r="CB606" s="616" t="e">
        <f t="shared" si="508"/>
        <v>#N/A</v>
      </c>
      <c r="CC606" s="616" t="e">
        <f t="shared" si="508"/>
        <v>#N/A</v>
      </c>
      <c r="CD606" s="616" t="e">
        <f t="shared" si="508"/>
        <v>#N/A</v>
      </c>
      <c r="CE606" s="616" t="e">
        <f t="shared" si="508"/>
        <v>#N/A</v>
      </c>
      <c r="CF606" s="616" t="e">
        <f t="shared" si="508"/>
        <v>#N/A</v>
      </c>
      <c r="CG606" s="616" t="e">
        <f t="shared" si="508"/>
        <v>#N/A</v>
      </c>
      <c r="CH606" s="616" t="e">
        <f t="shared" ref="CH606:CN606" si="509">SUM(CH603:CH604)</f>
        <v>#N/A</v>
      </c>
      <c r="CI606" s="616" t="e">
        <f t="shared" si="509"/>
        <v>#N/A</v>
      </c>
      <c r="CJ606" s="616" t="e">
        <f t="shared" si="509"/>
        <v>#N/A</v>
      </c>
      <c r="CK606" s="616" t="e">
        <f t="shared" si="509"/>
        <v>#N/A</v>
      </c>
      <c r="CL606" s="616" t="e">
        <f t="shared" si="509"/>
        <v>#N/A</v>
      </c>
      <c r="CM606" s="616" t="e">
        <f t="shared" si="509"/>
        <v>#N/A</v>
      </c>
      <c r="CN606" s="616" t="e">
        <f t="shared" si="509"/>
        <v>#N/A</v>
      </c>
    </row>
    <row r="607" spans="8:92">
      <c r="H607" s="602" t="s">
        <v>940</v>
      </c>
      <c r="L607" s="618" t="s">
        <v>1307</v>
      </c>
      <c r="M607" s="600" t="s">
        <v>974</v>
      </c>
      <c r="N607" s="615" t="e">
        <f>SUM(U607:AF607)</f>
        <v>#N/A</v>
      </c>
      <c r="O607" s="615" t="e">
        <f>SUM(AG607:AR607)</f>
        <v>#N/A</v>
      </c>
      <c r="P607" s="615" t="e">
        <f>SUM(AS607:BD607)</f>
        <v>#N/A</v>
      </c>
      <c r="Q607" s="615" t="e">
        <f>SUM(BE607:BP607)</f>
        <v>#N/A</v>
      </c>
      <c r="R607" s="615" t="e">
        <f>SUM(BQ607:CB607)</f>
        <v>#N/A</v>
      </c>
      <c r="S607" s="615" t="e">
        <f>SUM(CC607:CN607)</f>
        <v>#N/A</v>
      </c>
      <c r="U607" s="616" t="e">
        <f t="shared" ref="U607:CF607" si="510">U606-U582</f>
        <v>#N/A</v>
      </c>
      <c r="V607" s="616" t="e">
        <f t="shared" si="510"/>
        <v>#N/A</v>
      </c>
      <c r="W607" s="616" t="e">
        <f t="shared" si="510"/>
        <v>#N/A</v>
      </c>
      <c r="X607" s="616" t="e">
        <f t="shared" si="510"/>
        <v>#N/A</v>
      </c>
      <c r="Y607" s="616" t="e">
        <f t="shared" si="510"/>
        <v>#N/A</v>
      </c>
      <c r="Z607" s="616" t="e">
        <f t="shared" si="510"/>
        <v>#N/A</v>
      </c>
      <c r="AA607" s="616" t="e">
        <f t="shared" si="510"/>
        <v>#N/A</v>
      </c>
      <c r="AB607" s="616" t="e">
        <f t="shared" si="510"/>
        <v>#N/A</v>
      </c>
      <c r="AC607" s="616" t="e">
        <f t="shared" si="510"/>
        <v>#N/A</v>
      </c>
      <c r="AD607" s="616" t="e">
        <f t="shared" si="510"/>
        <v>#N/A</v>
      </c>
      <c r="AE607" s="616" t="e">
        <f t="shared" si="510"/>
        <v>#N/A</v>
      </c>
      <c r="AF607" s="616" t="e">
        <f t="shared" si="510"/>
        <v>#N/A</v>
      </c>
      <c r="AG607" s="616" t="e">
        <f t="shared" si="510"/>
        <v>#N/A</v>
      </c>
      <c r="AH607" s="616" t="e">
        <f t="shared" si="510"/>
        <v>#N/A</v>
      </c>
      <c r="AI607" s="616" t="e">
        <f t="shared" si="510"/>
        <v>#N/A</v>
      </c>
      <c r="AJ607" s="616" t="e">
        <f t="shared" si="510"/>
        <v>#N/A</v>
      </c>
      <c r="AK607" s="616" t="e">
        <f t="shared" si="510"/>
        <v>#N/A</v>
      </c>
      <c r="AL607" s="616" t="e">
        <f t="shared" si="510"/>
        <v>#N/A</v>
      </c>
      <c r="AM607" s="616" t="e">
        <f t="shared" si="510"/>
        <v>#N/A</v>
      </c>
      <c r="AN607" s="616" t="e">
        <f t="shared" si="510"/>
        <v>#N/A</v>
      </c>
      <c r="AO607" s="616" t="e">
        <f t="shared" si="510"/>
        <v>#N/A</v>
      </c>
      <c r="AP607" s="616" t="e">
        <f t="shared" si="510"/>
        <v>#N/A</v>
      </c>
      <c r="AQ607" s="616" t="e">
        <f t="shared" si="510"/>
        <v>#N/A</v>
      </c>
      <c r="AR607" s="616" t="e">
        <f t="shared" si="510"/>
        <v>#N/A</v>
      </c>
      <c r="AS607" s="616" t="e">
        <f t="shared" si="510"/>
        <v>#N/A</v>
      </c>
      <c r="AT607" s="616" t="e">
        <f t="shared" si="510"/>
        <v>#N/A</v>
      </c>
      <c r="AU607" s="616" t="e">
        <f t="shared" si="510"/>
        <v>#N/A</v>
      </c>
      <c r="AV607" s="616" t="e">
        <f t="shared" si="510"/>
        <v>#N/A</v>
      </c>
      <c r="AW607" s="616" t="e">
        <f t="shared" si="510"/>
        <v>#N/A</v>
      </c>
      <c r="AX607" s="616" t="e">
        <f t="shared" si="510"/>
        <v>#N/A</v>
      </c>
      <c r="AY607" s="616" t="e">
        <f t="shared" si="510"/>
        <v>#N/A</v>
      </c>
      <c r="AZ607" s="616" t="e">
        <f t="shared" si="510"/>
        <v>#N/A</v>
      </c>
      <c r="BA607" s="616" t="e">
        <f t="shared" si="510"/>
        <v>#N/A</v>
      </c>
      <c r="BB607" s="616" t="e">
        <f t="shared" si="510"/>
        <v>#N/A</v>
      </c>
      <c r="BC607" s="616" t="e">
        <f t="shared" si="510"/>
        <v>#N/A</v>
      </c>
      <c r="BD607" s="616" t="e">
        <f t="shared" si="510"/>
        <v>#N/A</v>
      </c>
      <c r="BE607" s="616" t="e">
        <f t="shared" si="510"/>
        <v>#N/A</v>
      </c>
      <c r="BF607" s="616" t="e">
        <f t="shared" si="510"/>
        <v>#N/A</v>
      </c>
      <c r="BG607" s="616" t="e">
        <f t="shared" si="510"/>
        <v>#N/A</v>
      </c>
      <c r="BH607" s="616" t="e">
        <f t="shared" si="510"/>
        <v>#N/A</v>
      </c>
      <c r="BI607" s="616" t="e">
        <f t="shared" si="510"/>
        <v>#N/A</v>
      </c>
      <c r="BJ607" s="616" t="e">
        <f t="shared" si="510"/>
        <v>#N/A</v>
      </c>
      <c r="BK607" s="616" t="e">
        <f t="shared" si="510"/>
        <v>#N/A</v>
      </c>
      <c r="BL607" s="616" t="e">
        <f t="shared" si="510"/>
        <v>#N/A</v>
      </c>
      <c r="BM607" s="616" t="e">
        <f t="shared" si="510"/>
        <v>#N/A</v>
      </c>
      <c r="BN607" s="616" t="e">
        <f t="shared" si="510"/>
        <v>#N/A</v>
      </c>
      <c r="BO607" s="616" t="e">
        <f t="shared" si="510"/>
        <v>#N/A</v>
      </c>
      <c r="BP607" s="616" t="e">
        <f t="shared" si="510"/>
        <v>#N/A</v>
      </c>
      <c r="BQ607" s="616" t="e">
        <f t="shared" si="510"/>
        <v>#N/A</v>
      </c>
      <c r="BR607" s="616" t="e">
        <f t="shared" si="510"/>
        <v>#N/A</v>
      </c>
      <c r="BS607" s="616" t="e">
        <f t="shared" si="510"/>
        <v>#N/A</v>
      </c>
      <c r="BT607" s="616" t="e">
        <f t="shared" si="510"/>
        <v>#N/A</v>
      </c>
      <c r="BU607" s="616" t="e">
        <f t="shared" si="510"/>
        <v>#N/A</v>
      </c>
      <c r="BV607" s="616" t="e">
        <f t="shared" si="510"/>
        <v>#N/A</v>
      </c>
      <c r="BW607" s="616" t="e">
        <f t="shared" si="510"/>
        <v>#N/A</v>
      </c>
      <c r="BX607" s="616" t="e">
        <f t="shared" si="510"/>
        <v>#N/A</v>
      </c>
      <c r="BY607" s="616" t="e">
        <f t="shared" si="510"/>
        <v>#N/A</v>
      </c>
      <c r="BZ607" s="616" t="e">
        <f t="shared" si="510"/>
        <v>#N/A</v>
      </c>
      <c r="CA607" s="616" t="e">
        <f t="shared" si="510"/>
        <v>#N/A</v>
      </c>
      <c r="CB607" s="616" t="e">
        <f t="shared" si="510"/>
        <v>#N/A</v>
      </c>
      <c r="CC607" s="616" t="e">
        <f t="shared" si="510"/>
        <v>#N/A</v>
      </c>
      <c r="CD607" s="616" t="e">
        <f t="shared" si="510"/>
        <v>#N/A</v>
      </c>
      <c r="CE607" s="616" t="e">
        <f t="shared" si="510"/>
        <v>#N/A</v>
      </c>
      <c r="CF607" s="616" t="e">
        <f t="shared" si="510"/>
        <v>#N/A</v>
      </c>
      <c r="CG607" s="616" t="e">
        <f t="shared" ref="CG607:CN607" si="511">CG606-CG582</f>
        <v>#N/A</v>
      </c>
      <c r="CH607" s="616" t="e">
        <f t="shared" si="511"/>
        <v>#N/A</v>
      </c>
      <c r="CI607" s="616" t="e">
        <f t="shared" si="511"/>
        <v>#N/A</v>
      </c>
      <c r="CJ607" s="616" t="e">
        <f t="shared" si="511"/>
        <v>#N/A</v>
      </c>
      <c r="CK607" s="616" t="e">
        <f t="shared" si="511"/>
        <v>#N/A</v>
      </c>
      <c r="CL607" s="616" t="e">
        <f t="shared" si="511"/>
        <v>#N/A</v>
      </c>
      <c r="CM607" s="616" t="e">
        <f t="shared" si="511"/>
        <v>#N/A</v>
      </c>
      <c r="CN607" s="616" t="e">
        <f t="shared" si="511"/>
        <v>#N/A</v>
      </c>
    </row>
    <row r="608" spans="8:92" ht="13.5" thickBot="1">
      <c r="H608" s="602" t="s">
        <v>940</v>
      </c>
    </row>
    <row r="609" spans="8:92" ht="13.5" thickTop="1">
      <c r="H609" s="602" t="s">
        <v>940</v>
      </c>
      <c r="L609" s="757" t="s">
        <v>1310</v>
      </c>
      <c r="M609" s="758"/>
      <c r="N609" s="758"/>
      <c r="O609" s="758"/>
      <c r="P609" s="758"/>
      <c r="Q609" s="758"/>
      <c r="R609" s="758"/>
      <c r="S609" s="758"/>
      <c r="T609" s="758"/>
      <c r="U609" s="758"/>
      <c r="V609" s="758"/>
      <c r="W609" s="758"/>
      <c r="X609" s="758"/>
      <c r="Y609" s="758"/>
      <c r="Z609" s="758"/>
      <c r="AA609" s="758"/>
      <c r="AB609" s="758"/>
      <c r="AC609" s="758"/>
      <c r="AD609" s="758"/>
      <c r="AE609" s="758"/>
      <c r="AF609" s="758"/>
      <c r="AG609" s="758"/>
      <c r="AH609" s="758"/>
      <c r="AI609" s="758"/>
      <c r="AJ609" s="758"/>
      <c r="AK609" s="758"/>
      <c r="AL609" s="758"/>
      <c r="AM609" s="758"/>
      <c r="AN609" s="758"/>
      <c r="AO609" s="758"/>
      <c r="AP609" s="758"/>
      <c r="AQ609" s="758"/>
      <c r="AR609" s="758"/>
      <c r="AS609" s="758"/>
      <c r="AT609" s="758"/>
      <c r="AU609" s="758"/>
      <c r="AV609" s="758"/>
      <c r="AW609" s="758"/>
      <c r="AX609" s="758"/>
      <c r="AY609" s="758"/>
      <c r="AZ609" s="758"/>
      <c r="BA609" s="758"/>
      <c r="BB609" s="758"/>
      <c r="BC609" s="758"/>
      <c r="BD609" s="758"/>
      <c r="BE609" s="758"/>
      <c r="BF609" s="758"/>
      <c r="BG609" s="758"/>
      <c r="BH609" s="758"/>
      <c r="BI609" s="758"/>
      <c r="BJ609" s="758"/>
      <c r="BK609" s="758"/>
      <c r="BL609" s="758"/>
      <c r="BM609" s="758"/>
      <c r="BN609" s="758"/>
      <c r="BO609" s="758"/>
      <c r="BP609" s="758"/>
      <c r="BQ609" s="758"/>
      <c r="BR609" s="758"/>
      <c r="BS609" s="758"/>
      <c r="BT609" s="758"/>
      <c r="BU609" s="758"/>
      <c r="BV609" s="758"/>
      <c r="BW609" s="758"/>
      <c r="BX609" s="758"/>
      <c r="BY609" s="758"/>
      <c r="BZ609" s="758"/>
      <c r="CA609" s="758"/>
      <c r="CB609" s="758"/>
      <c r="CC609" s="758"/>
      <c r="CD609" s="758"/>
      <c r="CE609" s="758"/>
      <c r="CF609" s="758"/>
      <c r="CG609" s="758"/>
      <c r="CH609" s="758"/>
      <c r="CI609" s="758"/>
      <c r="CJ609" s="758"/>
      <c r="CK609" s="758"/>
      <c r="CL609" s="758"/>
      <c r="CM609" s="758"/>
      <c r="CN609" s="758"/>
    </row>
    <row r="610" spans="8:92">
      <c r="H610" s="602" t="s">
        <v>940</v>
      </c>
      <c r="L610" s="609"/>
      <c r="M610" s="609" t="s">
        <v>359</v>
      </c>
      <c r="N610" s="704" t="s">
        <v>929</v>
      </c>
      <c r="O610" s="704" t="s">
        <v>1193</v>
      </c>
      <c r="P610" s="704" t="s">
        <v>1194</v>
      </c>
      <c r="Q610" s="704" t="s">
        <v>1195</v>
      </c>
      <c r="R610" s="704" t="s">
        <v>1196</v>
      </c>
      <c r="S610" s="704" t="s">
        <v>1197</v>
      </c>
      <c r="T610" s="753"/>
      <c r="U610" s="692" t="s">
        <v>929</v>
      </c>
      <c r="AF610" s="753"/>
      <c r="AG610" s="704" t="s">
        <v>1193</v>
      </c>
      <c r="AR610" s="753"/>
      <c r="AS610" s="704" t="s">
        <v>1194</v>
      </c>
      <c r="BD610" s="753"/>
      <c r="BE610" s="704" t="s">
        <v>1195</v>
      </c>
      <c r="BP610" s="753"/>
      <c r="BQ610" s="704" t="s">
        <v>1196</v>
      </c>
      <c r="CB610" s="753"/>
      <c r="CC610" s="704" t="s">
        <v>1197</v>
      </c>
    </row>
    <row r="611" spans="8:92">
      <c r="H611" s="602" t="s">
        <v>940</v>
      </c>
      <c r="L611" s="611"/>
      <c r="M611" s="611"/>
      <c r="N611" s="754" t="s">
        <v>405</v>
      </c>
      <c r="O611" s="754" t="s">
        <v>405</v>
      </c>
      <c r="P611" s="754" t="s">
        <v>405</v>
      </c>
      <c r="Q611" s="754" t="s">
        <v>405</v>
      </c>
      <c r="R611" s="754" t="s">
        <v>405</v>
      </c>
      <c r="S611" s="754" t="s">
        <v>405</v>
      </c>
      <c r="T611" s="755"/>
      <c r="U611" s="754" t="s">
        <v>1259</v>
      </c>
      <c r="V611" s="754" t="s">
        <v>1260</v>
      </c>
      <c r="W611" s="754" t="s">
        <v>1261</v>
      </c>
      <c r="X611" s="754" t="s">
        <v>1262</v>
      </c>
      <c r="Y611" s="754" t="s">
        <v>947</v>
      </c>
      <c r="Z611" s="754" t="s">
        <v>1263</v>
      </c>
      <c r="AA611" s="754" t="s">
        <v>1264</v>
      </c>
      <c r="AB611" s="754" t="s">
        <v>1265</v>
      </c>
      <c r="AC611" s="754" t="s">
        <v>1266</v>
      </c>
      <c r="AD611" s="754" t="s">
        <v>1267</v>
      </c>
      <c r="AE611" s="754" t="s">
        <v>1268</v>
      </c>
      <c r="AF611" s="756" t="s">
        <v>1269</v>
      </c>
      <c r="AG611" s="754" t="s">
        <v>1259</v>
      </c>
      <c r="AH611" s="754" t="s">
        <v>1260</v>
      </c>
      <c r="AI611" s="754" t="s">
        <v>1261</v>
      </c>
      <c r="AJ611" s="754" t="s">
        <v>1262</v>
      </c>
      <c r="AK611" s="754" t="s">
        <v>947</v>
      </c>
      <c r="AL611" s="754" t="s">
        <v>1263</v>
      </c>
      <c r="AM611" s="754" t="s">
        <v>1264</v>
      </c>
      <c r="AN611" s="754" t="s">
        <v>1265</v>
      </c>
      <c r="AO611" s="754" t="s">
        <v>1266</v>
      </c>
      <c r="AP611" s="754" t="s">
        <v>1267</v>
      </c>
      <c r="AQ611" s="754" t="s">
        <v>1268</v>
      </c>
      <c r="AR611" s="756" t="s">
        <v>1269</v>
      </c>
      <c r="AS611" s="754" t="s">
        <v>1259</v>
      </c>
      <c r="AT611" s="754" t="s">
        <v>1260</v>
      </c>
      <c r="AU611" s="754" t="s">
        <v>1261</v>
      </c>
      <c r="AV611" s="754" t="s">
        <v>1262</v>
      </c>
      <c r="AW611" s="754" t="s">
        <v>947</v>
      </c>
      <c r="AX611" s="754" t="s">
        <v>1263</v>
      </c>
      <c r="AY611" s="754" t="s">
        <v>1264</v>
      </c>
      <c r="AZ611" s="754" t="s">
        <v>1265</v>
      </c>
      <c r="BA611" s="754" t="s">
        <v>1266</v>
      </c>
      <c r="BB611" s="754" t="s">
        <v>1267</v>
      </c>
      <c r="BC611" s="754" t="s">
        <v>1268</v>
      </c>
      <c r="BD611" s="756" t="s">
        <v>1269</v>
      </c>
      <c r="BE611" s="754" t="s">
        <v>1259</v>
      </c>
      <c r="BF611" s="754" t="s">
        <v>1260</v>
      </c>
      <c r="BG611" s="754" t="s">
        <v>1261</v>
      </c>
      <c r="BH611" s="754" t="s">
        <v>1262</v>
      </c>
      <c r="BI611" s="754" t="s">
        <v>947</v>
      </c>
      <c r="BJ611" s="754" t="s">
        <v>1263</v>
      </c>
      <c r="BK611" s="754" t="s">
        <v>1264</v>
      </c>
      <c r="BL611" s="754" t="s">
        <v>1265</v>
      </c>
      <c r="BM611" s="754" t="s">
        <v>1266</v>
      </c>
      <c r="BN611" s="754" t="s">
        <v>1267</v>
      </c>
      <c r="BO611" s="754" t="s">
        <v>1268</v>
      </c>
      <c r="BP611" s="756" t="s">
        <v>1269</v>
      </c>
      <c r="BQ611" s="754" t="s">
        <v>1259</v>
      </c>
      <c r="BR611" s="754" t="s">
        <v>1260</v>
      </c>
      <c r="BS611" s="754" t="s">
        <v>1261</v>
      </c>
      <c r="BT611" s="754" t="s">
        <v>1262</v>
      </c>
      <c r="BU611" s="754" t="s">
        <v>947</v>
      </c>
      <c r="BV611" s="754" t="s">
        <v>1263</v>
      </c>
      <c r="BW611" s="754" t="s">
        <v>1264</v>
      </c>
      <c r="BX611" s="754" t="s">
        <v>1265</v>
      </c>
      <c r="BY611" s="754" t="s">
        <v>1266</v>
      </c>
      <c r="BZ611" s="754" t="s">
        <v>1267</v>
      </c>
      <c r="CA611" s="754" t="s">
        <v>1268</v>
      </c>
      <c r="CB611" s="756" t="s">
        <v>1269</v>
      </c>
      <c r="CC611" s="754" t="s">
        <v>1259</v>
      </c>
      <c r="CD611" s="754" t="s">
        <v>1260</v>
      </c>
      <c r="CE611" s="754" t="s">
        <v>1261</v>
      </c>
      <c r="CF611" s="754" t="s">
        <v>1262</v>
      </c>
      <c r="CG611" s="754" t="s">
        <v>947</v>
      </c>
      <c r="CH611" s="754" t="s">
        <v>1263</v>
      </c>
      <c r="CI611" s="754" t="s">
        <v>1264</v>
      </c>
      <c r="CJ611" s="754" t="s">
        <v>1265</v>
      </c>
      <c r="CK611" s="754" t="s">
        <v>1266</v>
      </c>
      <c r="CL611" s="754" t="s">
        <v>1267</v>
      </c>
      <c r="CM611" s="754" t="s">
        <v>1268</v>
      </c>
      <c r="CN611" s="754" t="s">
        <v>1269</v>
      </c>
    </row>
    <row r="612" spans="8:92">
      <c r="H612" s="602" t="s">
        <v>940</v>
      </c>
      <c r="L612" s="609"/>
    </row>
    <row r="613" spans="8:92">
      <c r="H613" s="602" t="s">
        <v>940</v>
      </c>
      <c r="L613" s="618" t="s">
        <v>1290</v>
      </c>
      <c r="M613" s="600" t="s">
        <v>898</v>
      </c>
      <c r="N613" s="615" t="e">
        <f>SUM(U613:AF613)</f>
        <v>#N/A</v>
      </c>
      <c r="O613" s="615" t="e">
        <f>SUM(AG613:AR613)</f>
        <v>#N/A</v>
      </c>
      <c r="P613" s="615" t="e">
        <f>SUM(AS613:BD613)</f>
        <v>#N/A</v>
      </c>
      <c r="Q613" s="615" t="e">
        <f>SUM(BE613:BP613)</f>
        <v>#N/A</v>
      </c>
      <c r="R613" s="615" t="e">
        <f>SUM(BQ613:CB613)</f>
        <v>#N/A</v>
      </c>
      <c r="S613" s="615" t="e">
        <f>SUM(CC613:CN613)</f>
        <v>#N/A</v>
      </c>
      <c r="U613" s="615" t="e">
        <f>U491</f>
        <v>#N/A</v>
      </c>
      <c r="V613" s="615" t="e">
        <f t="shared" ref="V613:CG613" si="512">V491</f>
        <v>#N/A</v>
      </c>
      <c r="W613" s="615" t="e">
        <f t="shared" si="512"/>
        <v>#N/A</v>
      </c>
      <c r="X613" s="615" t="e">
        <f t="shared" si="512"/>
        <v>#N/A</v>
      </c>
      <c r="Y613" s="615" t="e">
        <f t="shared" si="512"/>
        <v>#N/A</v>
      </c>
      <c r="Z613" s="615" t="e">
        <f t="shared" si="512"/>
        <v>#N/A</v>
      </c>
      <c r="AA613" s="615" t="e">
        <f t="shared" si="512"/>
        <v>#N/A</v>
      </c>
      <c r="AB613" s="615" t="e">
        <f t="shared" si="512"/>
        <v>#N/A</v>
      </c>
      <c r="AC613" s="615" t="e">
        <f t="shared" si="512"/>
        <v>#N/A</v>
      </c>
      <c r="AD613" s="615" t="e">
        <f t="shared" si="512"/>
        <v>#N/A</v>
      </c>
      <c r="AE613" s="615" t="e">
        <f t="shared" si="512"/>
        <v>#N/A</v>
      </c>
      <c r="AF613" s="615" t="e">
        <f t="shared" si="512"/>
        <v>#N/A</v>
      </c>
      <c r="AG613" s="615" t="e">
        <f t="shared" si="512"/>
        <v>#N/A</v>
      </c>
      <c r="AH613" s="615" t="e">
        <f t="shared" si="512"/>
        <v>#N/A</v>
      </c>
      <c r="AI613" s="615" t="e">
        <f t="shared" si="512"/>
        <v>#N/A</v>
      </c>
      <c r="AJ613" s="615" t="e">
        <f t="shared" si="512"/>
        <v>#N/A</v>
      </c>
      <c r="AK613" s="615" t="e">
        <f t="shared" si="512"/>
        <v>#N/A</v>
      </c>
      <c r="AL613" s="615" t="e">
        <f t="shared" si="512"/>
        <v>#N/A</v>
      </c>
      <c r="AM613" s="615" t="e">
        <f t="shared" si="512"/>
        <v>#N/A</v>
      </c>
      <c r="AN613" s="615" t="e">
        <f t="shared" si="512"/>
        <v>#N/A</v>
      </c>
      <c r="AO613" s="615" t="e">
        <f t="shared" si="512"/>
        <v>#N/A</v>
      </c>
      <c r="AP613" s="615" t="e">
        <f t="shared" si="512"/>
        <v>#N/A</v>
      </c>
      <c r="AQ613" s="615" t="e">
        <f t="shared" si="512"/>
        <v>#N/A</v>
      </c>
      <c r="AR613" s="615" t="e">
        <f t="shared" si="512"/>
        <v>#N/A</v>
      </c>
      <c r="AS613" s="615" t="e">
        <f t="shared" si="512"/>
        <v>#N/A</v>
      </c>
      <c r="AT613" s="615" t="e">
        <f t="shared" si="512"/>
        <v>#N/A</v>
      </c>
      <c r="AU613" s="615" t="e">
        <f t="shared" si="512"/>
        <v>#N/A</v>
      </c>
      <c r="AV613" s="615" t="e">
        <f t="shared" si="512"/>
        <v>#N/A</v>
      </c>
      <c r="AW613" s="615" t="e">
        <f t="shared" si="512"/>
        <v>#N/A</v>
      </c>
      <c r="AX613" s="615" t="e">
        <f t="shared" si="512"/>
        <v>#N/A</v>
      </c>
      <c r="AY613" s="615" t="e">
        <f t="shared" si="512"/>
        <v>#N/A</v>
      </c>
      <c r="AZ613" s="615" t="e">
        <f t="shared" si="512"/>
        <v>#N/A</v>
      </c>
      <c r="BA613" s="615" t="e">
        <f t="shared" si="512"/>
        <v>#N/A</v>
      </c>
      <c r="BB613" s="615" t="e">
        <f t="shared" si="512"/>
        <v>#N/A</v>
      </c>
      <c r="BC613" s="615" t="e">
        <f t="shared" si="512"/>
        <v>#N/A</v>
      </c>
      <c r="BD613" s="615" t="e">
        <f t="shared" si="512"/>
        <v>#N/A</v>
      </c>
      <c r="BE613" s="615" t="e">
        <f t="shared" si="512"/>
        <v>#N/A</v>
      </c>
      <c r="BF613" s="615" t="e">
        <f t="shared" si="512"/>
        <v>#N/A</v>
      </c>
      <c r="BG613" s="615" t="e">
        <f t="shared" si="512"/>
        <v>#N/A</v>
      </c>
      <c r="BH613" s="615" t="e">
        <f t="shared" si="512"/>
        <v>#N/A</v>
      </c>
      <c r="BI613" s="615" t="e">
        <f t="shared" si="512"/>
        <v>#N/A</v>
      </c>
      <c r="BJ613" s="615" t="e">
        <f t="shared" si="512"/>
        <v>#N/A</v>
      </c>
      <c r="BK613" s="615" t="e">
        <f t="shared" si="512"/>
        <v>#N/A</v>
      </c>
      <c r="BL613" s="615" t="e">
        <f t="shared" si="512"/>
        <v>#N/A</v>
      </c>
      <c r="BM613" s="615" t="e">
        <f t="shared" si="512"/>
        <v>#N/A</v>
      </c>
      <c r="BN613" s="615" t="e">
        <f t="shared" si="512"/>
        <v>#N/A</v>
      </c>
      <c r="BO613" s="615" t="e">
        <f t="shared" si="512"/>
        <v>#N/A</v>
      </c>
      <c r="BP613" s="615" t="e">
        <f t="shared" si="512"/>
        <v>#N/A</v>
      </c>
      <c r="BQ613" s="615" t="e">
        <f t="shared" si="512"/>
        <v>#N/A</v>
      </c>
      <c r="BR613" s="615" t="e">
        <f t="shared" si="512"/>
        <v>#N/A</v>
      </c>
      <c r="BS613" s="615" t="e">
        <f t="shared" si="512"/>
        <v>#N/A</v>
      </c>
      <c r="BT613" s="615" t="e">
        <f t="shared" si="512"/>
        <v>#N/A</v>
      </c>
      <c r="BU613" s="615" t="e">
        <f t="shared" si="512"/>
        <v>#N/A</v>
      </c>
      <c r="BV613" s="615" t="e">
        <f t="shared" si="512"/>
        <v>#N/A</v>
      </c>
      <c r="BW613" s="615" t="e">
        <f t="shared" si="512"/>
        <v>#N/A</v>
      </c>
      <c r="BX613" s="615" t="e">
        <f t="shared" si="512"/>
        <v>#N/A</v>
      </c>
      <c r="BY613" s="615" t="e">
        <f t="shared" si="512"/>
        <v>#N/A</v>
      </c>
      <c r="BZ613" s="615" t="e">
        <f t="shared" si="512"/>
        <v>#N/A</v>
      </c>
      <c r="CA613" s="615" t="e">
        <f t="shared" si="512"/>
        <v>#N/A</v>
      </c>
      <c r="CB613" s="615" t="e">
        <f t="shared" si="512"/>
        <v>#N/A</v>
      </c>
      <c r="CC613" s="615" t="e">
        <f t="shared" si="512"/>
        <v>#N/A</v>
      </c>
      <c r="CD613" s="615" t="e">
        <f t="shared" si="512"/>
        <v>#N/A</v>
      </c>
      <c r="CE613" s="615" t="e">
        <f t="shared" si="512"/>
        <v>#N/A</v>
      </c>
      <c r="CF613" s="615" t="e">
        <f t="shared" si="512"/>
        <v>#N/A</v>
      </c>
      <c r="CG613" s="615" t="e">
        <f t="shared" si="512"/>
        <v>#N/A</v>
      </c>
      <c r="CH613" s="615" t="e">
        <f t="shared" ref="CH613:CN613" si="513">CH491</f>
        <v>#N/A</v>
      </c>
      <c r="CI613" s="615" t="e">
        <f t="shared" si="513"/>
        <v>#N/A</v>
      </c>
      <c r="CJ613" s="615" t="e">
        <f t="shared" si="513"/>
        <v>#N/A</v>
      </c>
      <c r="CK613" s="615" t="e">
        <f t="shared" si="513"/>
        <v>#N/A</v>
      </c>
      <c r="CL613" s="615" t="e">
        <f t="shared" si="513"/>
        <v>#N/A</v>
      </c>
      <c r="CM613" s="615" t="e">
        <f t="shared" si="513"/>
        <v>#N/A</v>
      </c>
      <c r="CN613" s="615" t="e">
        <f t="shared" si="513"/>
        <v>#N/A</v>
      </c>
    </row>
    <row r="614" spans="8:92">
      <c r="H614" s="602" t="s">
        <v>940</v>
      </c>
      <c r="L614" s="609"/>
      <c r="N614" s="615"/>
      <c r="O614" s="615"/>
      <c r="P614" s="615"/>
      <c r="Q614" s="615"/>
      <c r="R614" s="615"/>
      <c r="S614" s="615"/>
    </row>
    <row r="615" spans="8:92">
      <c r="H615" s="602" t="s">
        <v>940</v>
      </c>
      <c r="L615" s="618" t="s">
        <v>1296</v>
      </c>
      <c r="M615" s="600" t="s">
        <v>898</v>
      </c>
      <c r="N615" s="615" t="e">
        <f>SUM(U615:AF615)</f>
        <v>#N/A</v>
      </c>
      <c r="O615" s="615" t="e">
        <f>SUM(AG615:AR615)</f>
        <v>#N/A</v>
      </c>
      <c r="P615" s="615" t="e">
        <f>SUM(AS615:BD615)</f>
        <v>#N/A</v>
      </c>
      <c r="Q615" s="615" t="e">
        <f>SUM(BE615:BP615)</f>
        <v>#N/A</v>
      </c>
      <c r="R615" s="615" t="e">
        <f>SUM(BQ615:CB615)</f>
        <v>#N/A</v>
      </c>
      <c r="S615" s="615" t="e">
        <f>SUM(CC615:CN615)</f>
        <v>#N/A</v>
      </c>
      <c r="U615" s="615" t="e">
        <f t="shared" ref="U615:AF615" si="514">MIN(U613,N$422)</f>
        <v>#N/A</v>
      </c>
      <c r="V615" s="615" t="e">
        <f t="shared" si="514"/>
        <v>#N/A</v>
      </c>
      <c r="W615" s="615" t="e">
        <f t="shared" si="514"/>
        <v>#N/A</v>
      </c>
      <c r="X615" s="615" t="e">
        <f t="shared" si="514"/>
        <v>#N/A</v>
      </c>
      <c r="Y615" s="615" t="e">
        <f t="shared" si="514"/>
        <v>#N/A</v>
      </c>
      <c r="Z615" s="615" t="e">
        <f t="shared" si="514"/>
        <v>#N/A</v>
      </c>
      <c r="AA615" s="615" t="e">
        <f t="shared" si="514"/>
        <v>#N/A</v>
      </c>
      <c r="AB615" s="615" t="e">
        <f t="shared" si="514"/>
        <v>#N/A</v>
      </c>
      <c r="AC615" s="615" t="e">
        <f t="shared" si="514"/>
        <v>#N/A</v>
      </c>
      <c r="AD615" s="615" t="e">
        <f t="shared" si="514"/>
        <v>#N/A</v>
      </c>
      <c r="AE615" s="615" t="e">
        <f t="shared" si="514"/>
        <v>#N/A</v>
      </c>
      <c r="AF615" s="615" t="e">
        <f t="shared" si="514"/>
        <v>#N/A</v>
      </c>
      <c r="AG615" s="615" t="e">
        <f t="shared" ref="AG615:AR615" si="515">MIN(AG613,N$422)</f>
        <v>#N/A</v>
      </c>
      <c r="AH615" s="615" t="e">
        <f t="shared" si="515"/>
        <v>#N/A</v>
      </c>
      <c r="AI615" s="615" t="e">
        <f t="shared" si="515"/>
        <v>#N/A</v>
      </c>
      <c r="AJ615" s="615" t="e">
        <f t="shared" si="515"/>
        <v>#N/A</v>
      </c>
      <c r="AK615" s="615" t="e">
        <f t="shared" si="515"/>
        <v>#N/A</v>
      </c>
      <c r="AL615" s="615" t="e">
        <f t="shared" si="515"/>
        <v>#N/A</v>
      </c>
      <c r="AM615" s="615" t="e">
        <f t="shared" si="515"/>
        <v>#N/A</v>
      </c>
      <c r="AN615" s="615" t="e">
        <f t="shared" si="515"/>
        <v>#N/A</v>
      </c>
      <c r="AO615" s="615" t="e">
        <f t="shared" si="515"/>
        <v>#N/A</v>
      </c>
      <c r="AP615" s="615" t="e">
        <f t="shared" si="515"/>
        <v>#N/A</v>
      </c>
      <c r="AQ615" s="615" t="e">
        <f t="shared" si="515"/>
        <v>#N/A</v>
      </c>
      <c r="AR615" s="615" t="e">
        <f t="shared" si="515"/>
        <v>#N/A</v>
      </c>
      <c r="AS615" s="615" t="e">
        <f t="shared" ref="AS615:BD615" si="516">MIN(AS613,N$422)</f>
        <v>#N/A</v>
      </c>
      <c r="AT615" s="615" t="e">
        <f t="shared" si="516"/>
        <v>#N/A</v>
      </c>
      <c r="AU615" s="615" t="e">
        <f t="shared" si="516"/>
        <v>#N/A</v>
      </c>
      <c r="AV615" s="615" t="e">
        <f t="shared" si="516"/>
        <v>#N/A</v>
      </c>
      <c r="AW615" s="615" t="e">
        <f t="shared" si="516"/>
        <v>#N/A</v>
      </c>
      <c r="AX615" s="615" t="e">
        <f t="shared" si="516"/>
        <v>#N/A</v>
      </c>
      <c r="AY615" s="615" t="e">
        <f t="shared" si="516"/>
        <v>#N/A</v>
      </c>
      <c r="AZ615" s="615" t="e">
        <f t="shared" si="516"/>
        <v>#N/A</v>
      </c>
      <c r="BA615" s="615" t="e">
        <f t="shared" si="516"/>
        <v>#N/A</v>
      </c>
      <c r="BB615" s="615" t="e">
        <f t="shared" si="516"/>
        <v>#N/A</v>
      </c>
      <c r="BC615" s="615" t="e">
        <f t="shared" si="516"/>
        <v>#N/A</v>
      </c>
      <c r="BD615" s="615" t="e">
        <f t="shared" si="516"/>
        <v>#N/A</v>
      </c>
      <c r="BE615" s="615" t="e">
        <f t="shared" ref="BE615:BP615" si="517">MIN(BE613,N$422)</f>
        <v>#N/A</v>
      </c>
      <c r="BF615" s="615" t="e">
        <f t="shared" si="517"/>
        <v>#N/A</v>
      </c>
      <c r="BG615" s="615" t="e">
        <f t="shared" si="517"/>
        <v>#N/A</v>
      </c>
      <c r="BH615" s="615" t="e">
        <f t="shared" si="517"/>
        <v>#N/A</v>
      </c>
      <c r="BI615" s="615" t="e">
        <f t="shared" si="517"/>
        <v>#N/A</v>
      </c>
      <c r="BJ615" s="615" t="e">
        <f t="shared" si="517"/>
        <v>#N/A</v>
      </c>
      <c r="BK615" s="615" t="e">
        <f t="shared" si="517"/>
        <v>#N/A</v>
      </c>
      <c r="BL615" s="615" t="e">
        <f t="shared" si="517"/>
        <v>#N/A</v>
      </c>
      <c r="BM615" s="615" t="e">
        <f t="shared" si="517"/>
        <v>#N/A</v>
      </c>
      <c r="BN615" s="615" t="e">
        <f t="shared" si="517"/>
        <v>#N/A</v>
      </c>
      <c r="BO615" s="615" t="e">
        <f t="shared" si="517"/>
        <v>#N/A</v>
      </c>
      <c r="BP615" s="615" t="e">
        <f t="shared" si="517"/>
        <v>#N/A</v>
      </c>
      <c r="BQ615" s="615" t="e">
        <f t="shared" ref="BQ615:CB615" si="518">MIN(BQ613,N$422)</f>
        <v>#N/A</v>
      </c>
      <c r="BR615" s="615" t="e">
        <f t="shared" si="518"/>
        <v>#N/A</v>
      </c>
      <c r="BS615" s="615" t="e">
        <f t="shared" si="518"/>
        <v>#N/A</v>
      </c>
      <c r="BT615" s="615" t="e">
        <f t="shared" si="518"/>
        <v>#N/A</v>
      </c>
      <c r="BU615" s="615" t="e">
        <f t="shared" si="518"/>
        <v>#N/A</v>
      </c>
      <c r="BV615" s="615" t="e">
        <f t="shared" si="518"/>
        <v>#N/A</v>
      </c>
      <c r="BW615" s="615" t="e">
        <f t="shared" si="518"/>
        <v>#N/A</v>
      </c>
      <c r="BX615" s="615" t="e">
        <f t="shared" si="518"/>
        <v>#N/A</v>
      </c>
      <c r="BY615" s="615" t="e">
        <f t="shared" si="518"/>
        <v>#N/A</v>
      </c>
      <c r="BZ615" s="615" t="e">
        <f t="shared" si="518"/>
        <v>#N/A</v>
      </c>
      <c r="CA615" s="615" t="e">
        <f t="shared" si="518"/>
        <v>#N/A</v>
      </c>
      <c r="CB615" s="615" t="e">
        <f t="shared" si="518"/>
        <v>#N/A</v>
      </c>
      <c r="CC615" s="615" t="e">
        <f t="shared" ref="CC615:CN615" si="519">MIN(CC613,N$422)</f>
        <v>#N/A</v>
      </c>
      <c r="CD615" s="615" t="e">
        <f t="shared" si="519"/>
        <v>#N/A</v>
      </c>
      <c r="CE615" s="615" t="e">
        <f t="shared" si="519"/>
        <v>#N/A</v>
      </c>
      <c r="CF615" s="615" t="e">
        <f t="shared" si="519"/>
        <v>#N/A</v>
      </c>
      <c r="CG615" s="615" t="e">
        <f t="shared" si="519"/>
        <v>#N/A</v>
      </c>
      <c r="CH615" s="615" t="e">
        <f t="shared" si="519"/>
        <v>#N/A</v>
      </c>
      <c r="CI615" s="615" t="e">
        <f t="shared" si="519"/>
        <v>#N/A</v>
      </c>
      <c r="CJ615" s="615" t="e">
        <f t="shared" si="519"/>
        <v>#N/A</v>
      </c>
      <c r="CK615" s="615" t="e">
        <f t="shared" si="519"/>
        <v>#N/A</v>
      </c>
      <c r="CL615" s="615" t="e">
        <f t="shared" si="519"/>
        <v>#N/A</v>
      </c>
      <c r="CM615" s="615" t="e">
        <f t="shared" si="519"/>
        <v>#N/A</v>
      </c>
      <c r="CN615" s="615" t="e">
        <f t="shared" si="519"/>
        <v>#N/A</v>
      </c>
    </row>
    <row r="616" spans="8:92">
      <c r="H616" s="602" t="s">
        <v>940</v>
      </c>
      <c r="L616" s="618" t="s">
        <v>1297</v>
      </c>
      <c r="M616" s="600" t="s">
        <v>898</v>
      </c>
      <c r="N616" s="615" t="e">
        <f>SUM(U616:AF616)</f>
        <v>#N/A</v>
      </c>
      <c r="O616" s="615" t="e">
        <f>SUM(AG616:AR616)</f>
        <v>#N/A</v>
      </c>
      <c r="P616" s="615" t="e">
        <f>SUM(AS616:BD616)</f>
        <v>#N/A</v>
      </c>
      <c r="Q616" s="615" t="e">
        <f>SUM(BE616:BP616)</f>
        <v>#N/A</v>
      </c>
      <c r="R616" s="615" t="e">
        <f>SUM(BQ616:CB616)</f>
        <v>#N/A</v>
      </c>
      <c r="S616" s="615" t="e">
        <f>SUM(CC616:CN616)</f>
        <v>#N/A</v>
      </c>
      <c r="U616" s="615" t="e">
        <f t="shared" ref="U616:AF616" si="520">MIN(U613-U615,N$423)</f>
        <v>#N/A</v>
      </c>
      <c r="V616" s="615" t="e">
        <f t="shared" si="520"/>
        <v>#N/A</v>
      </c>
      <c r="W616" s="615" t="e">
        <f t="shared" si="520"/>
        <v>#N/A</v>
      </c>
      <c r="X616" s="615" t="e">
        <f t="shared" si="520"/>
        <v>#N/A</v>
      </c>
      <c r="Y616" s="615" t="e">
        <f t="shared" si="520"/>
        <v>#N/A</v>
      </c>
      <c r="Z616" s="615" t="e">
        <f t="shared" si="520"/>
        <v>#N/A</v>
      </c>
      <c r="AA616" s="615" t="e">
        <f t="shared" si="520"/>
        <v>#N/A</v>
      </c>
      <c r="AB616" s="615" t="e">
        <f t="shared" si="520"/>
        <v>#N/A</v>
      </c>
      <c r="AC616" s="615" t="e">
        <f t="shared" si="520"/>
        <v>#N/A</v>
      </c>
      <c r="AD616" s="615" t="e">
        <f t="shared" si="520"/>
        <v>#N/A</v>
      </c>
      <c r="AE616" s="615" t="e">
        <f t="shared" si="520"/>
        <v>#N/A</v>
      </c>
      <c r="AF616" s="615" t="e">
        <f t="shared" si="520"/>
        <v>#N/A</v>
      </c>
      <c r="AG616" s="615" t="e">
        <f t="shared" ref="AG616:AR616" si="521">MIN(AG613-AG615,N$423)</f>
        <v>#N/A</v>
      </c>
      <c r="AH616" s="615" t="e">
        <f t="shared" si="521"/>
        <v>#N/A</v>
      </c>
      <c r="AI616" s="615" t="e">
        <f t="shared" si="521"/>
        <v>#N/A</v>
      </c>
      <c r="AJ616" s="615" t="e">
        <f t="shared" si="521"/>
        <v>#N/A</v>
      </c>
      <c r="AK616" s="615" t="e">
        <f t="shared" si="521"/>
        <v>#N/A</v>
      </c>
      <c r="AL616" s="615" t="e">
        <f t="shared" si="521"/>
        <v>#N/A</v>
      </c>
      <c r="AM616" s="615" t="e">
        <f t="shared" si="521"/>
        <v>#N/A</v>
      </c>
      <c r="AN616" s="615" t="e">
        <f t="shared" si="521"/>
        <v>#N/A</v>
      </c>
      <c r="AO616" s="615" t="e">
        <f t="shared" si="521"/>
        <v>#N/A</v>
      </c>
      <c r="AP616" s="615" t="e">
        <f t="shared" si="521"/>
        <v>#N/A</v>
      </c>
      <c r="AQ616" s="615" t="e">
        <f t="shared" si="521"/>
        <v>#N/A</v>
      </c>
      <c r="AR616" s="615" t="e">
        <f t="shared" si="521"/>
        <v>#N/A</v>
      </c>
      <c r="AS616" s="615" t="e">
        <f t="shared" ref="AS616:BD616" si="522">MIN(AS613-AS615,N$423)</f>
        <v>#N/A</v>
      </c>
      <c r="AT616" s="615" t="e">
        <f t="shared" si="522"/>
        <v>#N/A</v>
      </c>
      <c r="AU616" s="615" t="e">
        <f t="shared" si="522"/>
        <v>#N/A</v>
      </c>
      <c r="AV616" s="615" t="e">
        <f t="shared" si="522"/>
        <v>#N/A</v>
      </c>
      <c r="AW616" s="615" t="e">
        <f t="shared" si="522"/>
        <v>#N/A</v>
      </c>
      <c r="AX616" s="615" t="e">
        <f t="shared" si="522"/>
        <v>#N/A</v>
      </c>
      <c r="AY616" s="615" t="e">
        <f t="shared" si="522"/>
        <v>#N/A</v>
      </c>
      <c r="AZ616" s="615" t="e">
        <f t="shared" si="522"/>
        <v>#N/A</v>
      </c>
      <c r="BA616" s="615" t="e">
        <f t="shared" si="522"/>
        <v>#N/A</v>
      </c>
      <c r="BB616" s="615" t="e">
        <f t="shared" si="522"/>
        <v>#N/A</v>
      </c>
      <c r="BC616" s="615" t="e">
        <f t="shared" si="522"/>
        <v>#N/A</v>
      </c>
      <c r="BD616" s="615" t="e">
        <f t="shared" si="522"/>
        <v>#N/A</v>
      </c>
      <c r="BE616" s="615" t="e">
        <f t="shared" ref="BE616:BP616" si="523">MIN(BE613-BE615,N$423)</f>
        <v>#N/A</v>
      </c>
      <c r="BF616" s="615" t="e">
        <f t="shared" si="523"/>
        <v>#N/A</v>
      </c>
      <c r="BG616" s="615" t="e">
        <f t="shared" si="523"/>
        <v>#N/A</v>
      </c>
      <c r="BH616" s="615" t="e">
        <f t="shared" si="523"/>
        <v>#N/A</v>
      </c>
      <c r="BI616" s="615" t="e">
        <f t="shared" si="523"/>
        <v>#N/A</v>
      </c>
      <c r="BJ616" s="615" t="e">
        <f t="shared" si="523"/>
        <v>#N/A</v>
      </c>
      <c r="BK616" s="615" t="e">
        <f t="shared" si="523"/>
        <v>#N/A</v>
      </c>
      <c r="BL616" s="615" t="e">
        <f t="shared" si="523"/>
        <v>#N/A</v>
      </c>
      <c r="BM616" s="615" t="e">
        <f t="shared" si="523"/>
        <v>#N/A</v>
      </c>
      <c r="BN616" s="615" t="e">
        <f t="shared" si="523"/>
        <v>#N/A</v>
      </c>
      <c r="BO616" s="615" t="e">
        <f t="shared" si="523"/>
        <v>#N/A</v>
      </c>
      <c r="BP616" s="615" t="e">
        <f t="shared" si="523"/>
        <v>#N/A</v>
      </c>
      <c r="BQ616" s="615" t="e">
        <f t="shared" ref="BQ616:CB616" si="524">MIN(BQ613-BQ615,N$423)</f>
        <v>#N/A</v>
      </c>
      <c r="BR616" s="615" t="e">
        <f t="shared" si="524"/>
        <v>#N/A</v>
      </c>
      <c r="BS616" s="615" t="e">
        <f t="shared" si="524"/>
        <v>#N/A</v>
      </c>
      <c r="BT616" s="615" t="e">
        <f t="shared" si="524"/>
        <v>#N/A</v>
      </c>
      <c r="BU616" s="615" t="e">
        <f t="shared" si="524"/>
        <v>#N/A</v>
      </c>
      <c r="BV616" s="615" t="e">
        <f t="shared" si="524"/>
        <v>#N/A</v>
      </c>
      <c r="BW616" s="615" t="e">
        <f t="shared" si="524"/>
        <v>#N/A</v>
      </c>
      <c r="BX616" s="615" t="e">
        <f t="shared" si="524"/>
        <v>#N/A</v>
      </c>
      <c r="BY616" s="615" t="e">
        <f t="shared" si="524"/>
        <v>#N/A</v>
      </c>
      <c r="BZ616" s="615" t="e">
        <f t="shared" si="524"/>
        <v>#N/A</v>
      </c>
      <c r="CA616" s="615" t="e">
        <f t="shared" si="524"/>
        <v>#N/A</v>
      </c>
      <c r="CB616" s="615" t="e">
        <f t="shared" si="524"/>
        <v>#N/A</v>
      </c>
      <c r="CC616" s="615" t="e">
        <f t="shared" ref="CC616:CN616" si="525">MIN(CC613-CC615,N$423)</f>
        <v>#N/A</v>
      </c>
      <c r="CD616" s="615" t="e">
        <f t="shared" si="525"/>
        <v>#N/A</v>
      </c>
      <c r="CE616" s="615" t="e">
        <f t="shared" si="525"/>
        <v>#N/A</v>
      </c>
      <c r="CF616" s="615" t="e">
        <f t="shared" si="525"/>
        <v>#N/A</v>
      </c>
      <c r="CG616" s="615" t="e">
        <f t="shared" si="525"/>
        <v>#N/A</v>
      </c>
      <c r="CH616" s="615" t="e">
        <f t="shared" si="525"/>
        <v>#N/A</v>
      </c>
      <c r="CI616" s="615" t="e">
        <f t="shared" si="525"/>
        <v>#N/A</v>
      </c>
      <c r="CJ616" s="615" t="e">
        <f t="shared" si="525"/>
        <v>#N/A</v>
      </c>
      <c r="CK616" s="615" t="e">
        <f t="shared" si="525"/>
        <v>#N/A</v>
      </c>
      <c r="CL616" s="615" t="e">
        <f t="shared" si="525"/>
        <v>#N/A</v>
      </c>
      <c r="CM616" s="615" t="e">
        <f t="shared" si="525"/>
        <v>#N/A</v>
      </c>
      <c r="CN616" s="615" t="e">
        <f t="shared" si="525"/>
        <v>#N/A</v>
      </c>
    </row>
    <row r="617" spans="8:92">
      <c r="H617" s="602" t="s">
        <v>940</v>
      </c>
      <c r="L617" s="618" t="s">
        <v>1298</v>
      </c>
      <c r="M617" s="600" t="s">
        <v>898</v>
      </c>
      <c r="N617" s="615" t="e">
        <f>SUM(U617:AF617)</f>
        <v>#N/A</v>
      </c>
      <c r="O617" s="615" t="e">
        <f>SUM(AG617:AR617)</f>
        <v>#N/A</v>
      </c>
      <c r="P617" s="615" t="e">
        <f>SUM(AS617:BD617)</f>
        <v>#N/A</v>
      </c>
      <c r="Q617" s="615" t="e">
        <f>SUM(BE617:BP617)</f>
        <v>#N/A</v>
      </c>
      <c r="R617" s="615" t="e">
        <f>SUM(BQ617:CB617)</f>
        <v>#N/A</v>
      </c>
      <c r="S617" s="615" t="e">
        <f>SUM(CC617:CN617)</f>
        <v>#N/A</v>
      </c>
      <c r="U617" s="615" t="e">
        <f t="shared" ref="U617:AF617" si="526">MIN(U613-(U615+U616),N$424)</f>
        <v>#N/A</v>
      </c>
      <c r="V617" s="615" t="e">
        <f t="shared" si="526"/>
        <v>#N/A</v>
      </c>
      <c r="W617" s="615" t="e">
        <f t="shared" si="526"/>
        <v>#N/A</v>
      </c>
      <c r="X617" s="615" t="e">
        <f t="shared" si="526"/>
        <v>#N/A</v>
      </c>
      <c r="Y617" s="615" t="e">
        <f t="shared" si="526"/>
        <v>#N/A</v>
      </c>
      <c r="Z617" s="615" t="e">
        <f t="shared" si="526"/>
        <v>#N/A</v>
      </c>
      <c r="AA617" s="615" t="e">
        <f t="shared" si="526"/>
        <v>#N/A</v>
      </c>
      <c r="AB617" s="615" t="e">
        <f t="shared" si="526"/>
        <v>#N/A</v>
      </c>
      <c r="AC617" s="615" t="e">
        <f t="shared" si="526"/>
        <v>#N/A</v>
      </c>
      <c r="AD617" s="615" t="e">
        <f t="shared" si="526"/>
        <v>#N/A</v>
      </c>
      <c r="AE617" s="615" t="e">
        <f t="shared" si="526"/>
        <v>#N/A</v>
      </c>
      <c r="AF617" s="615" t="e">
        <f t="shared" si="526"/>
        <v>#N/A</v>
      </c>
      <c r="AG617" s="615" t="e">
        <f t="shared" ref="AG617:AR617" si="527">MIN(AG613-(AG615+AG616),N$424)</f>
        <v>#N/A</v>
      </c>
      <c r="AH617" s="615" t="e">
        <f t="shared" si="527"/>
        <v>#N/A</v>
      </c>
      <c r="AI617" s="615" t="e">
        <f t="shared" si="527"/>
        <v>#N/A</v>
      </c>
      <c r="AJ617" s="615" t="e">
        <f t="shared" si="527"/>
        <v>#N/A</v>
      </c>
      <c r="AK617" s="615" t="e">
        <f t="shared" si="527"/>
        <v>#N/A</v>
      </c>
      <c r="AL617" s="615" t="e">
        <f t="shared" si="527"/>
        <v>#N/A</v>
      </c>
      <c r="AM617" s="615" t="e">
        <f t="shared" si="527"/>
        <v>#N/A</v>
      </c>
      <c r="AN617" s="615" t="e">
        <f t="shared" si="527"/>
        <v>#N/A</v>
      </c>
      <c r="AO617" s="615" t="e">
        <f t="shared" si="527"/>
        <v>#N/A</v>
      </c>
      <c r="AP617" s="615" t="e">
        <f t="shared" si="527"/>
        <v>#N/A</v>
      </c>
      <c r="AQ617" s="615" t="e">
        <f t="shared" si="527"/>
        <v>#N/A</v>
      </c>
      <c r="AR617" s="615" t="e">
        <f t="shared" si="527"/>
        <v>#N/A</v>
      </c>
      <c r="AS617" s="615" t="e">
        <f t="shared" ref="AS617:BD617" si="528">MIN(AS613-(AS615+AS616),N$424)</f>
        <v>#N/A</v>
      </c>
      <c r="AT617" s="615" t="e">
        <f t="shared" si="528"/>
        <v>#N/A</v>
      </c>
      <c r="AU617" s="615" t="e">
        <f t="shared" si="528"/>
        <v>#N/A</v>
      </c>
      <c r="AV617" s="615" t="e">
        <f t="shared" si="528"/>
        <v>#N/A</v>
      </c>
      <c r="AW617" s="615" t="e">
        <f t="shared" si="528"/>
        <v>#N/A</v>
      </c>
      <c r="AX617" s="615" t="e">
        <f t="shared" si="528"/>
        <v>#N/A</v>
      </c>
      <c r="AY617" s="615" t="e">
        <f t="shared" si="528"/>
        <v>#N/A</v>
      </c>
      <c r="AZ617" s="615" t="e">
        <f t="shared" si="528"/>
        <v>#N/A</v>
      </c>
      <c r="BA617" s="615" t="e">
        <f t="shared" si="528"/>
        <v>#N/A</v>
      </c>
      <c r="BB617" s="615" t="e">
        <f t="shared" si="528"/>
        <v>#N/A</v>
      </c>
      <c r="BC617" s="615" t="e">
        <f t="shared" si="528"/>
        <v>#N/A</v>
      </c>
      <c r="BD617" s="615" t="e">
        <f t="shared" si="528"/>
        <v>#N/A</v>
      </c>
      <c r="BE617" s="615" t="e">
        <f t="shared" ref="BE617:BP617" si="529">MIN(BE613-(BE615+BE616),N$424)</f>
        <v>#N/A</v>
      </c>
      <c r="BF617" s="615" t="e">
        <f t="shared" si="529"/>
        <v>#N/A</v>
      </c>
      <c r="BG617" s="615" t="e">
        <f t="shared" si="529"/>
        <v>#N/A</v>
      </c>
      <c r="BH617" s="615" t="e">
        <f t="shared" si="529"/>
        <v>#N/A</v>
      </c>
      <c r="BI617" s="615" t="e">
        <f t="shared" si="529"/>
        <v>#N/A</v>
      </c>
      <c r="BJ617" s="615" t="e">
        <f t="shared" si="529"/>
        <v>#N/A</v>
      </c>
      <c r="BK617" s="615" t="e">
        <f t="shared" si="529"/>
        <v>#N/A</v>
      </c>
      <c r="BL617" s="615" t="e">
        <f t="shared" si="529"/>
        <v>#N/A</v>
      </c>
      <c r="BM617" s="615" t="e">
        <f t="shared" si="529"/>
        <v>#N/A</v>
      </c>
      <c r="BN617" s="615" t="e">
        <f t="shared" si="529"/>
        <v>#N/A</v>
      </c>
      <c r="BO617" s="615" t="e">
        <f t="shared" si="529"/>
        <v>#N/A</v>
      </c>
      <c r="BP617" s="615" t="e">
        <f t="shared" si="529"/>
        <v>#N/A</v>
      </c>
      <c r="BQ617" s="615" t="e">
        <f t="shared" ref="BQ617:CB617" si="530">MIN(BQ613-(BQ615+BQ616),N$424)</f>
        <v>#N/A</v>
      </c>
      <c r="BR617" s="615" t="e">
        <f t="shared" si="530"/>
        <v>#N/A</v>
      </c>
      <c r="BS617" s="615" t="e">
        <f t="shared" si="530"/>
        <v>#N/A</v>
      </c>
      <c r="BT617" s="615" t="e">
        <f t="shared" si="530"/>
        <v>#N/A</v>
      </c>
      <c r="BU617" s="615" t="e">
        <f t="shared" si="530"/>
        <v>#N/A</v>
      </c>
      <c r="BV617" s="615" t="e">
        <f t="shared" si="530"/>
        <v>#N/A</v>
      </c>
      <c r="BW617" s="615" t="e">
        <f t="shared" si="530"/>
        <v>#N/A</v>
      </c>
      <c r="BX617" s="615" t="e">
        <f t="shared" si="530"/>
        <v>#N/A</v>
      </c>
      <c r="BY617" s="615" t="e">
        <f t="shared" si="530"/>
        <v>#N/A</v>
      </c>
      <c r="BZ617" s="615" t="e">
        <f t="shared" si="530"/>
        <v>#N/A</v>
      </c>
      <c r="CA617" s="615" t="e">
        <f t="shared" si="530"/>
        <v>#N/A</v>
      </c>
      <c r="CB617" s="615" t="e">
        <f t="shared" si="530"/>
        <v>#N/A</v>
      </c>
      <c r="CC617" s="615" t="e">
        <f t="shared" ref="CC617:CN617" si="531">MIN(CC613-(CC615+CC616),N$424)</f>
        <v>#N/A</v>
      </c>
      <c r="CD617" s="615" t="e">
        <f t="shared" si="531"/>
        <v>#N/A</v>
      </c>
      <c r="CE617" s="615" t="e">
        <f t="shared" si="531"/>
        <v>#N/A</v>
      </c>
      <c r="CF617" s="615" t="e">
        <f t="shared" si="531"/>
        <v>#N/A</v>
      </c>
      <c r="CG617" s="615" t="e">
        <f t="shared" si="531"/>
        <v>#N/A</v>
      </c>
      <c r="CH617" s="615" t="e">
        <f t="shared" si="531"/>
        <v>#N/A</v>
      </c>
      <c r="CI617" s="615" t="e">
        <f t="shared" si="531"/>
        <v>#N/A</v>
      </c>
      <c r="CJ617" s="615" t="e">
        <f t="shared" si="531"/>
        <v>#N/A</v>
      </c>
      <c r="CK617" s="615" t="e">
        <f t="shared" si="531"/>
        <v>#N/A</v>
      </c>
      <c r="CL617" s="615" t="e">
        <f t="shared" si="531"/>
        <v>#N/A</v>
      </c>
      <c r="CM617" s="615" t="e">
        <f t="shared" si="531"/>
        <v>#N/A</v>
      </c>
      <c r="CN617" s="615" t="e">
        <f t="shared" si="531"/>
        <v>#N/A</v>
      </c>
    </row>
    <row r="618" spans="8:92">
      <c r="H618" s="602" t="s">
        <v>940</v>
      </c>
      <c r="L618" s="618" t="s">
        <v>1299</v>
      </c>
      <c r="M618" s="600" t="s">
        <v>898</v>
      </c>
      <c r="N618" s="615" t="e">
        <f>SUM(U618:AF618)</f>
        <v>#N/A</v>
      </c>
      <c r="O618" s="615" t="e">
        <f>SUM(AG618:AR618)</f>
        <v>#N/A</v>
      </c>
      <c r="P618" s="615" t="e">
        <f>SUM(AS618:BD618)</f>
        <v>#N/A</v>
      </c>
      <c r="Q618" s="615" t="e">
        <f>SUM(BE618:BP618)</f>
        <v>#N/A</v>
      </c>
      <c r="R618" s="615" t="e">
        <f>SUM(BQ618:CB618)</f>
        <v>#N/A</v>
      </c>
      <c r="S618" s="615" t="e">
        <f>SUM(CC618:CN618)</f>
        <v>#N/A</v>
      </c>
      <c r="U618" s="615" t="e">
        <f t="shared" ref="U618:AF618" si="532">MIN(U613-(U615+U616+U617),N$425)</f>
        <v>#N/A</v>
      </c>
      <c r="V618" s="615" t="e">
        <f t="shared" si="532"/>
        <v>#N/A</v>
      </c>
      <c r="W618" s="615" t="e">
        <f t="shared" si="532"/>
        <v>#N/A</v>
      </c>
      <c r="X618" s="615" t="e">
        <f t="shared" si="532"/>
        <v>#N/A</v>
      </c>
      <c r="Y618" s="615" t="e">
        <f t="shared" si="532"/>
        <v>#N/A</v>
      </c>
      <c r="Z618" s="615" t="e">
        <f t="shared" si="532"/>
        <v>#N/A</v>
      </c>
      <c r="AA618" s="615" t="e">
        <f t="shared" si="532"/>
        <v>#N/A</v>
      </c>
      <c r="AB618" s="615" t="e">
        <f t="shared" si="532"/>
        <v>#N/A</v>
      </c>
      <c r="AC618" s="615" t="e">
        <f t="shared" si="532"/>
        <v>#N/A</v>
      </c>
      <c r="AD618" s="615" t="e">
        <f t="shared" si="532"/>
        <v>#N/A</v>
      </c>
      <c r="AE618" s="615" t="e">
        <f t="shared" si="532"/>
        <v>#N/A</v>
      </c>
      <c r="AF618" s="615" t="e">
        <f t="shared" si="532"/>
        <v>#N/A</v>
      </c>
      <c r="AG618" s="615" t="e">
        <f t="shared" ref="AG618:AR618" si="533">MIN(AG613-(AG615+AG616+AG617),N$425)</f>
        <v>#N/A</v>
      </c>
      <c r="AH618" s="615" t="e">
        <f t="shared" si="533"/>
        <v>#N/A</v>
      </c>
      <c r="AI618" s="615" t="e">
        <f t="shared" si="533"/>
        <v>#N/A</v>
      </c>
      <c r="AJ618" s="615" t="e">
        <f t="shared" si="533"/>
        <v>#N/A</v>
      </c>
      <c r="AK618" s="615" t="e">
        <f t="shared" si="533"/>
        <v>#N/A</v>
      </c>
      <c r="AL618" s="615" t="e">
        <f t="shared" si="533"/>
        <v>#N/A</v>
      </c>
      <c r="AM618" s="615" t="e">
        <f t="shared" si="533"/>
        <v>#N/A</v>
      </c>
      <c r="AN618" s="615" t="e">
        <f t="shared" si="533"/>
        <v>#N/A</v>
      </c>
      <c r="AO618" s="615" t="e">
        <f t="shared" si="533"/>
        <v>#N/A</v>
      </c>
      <c r="AP618" s="615" t="e">
        <f t="shared" si="533"/>
        <v>#N/A</v>
      </c>
      <c r="AQ618" s="615" t="e">
        <f t="shared" si="533"/>
        <v>#N/A</v>
      </c>
      <c r="AR618" s="615" t="e">
        <f t="shared" si="533"/>
        <v>#N/A</v>
      </c>
      <c r="AS618" s="615" t="e">
        <f t="shared" ref="AS618:BD618" si="534">MIN(AS613-(AS615+AS616+AS617),N$425)</f>
        <v>#N/A</v>
      </c>
      <c r="AT618" s="615" t="e">
        <f t="shared" si="534"/>
        <v>#N/A</v>
      </c>
      <c r="AU618" s="615" t="e">
        <f t="shared" si="534"/>
        <v>#N/A</v>
      </c>
      <c r="AV618" s="615" t="e">
        <f t="shared" si="534"/>
        <v>#N/A</v>
      </c>
      <c r="AW618" s="615" t="e">
        <f t="shared" si="534"/>
        <v>#N/A</v>
      </c>
      <c r="AX618" s="615" t="e">
        <f t="shared" si="534"/>
        <v>#N/A</v>
      </c>
      <c r="AY618" s="615" t="e">
        <f t="shared" si="534"/>
        <v>#N/A</v>
      </c>
      <c r="AZ618" s="615" t="e">
        <f t="shared" si="534"/>
        <v>#N/A</v>
      </c>
      <c r="BA618" s="615" t="e">
        <f t="shared" si="534"/>
        <v>#N/A</v>
      </c>
      <c r="BB618" s="615" t="e">
        <f t="shared" si="534"/>
        <v>#N/A</v>
      </c>
      <c r="BC618" s="615" t="e">
        <f t="shared" si="534"/>
        <v>#N/A</v>
      </c>
      <c r="BD618" s="615" t="e">
        <f t="shared" si="534"/>
        <v>#N/A</v>
      </c>
      <c r="BE618" s="615" t="e">
        <f t="shared" ref="BE618:BP618" si="535">MIN(BE613-(BE615+BE616+BE617),N$425)</f>
        <v>#N/A</v>
      </c>
      <c r="BF618" s="615" t="e">
        <f t="shared" si="535"/>
        <v>#N/A</v>
      </c>
      <c r="BG618" s="615" t="e">
        <f t="shared" si="535"/>
        <v>#N/A</v>
      </c>
      <c r="BH618" s="615" t="e">
        <f t="shared" si="535"/>
        <v>#N/A</v>
      </c>
      <c r="BI618" s="615" t="e">
        <f t="shared" si="535"/>
        <v>#N/A</v>
      </c>
      <c r="BJ618" s="615" t="e">
        <f t="shared" si="535"/>
        <v>#N/A</v>
      </c>
      <c r="BK618" s="615" t="e">
        <f t="shared" si="535"/>
        <v>#N/A</v>
      </c>
      <c r="BL618" s="615" t="e">
        <f t="shared" si="535"/>
        <v>#N/A</v>
      </c>
      <c r="BM618" s="615" t="e">
        <f t="shared" si="535"/>
        <v>#N/A</v>
      </c>
      <c r="BN618" s="615" t="e">
        <f t="shared" si="535"/>
        <v>#N/A</v>
      </c>
      <c r="BO618" s="615" t="e">
        <f t="shared" si="535"/>
        <v>#N/A</v>
      </c>
      <c r="BP618" s="615" t="e">
        <f t="shared" si="535"/>
        <v>#N/A</v>
      </c>
      <c r="BQ618" s="615" t="e">
        <f t="shared" ref="BQ618:CB618" si="536">MIN(BQ613-(BQ615+BQ616+BQ617),N$425)</f>
        <v>#N/A</v>
      </c>
      <c r="BR618" s="615" t="e">
        <f t="shared" si="536"/>
        <v>#N/A</v>
      </c>
      <c r="BS618" s="615" t="e">
        <f t="shared" si="536"/>
        <v>#N/A</v>
      </c>
      <c r="BT618" s="615" t="e">
        <f t="shared" si="536"/>
        <v>#N/A</v>
      </c>
      <c r="BU618" s="615" t="e">
        <f t="shared" si="536"/>
        <v>#N/A</v>
      </c>
      <c r="BV618" s="615" t="e">
        <f t="shared" si="536"/>
        <v>#N/A</v>
      </c>
      <c r="BW618" s="615" t="e">
        <f t="shared" si="536"/>
        <v>#N/A</v>
      </c>
      <c r="BX618" s="615" t="e">
        <f t="shared" si="536"/>
        <v>#N/A</v>
      </c>
      <c r="BY618" s="615" t="e">
        <f t="shared" si="536"/>
        <v>#N/A</v>
      </c>
      <c r="BZ618" s="615" t="e">
        <f t="shared" si="536"/>
        <v>#N/A</v>
      </c>
      <c r="CA618" s="615" t="e">
        <f t="shared" si="536"/>
        <v>#N/A</v>
      </c>
      <c r="CB618" s="615" t="e">
        <f t="shared" si="536"/>
        <v>#N/A</v>
      </c>
      <c r="CC618" s="615" t="e">
        <f t="shared" ref="CC618:CN618" si="537">MIN(CC613-(CC615+CC616+CC617),N$425)</f>
        <v>#N/A</v>
      </c>
      <c r="CD618" s="615" t="e">
        <f t="shared" si="537"/>
        <v>#N/A</v>
      </c>
      <c r="CE618" s="615" t="e">
        <f t="shared" si="537"/>
        <v>#N/A</v>
      </c>
      <c r="CF618" s="615" t="e">
        <f t="shared" si="537"/>
        <v>#N/A</v>
      </c>
      <c r="CG618" s="615" t="e">
        <f t="shared" si="537"/>
        <v>#N/A</v>
      </c>
      <c r="CH618" s="615" t="e">
        <f t="shared" si="537"/>
        <v>#N/A</v>
      </c>
      <c r="CI618" s="615" t="e">
        <f t="shared" si="537"/>
        <v>#N/A</v>
      </c>
      <c r="CJ618" s="615" t="e">
        <f t="shared" si="537"/>
        <v>#N/A</v>
      </c>
      <c r="CK618" s="615" t="e">
        <f t="shared" si="537"/>
        <v>#N/A</v>
      </c>
      <c r="CL618" s="615" t="e">
        <f t="shared" si="537"/>
        <v>#N/A</v>
      </c>
      <c r="CM618" s="615" t="e">
        <f t="shared" si="537"/>
        <v>#N/A</v>
      </c>
      <c r="CN618" s="615" t="e">
        <f t="shared" si="537"/>
        <v>#N/A</v>
      </c>
    </row>
    <row r="619" spans="8:92">
      <c r="H619" s="602" t="s">
        <v>940</v>
      </c>
      <c r="L619" s="618"/>
      <c r="M619" s="600"/>
      <c r="N619" s="615"/>
      <c r="O619" s="615"/>
      <c r="P619" s="615"/>
      <c r="Q619" s="615"/>
      <c r="R619" s="615"/>
      <c r="S619" s="615"/>
    </row>
    <row r="620" spans="8:92">
      <c r="H620" s="602" t="s">
        <v>940</v>
      </c>
      <c r="L620" s="618" t="s">
        <v>1300</v>
      </c>
      <c r="M620" s="600" t="s">
        <v>974</v>
      </c>
      <c r="N620" s="615" t="e">
        <f>SUM(U620:AF620)</f>
        <v>#N/A</v>
      </c>
      <c r="O620" s="615" t="e">
        <f>SUM(AG620:AR620)</f>
        <v>#N/A</v>
      </c>
      <c r="P620" s="615" t="e">
        <f>SUM(AS620:BD620)</f>
        <v>#N/A</v>
      </c>
      <c r="Q620" s="615" t="e">
        <f>SUM(BE620:BP620)</f>
        <v>#N/A</v>
      </c>
      <c r="R620" s="615" t="e">
        <f>SUM(BQ620:CB620)</f>
        <v>#N/A</v>
      </c>
      <c r="S620" s="615" t="e">
        <f>SUM(CC620:CN620)</f>
        <v>#N/A</v>
      </c>
      <c r="U620" s="616" t="e">
        <f t="shared" ref="U620:AF620" si="538">U615*N$427</f>
        <v>#N/A</v>
      </c>
      <c r="V620" s="616" t="e">
        <f t="shared" si="538"/>
        <v>#N/A</v>
      </c>
      <c r="W620" s="616" t="e">
        <f t="shared" si="538"/>
        <v>#N/A</v>
      </c>
      <c r="X620" s="616" t="e">
        <f t="shared" si="538"/>
        <v>#N/A</v>
      </c>
      <c r="Y620" s="616" t="e">
        <f t="shared" si="538"/>
        <v>#N/A</v>
      </c>
      <c r="Z620" s="616" t="e">
        <f t="shared" si="538"/>
        <v>#N/A</v>
      </c>
      <c r="AA620" s="616" t="e">
        <f t="shared" si="538"/>
        <v>#N/A</v>
      </c>
      <c r="AB620" s="616" t="e">
        <f t="shared" si="538"/>
        <v>#N/A</v>
      </c>
      <c r="AC620" s="616" t="e">
        <f t="shared" si="538"/>
        <v>#N/A</v>
      </c>
      <c r="AD620" s="616" t="e">
        <f t="shared" si="538"/>
        <v>#N/A</v>
      </c>
      <c r="AE620" s="616" t="e">
        <f t="shared" si="538"/>
        <v>#N/A</v>
      </c>
      <c r="AF620" s="616" t="e">
        <f t="shared" si="538"/>
        <v>#N/A</v>
      </c>
      <c r="AG620" s="616" t="e">
        <f t="shared" ref="AG620:AR620" si="539">AG615*N$427</f>
        <v>#N/A</v>
      </c>
      <c r="AH620" s="616" t="e">
        <f t="shared" si="539"/>
        <v>#N/A</v>
      </c>
      <c r="AI620" s="616" t="e">
        <f t="shared" si="539"/>
        <v>#N/A</v>
      </c>
      <c r="AJ620" s="616" t="e">
        <f t="shared" si="539"/>
        <v>#N/A</v>
      </c>
      <c r="AK620" s="616" t="e">
        <f t="shared" si="539"/>
        <v>#N/A</v>
      </c>
      <c r="AL620" s="616" t="e">
        <f t="shared" si="539"/>
        <v>#N/A</v>
      </c>
      <c r="AM620" s="616" t="e">
        <f t="shared" si="539"/>
        <v>#N/A</v>
      </c>
      <c r="AN620" s="616" t="e">
        <f t="shared" si="539"/>
        <v>#N/A</v>
      </c>
      <c r="AO620" s="616" t="e">
        <f t="shared" si="539"/>
        <v>#N/A</v>
      </c>
      <c r="AP620" s="616" t="e">
        <f t="shared" si="539"/>
        <v>#N/A</v>
      </c>
      <c r="AQ620" s="616" t="e">
        <f t="shared" si="539"/>
        <v>#N/A</v>
      </c>
      <c r="AR620" s="616" t="e">
        <f t="shared" si="539"/>
        <v>#N/A</v>
      </c>
      <c r="AS620" s="616" t="e">
        <f t="shared" ref="AS620:BD620" si="540">AS615*N$427</f>
        <v>#N/A</v>
      </c>
      <c r="AT620" s="616" t="e">
        <f t="shared" si="540"/>
        <v>#N/A</v>
      </c>
      <c r="AU620" s="616" t="e">
        <f t="shared" si="540"/>
        <v>#N/A</v>
      </c>
      <c r="AV620" s="616" t="e">
        <f t="shared" si="540"/>
        <v>#N/A</v>
      </c>
      <c r="AW620" s="616" t="e">
        <f t="shared" si="540"/>
        <v>#N/A</v>
      </c>
      <c r="AX620" s="616" t="e">
        <f t="shared" si="540"/>
        <v>#N/A</v>
      </c>
      <c r="AY620" s="616" t="e">
        <f t="shared" si="540"/>
        <v>#N/A</v>
      </c>
      <c r="AZ620" s="616" t="e">
        <f t="shared" si="540"/>
        <v>#N/A</v>
      </c>
      <c r="BA620" s="616" t="e">
        <f t="shared" si="540"/>
        <v>#N/A</v>
      </c>
      <c r="BB620" s="616" t="e">
        <f t="shared" si="540"/>
        <v>#N/A</v>
      </c>
      <c r="BC620" s="616" t="e">
        <f t="shared" si="540"/>
        <v>#N/A</v>
      </c>
      <c r="BD620" s="616" t="e">
        <f t="shared" si="540"/>
        <v>#N/A</v>
      </c>
      <c r="BE620" s="616" t="e">
        <f t="shared" ref="BE620:BP620" si="541">BE615*N$427</f>
        <v>#N/A</v>
      </c>
      <c r="BF620" s="616" t="e">
        <f t="shared" si="541"/>
        <v>#N/A</v>
      </c>
      <c r="BG620" s="616" t="e">
        <f t="shared" si="541"/>
        <v>#N/A</v>
      </c>
      <c r="BH620" s="616" t="e">
        <f t="shared" si="541"/>
        <v>#N/A</v>
      </c>
      <c r="BI620" s="616" t="e">
        <f t="shared" si="541"/>
        <v>#N/A</v>
      </c>
      <c r="BJ620" s="616" t="e">
        <f t="shared" si="541"/>
        <v>#N/A</v>
      </c>
      <c r="BK620" s="616" t="e">
        <f t="shared" si="541"/>
        <v>#N/A</v>
      </c>
      <c r="BL620" s="616" t="e">
        <f t="shared" si="541"/>
        <v>#N/A</v>
      </c>
      <c r="BM620" s="616" t="e">
        <f t="shared" si="541"/>
        <v>#N/A</v>
      </c>
      <c r="BN620" s="616" t="e">
        <f t="shared" si="541"/>
        <v>#N/A</v>
      </c>
      <c r="BO620" s="616" t="e">
        <f t="shared" si="541"/>
        <v>#N/A</v>
      </c>
      <c r="BP620" s="616" t="e">
        <f t="shared" si="541"/>
        <v>#N/A</v>
      </c>
      <c r="BQ620" s="616" t="e">
        <f t="shared" ref="BQ620:CB620" si="542">BQ615*N$427</f>
        <v>#N/A</v>
      </c>
      <c r="BR620" s="616" t="e">
        <f t="shared" si="542"/>
        <v>#N/A</v>
      </c>
      <c r="BS620" s="616" t="e">
        <f t="shared" si="542"/>
        <v>#N/A</v>
      </c>
      <c r="BT620" s="616" t="e">
        <f t="shared" si="542"/>
        <v>#N/A</v>
      </c>
      <c r="BU620" s="616" t="e">
        <f t="shared" si="542"/>
        <v>#N/A</v>
      </c>
      <c r="BV620" s="616" t="e">
        <f t="shared" si="542"/>
        <v>#N/A</v>
      </c>
      <c r="BW620" s="616" t="e">
        <f t="shared" si="542"/>
        <v>#N/A</v>
      </c>
      <c r="BX620" s="616" t="e">
        <f t="shared" si="542"/>
        <v>#N/A</v>
      </c>
      <c r="BY620" s="616" t="e">
        <f t="shared" si="542"/>
        <v>#N/A</v>
      </c>
      <c r="BZ620" s="616" t="e">
        <f t="shared" si="542"/>
        <v>#N/A</v>
      </c>
      <c r="CA620" s="616" t="e">
        <f t="shared" si="542"/>
        <v>#N/A</v>
      </c>
      <c r="CB620" s="616" t="e">
        <f t="shared" si="542"/>
        <v>#N/A</v>
      </c>
      <c r="CC620" s="616" t="e">
        <f t="shared" ref="CC620:CN620" si="543">CC615*N$427</f>
        <v>#N/A</v>
      </c>
      <c r="CD620" s="616" t="e">
        <f t="shared" si="543"/>
        <v>#N/A</v>
      </c>
      <c r="CE620" s="616" t="e">
        <f t="shared" si="543"/>
        <v>#N/A</v>
      </c>
      <c r="CF620" s="616" t="e">
        <f t="shared" si="543"/>
        <v>#N/A</v>
      </c>
      <c r="CG620" s="616" t="e">
        <f t="shared" si="543"/>
        <v>#N/A</v>
      </c>
      <c r="CH620" s="616" t="e">
        <f t="shared" si="543"/>
        <v>#N/A</v>
      </c>
      <c r="CI620" s="616" t="e">
        <f t="shared" si="543"/>
        <v>#N/A</v>
      </c>
      <c r="CJ620" s="616" t="e">
        <f t="shared" si="543"/>
        <v>#N/A</v>
      </c>
      <c r="CK620" s="616" t="e">
        <f t="shared" si="543"/>
        <v>#N/A</v>
      </c>
      <c r="CL620" s="616" t="e">
        <f t="shared" si="543"/>
        <v>#N/A</v>
      </c>
      <c r="CM620" s="616" t="e">
        <f t="shared" si="543"/>
        <v>#N/A</v>
      </c>
      <c r="CN620" s="616" t="e">
        <f t="shared" si="543"/>
        <v>#N/A</v>
      </c>
    </row>
    <row r="621" spans="8:92">
      <c r="H621" s="602" t="s">
        <v>940</v>
      </c>
      <c r="L621" s="618" t="s">
        <v>1301</v>
      </c>
      <c r="M621" s="600" t="s">
        <v>974</v>
      </c>
      <c r="N621" s="615" t="e">
        <f>SUM(U621:AF621)</f>
        <v>#N/A</v>
      </c>
      <c r="O621" s="615" t="e">
        <f>SUM(AG621:AR621)</f>
        <v>#N/A</v>
      </c>
      <c r="P621" s="615" t="e">
        <f>SUM(AS621:BD621)</f>
        <v>#N/A</v>
      </c>
      <c r="Q621" s="615" t="e">
        <f>SUM(BE621:BP621)</f>
        <v>#N/A</v>
      </c>
      <c r="R621" s="615" t="e">
        <f>SUM(BQ621:CB621)</f>
        <v>#N/A</v>
      </c>
      <c r="S621" s="615" t="e">
        <f>SUM(CC621:CN621)</f>
        <v>#N/A</v>
      </c>
      <c r="U621" s="616" t="e">
        <f t="shared" ref="U621:AF621" si="544">U616*N$428</f>
        <v>#N/A</v>
      </c>
      <c r="V621" s="616" t="e">
        <f t="shared" si="544"/>
        <v>#N/A</v>
      </c>
      <c r="W621" s="616" t="e">
        <f t="shared" si="544"/>
        <v>#N/A</v>
      </c>
      <c r="X621" s="616" t="e">
        <f t="shared" si="544"/>
        <v>#N/A</v>
      </c>
      <c r="Y621" s="616" t="e">
        <f t="shared" si="544"/>
        <v>#N/A</v>
      </c>
      <c r="Z621" s="616" t="e">
        <f t="shared" si="544"/>
        <v>#N/A</v>
      </c>
      <c r="AA621" s="616" t="e">
        <f t="shared" si="544"/>
        <v>#N/A</v>
      </c>
      <c r="AB621" s="616" t="e">
        <f t="shared" si="544"/>
        <v>#N/A</v>
      </c>
      <c r="AC621" s="616" t="e">
        <f t="shared" si="544"/>
        <v>#N/A</v>
      </c>
      <c r="AD621" s="616" t="e">
        <f t="shared" si="544"/>
        <v>#N/A</v>
      </c>
      <c r="AE621" s="616" t="e">
        <f t="shared" si="544"/>
        <v>#N/A</v>
      </c>
      <c r="AF621" s="616" t="e">
        <f t="shared" si="544"/>
        <v>#N/A</v>
      </c>
      <c r="AG621" s="616" t="e">
        <f t="shared" ref="AG621:AR621" si="545">AG616*N$428</f>
        <v>#N/A</v>
      </c>
      <c r="AH621" s="616" t="e">
        <f t="shared" si="545"/>
        <v>#N/A</v>
      </c>
      <c r="AI621" s="616" t="e">
        <f t="shared" si="545"/>
        <v>#N/A</v>
      </c>
      <c r="AJ621" s="616" t="e">
        <f t="shared" si="545"/>
        <v>#N/A</v>
      </c>
      <c r="AK621" s="616" t="e">
        <f t="shared" si="545"/>
        <v>#N/A</v>
      </c>
      <c r="AL621" s="616" t="e">
        <f t="shared" si="545"/>
        <v>#N/A</v>
      </c>
      <c r="AM621" s="616" t="e">
        <f t="shared" si="545"/>
        <v>#N/A</v>
      </c>
      <c r="AN621" s="616" t="e">
        <f t="shared" si="545"/>
        <v>#N/A</v>
      </c>
      <c r="AO621" s="616" t="e">
        <f t="shared" si="545"/>
        <v>#N/A</v>
      </c>
      <c r="AP621" s="616" t="e">
        <f t="shared" si="545"/>
        <v>#N/A</v>
      </c>
      <c r="AQ621" s="616" t="e">
        <f t="shared" si="545"/>
        <v>#N/A</v>
      </c>
      <c r="AR621" s="616" t="e">
        <f t="shared" si="545"/>
        <v>#N/A</v>
      </c>
      <c r="AS621" s="616" t="e">
        <f t="shared" ref="AS621:BD621" si="546">AS616*N$428</f>
        <v>#N/A</v>
      </c>
      <c r="AT621" s="616" t="e">
        <f t="shared" si="546"/>
        <v>#N/A</v>
      </c>
      <c r="AU621" s="616" t="e">
        <f t="shared" si="546"/>
        <v>#N/A</v>
      </c>
      <c r="AV621" s="616" t="e">
        <f t="shared" si="546"/>
        <v>#N/A</v>
      </c>
      <c r="AW621" s="616" t="e">
        <f t="shared" si="546"/>
        <v>#N/A</v>
      </c>
      <c r="AX621" s="616" t="e">
        <f t="shared" si="546"/>
        <v>#N/A</v>
      </c>
      <c r="AY621" s="616" t="e">
        <f t="shared" si="546"/>
        <v>#N/A</v>
      </c>
      <c r="AZ621" s="616" t="e">
        <f t="shared" si="546"/>
        <v>#N/A</v>
      </c>
      <c r="BA621" s="616" t="e">
        <f t="shared" si="546"/>
        <v>#N/A</v>
      </c>
      <c r="BB621" s="616" t="e">
        <f t="shared" si="546"/>
        <v>#N/A</v>
      </c>
      <c r="BC621" s="616" t="e">
        <f t="shared" si="546"/>
        <v>#N/A</v>
      </c>
      <c r="BD621" s="616" t="e">
        <f t="shared" si="546"/>
        <v>#N/A</v>
      </c>
      <c r="BE621" s="616" t="e">
        <f t="shared" ref="BE621:BP621" si="547">BE616*N$428</f>
        <v>#N/A</v>
      </c>
      <c r="BF621" s="616" t="e">
        <f t="shared" si="547"/>
        <v>#N/A</v>
      </c>
      <c r="BG621" s="616" t="e">
        <f t="shared" si="547"/>
        <v>#N/A</v>
      </c>
      <c r="BH621" s="616" t="e">
        <f t="shared" si="547"/>
        <v>#N/A</v>
      </c>
      <c r="BI621" s="616" t="e">
        <f t="shared" si="547"/>
        <v>#N/A</v>
      </c>
      <c r="BJ621" s="616" t="e">
        <f t="shared" si="547"/>
        <v>#N/A</v>
      </c>
      <c r="BK621" s="616" t="e">
        <f t="shared" si="547"/>
        <v>#N/A</v>
      </c>
      <c r="BL621" s="616" t="e">
        <f t="shared" si="547"/>
        <v>#N/A</v>
      </c>
      <c r="BM621" s="616" t="e">
        <f t="shared" si="547"/>
        <v>#N/A</v>
      </c>
      <c r="BN621" s="616" t="e">
        <f t="shared" si="547"/>
        <v>#N/A</v>
      </c>
      <c r="BO621" s="616" t="e">
        <f t="shared" si="547"/>
        <v>#N/A</v>
      </c>
      <c r="BP621" s="616" t="e">
        <f t="shared" si="547"/>
        <v>#N/A</v>
      </c>
      <c r="BQ621" s="616" t="e">
        <f t="shared" ref="BQ621:CB621" si="548">BQ616*N$428</f>
        <v>#N/A</v>
      </c>
      <c r="BR621" s="616" t="e">
        <f t="shared" si="548"/>
        <v>#N/A</v>
      </c>
      <c r="BS621" s="616" t="e">
        <f t="shared" si="548"/>
        <v>#N/A</v>
      </c>
      <c r="BT621" s="616" t="e">
        <f t="shared" si="548"/>
        <v>#N/A</v>
      </c>
      <c r="BU621" s="616" t="e">
        <f t="shared" si="548"/>
        <v>#N/A</v>
      </c>
      <c r="BV621" s="616" t="e">
        <f t="shared" si="548"/>
        <v>#N/A</v>
      </c>
      <c r="BW621" s="616" t="e">
        <f t="shared" si="548"/>
        <v>#N/A</v>
      </c>
      <c r="BX621" s="616" t="e">
        <f t="shared" si="548"/>
        <v>#N/A</v>
      </c>
      <c r="BY621" s="616" t="e">
        <f t="shared" si="548"/>
        <v>#N/A</v>
      </c>
      <c r="BZ621" s="616" t="e">
        <f t="shared" si="548"/>
        <v>#N/A</v>
      </c>
      <c r="CA621" s="616" t="e">
        <f t="shared" si="548"/>
        <v>#N/A</v>
      </c>
      <c r="CB621" s="616" t="e">
        <f t="shared" si="548"/>
        <v>#N/A</v>
      </c>
      <c r="CC621" s="616" t="e">
        <f t="shared" ref="CC621:CN621" si="549">CC616*N$428</f>
        <v>#N/A</v>
      </c>
      <c r="CD621" s="616" t="e">
        <f t="shared" si="549"/>
        <v>#N/A</v>
      </c>
      <c r="CE621" s="616" t="e">
        <f t="shared" si="549"/>
        <v>#N/A</v>
      </c>
      <c r="CF621" s="616" t="e">
        <f t="shared" si="549"/>
        <v>#N/A</v>
      </c>
      <c r="CG621" s="616" t="e">
        <f t="shared" si="549"/>
        <v>#N/A</v>
      </c>
      <c r="CH621" s="616" t="e">
        <f t="shared" si="549"/>
        <v>#N/A</v>
      </c>
      <c r="CI621" s="616" t="e">
        <f t="shared" si="549"/>
        <v>#N/A</v>
      </c>
      <c r="CJ621" s="616" t="e">
        <f t="shared" si="549"/>
        <v>#N/A</v>
      </c>
      <c r="CK621" s="616" t="e">
        <f t="shared" si="549"/>
        <v>#N/A</v>
      </c>
      <c r="CL621" s="616" t="e">
        <f t="shared" si="549"/>
        <v>#N/A</v>
      </c>
      <c r="CM621" s="616" t="e">
        <f t="shared" si="549"/>
        <v>#N/A</v>
      </c>
      <c r="CN621" s="616" t="e">
        <f t="shared" si="549"/>
        <v>#N/A</v>
      </c>
    </row>
    <row r="622" spans="8:92">
      <c r="H622" s="602" t="s">
        <v>940</v>
      </c>
      <c r="L622" s="618" t="s">
        <v>1302</v>
      </c>
      <c r="M622" s="600" t="s">
        <v>974</v>
      </c>
      <c r="N622" s="615" t="e">
        <f>SUM(U622:AF622)</f>
        <v>#N/A</v>
      </c>
      <c r="O622" s="615" t="e">
        <f>SUM(AG622:AR622)</f>
        <v>#N/A</v>
      </c>
      <c r="P622" s="615" t="e">
        <f>SUM(AS622:BD622)</f>
        <v>#N/A</v>
      </c>
      <c r="Q622" s="615" t="e">
        <f>SUM(BE622:BP622)</f>
        <v>#N/A</v>
      </c>
      <c r="R622" s="615" t="e">
        <f>SUM(BQ622:CB622)</f>
        <v>#N/A</v>
      </c>
      <c r="S622" s="615" t="e">
        <f>SUM(CC622:CN622)</f>
        <v>#N/A</v>
      </c>
      <c r="U622" s="616" t="e">
        <f t="shared" ref="U622:AF622" si="550">U617*N$429</f>
        <v>#N/A</v>
      </c>
      <c r="V622" s="616" t="e">
        <f t="shared" si="550"/>
        <v>#N/A</v>
      </c>
      <c r="W622" s="616" t="e">
        <f t="shared" si="550"/>
        <v>#N/A</v>
      </c>
      <c r="X622" s="616" t="e">
        <f t="shared" si="550"/>
        <v>#N/A</v>
      </c>
      <c r="Y622" s="616" t="e">
        <f t="shared" si="550"/>
        <v>#N/A</v>
      </c>
      <c r="Z622" s="616" t="e">
        <f t="shared" si="550"/>
        <v>#N/A</v>
      </c>
      <c r="AA622" s="616" t="e">
        <f t="shared" si="550"/>
        <v>#N/A</v>
      </c>
      <c r="AB622" s="616" t="e">
        <f t="shared" si="550"/>
        <v>#N/A</v>
      </c>
      <c r="AC622" s="616" t="e">
        <f t="shared" si="550"/>
        <v>#N/A</v>
      </c>
      <c r="AD622" s="616" t="e">
        <f t="shared" si="550"/>
        <v>#N/A</v>
      </c>
      <c r="AE622" s="616" t="e">
        <f t="shared" si="550"/>
        <v>#N/A</v>
      </c>
      <c r="AF622" s="616" t="e">
        <f t="shared" si="550"/>
        <v>#N/A</v>
      </c>
      <c r="AG622" s="616" t="e">
        <f t="shared" ref="AG622:AR622" si="551">AG617*N$429</f>
        <v>#N/A</v>
      </c>
      <c r="AH622" s="616" t="e">
        <f t="shared" si="551"/>
        <v>#N/A</v>
      </c>
      <c r="AI622" s="616" t="e">
        <f t="shared" si="551"/>
        <v>#N/A</v>
      </c>
      <c r="AJ622" s="616" t="e">
        <f t="shared" si="551"/>
        <v>#N/A</v>
      </c>
      <c r="AK622" s="616" t="e">
        <f t="shared" si="551"/>
        <v>#N/A</v>
      </c>
      <c r="AL622" s="616" t="e">
        <f t="shared" si="551"/>
        <v>#N/A</v>
      </c>
      <c r="AM622" s="616" t="e">
        <f t="shared" si="551"/>
        <v>#N/A</v>
      </c>
      <c r="AN622" s="616" t="e">
        <f t="shared" si="551"/>
        <v>#N/A</v>
      </c>
      <c r="AO622" s="616" t="e">
        <f t="shared" si="551"/>
        <v>#N/A</v>
      </c>
      <c r="AP622" s="616" t="e">
        <f t="shared" si="551"/>
        <v>#N/A</v>
      </c>
      <c r="AQ622" s="616" t="e">
        <f t="shared" si="551"/>
        <v>#N/A</v>
      </c>
      <c r="AR622" s="616" t="e">
        <f t="shared" si="551"/>
        <v>#N/A</v>
      </c>
      <c r="AS622" s="616" t="e">
        <f t="shared" ref="AS622:BD622" si="552">AS617*N$429</f>
        <v>#N/A</v>
      </c>
      <c r="AT622" s="616" t="e">
        <f t="shared" si="552"/>
        <v>#N/A</v>
      </c>
      <c r="AU622" s="616" t="e">
        <f t="shared" si="552"/>
        <v>#N/A</v>
      </c>
      <c r="AV622" s="616" t="e">
        <f t="shared" si="552"/>
        <v>#N/A</v>
      </c>
      <c r="AW622" s="616" t="e">
        <f t="shared" si="552"/>
        <v>#N/A</v>
      </c>
      <c r="AX622" s="616" t="e">
        <f t="shared" si="552"/>
        <v>#N/A</v>
      </c>
      <c r="AY622" s="616" t="e">
        <f t="shared" si="552"/>
        <v>#N/A</v>
      </c>
      <c r="AZ622" s="616" t="e">
        <f t="shared" si="552"/>
        <v>#N/A</v>
      </c>
      <c r="BA622" s="616" t="e">
        <f t="shared" si="552"/>
        <v>#N/A</v>
      </c>
      <c r="BB622" s="616" t="e">
        <f t="shared" si="552"/>
        <v>#N/A</v>
      </c>
      <c r="BC622" s="616" t="e">
        <f t="shared" si="552"/>
        <v>#N/A</v>
      </c>
      <c r="BD622" s="616" t="e">
        <f t="shared" si="552"/>
        <v>#N/A</v>
      </c>
      <c r="BE622" s="616" t="e">
        <f t="shared" ref="BE622:BP622" si="553">BE617*N$429</f>
        <v>#N/A</v>
      </c>
      <c r="BF622" s="616" t="e">
        <f t="shared" si="553"/>
        <v>#N/A</v>
      </c>
      <c r="BG622" s="616" t="e">
        <f t="shared" si="553"/>
        <v>#N/A</v>
      </c>
      <c r="BH622" s="616" t="e">
        <f t="shared" si="553"/>
        <v>#N/A</v>
      </c>
      <c r="BI622" s="616" t="e">
        <f t="shared" si="553"/>
        <v>#N/A</v>
      </c>
      <c r="BJ622" s="616" t="e">
        <f t="shared" si="553"/>
        <v>#N/A</v>
      </c>
      <c r="BK622" s="616" t="e">
        <f t="shared" si="553"/>
        <v>#N/A</v>
      </c>
      <c r="BL622" s="616" t="e">
        <f t="shared" si="553"/>
        <v>#N/A</v>
      </c>
      <c r="BM622" s="616" t="e">
        <f t="shared" si="553"/>
        <v>#N/A</v>
      </c>
      <c r="BN622" s="616" t="e">
        <f t="shared" si="553"/>
        <v>#N/A</v>
      </c>
      <c r="BO622" s="616" t="e">
        <f t="shared" si="553"/>
        <v>#N/A</v>
      </c>
      <c r="BP622" s="616" t="e">
        <f t="shared" si="553"/>
        <v>#N/A</v>
      </c>
      <c r="BQ622" s="616" t="e">
        <f t="shared" ref="BQ622:CB622" si="554">BQ617*N$429</f>
        <v>#N/A</v>
      </c>
      <c r="BR622" s="616" t="e">
        <f t="shared" si="554"/>
        <v>#N/A</v>
      </c>
      <c r="BS622" s="616" t="e">
        <f t="shared" si="554"/>
        <v>#N/A</v>
      </c>
      <c r="BT622" s="616" t="e">
        <f t="shared" si="554"/>
        <v>#N/A</v>
      </c>
      <c r="BU622" s="616" t="e">
        <f t="shared" si="554"/>
        <v>#N/A</v>
      </c>
      <c r="BV622" s="616" t="e">
        <f t="shared" si="554"/>
        <v>#N/A</v>
      </c>
      <c r="BW622" s="616" t="e">
        <f t="shared" si="554"/>
        <v>#N/A</v>
      </c>
      <c r="BX622" s="616" t="e">
        <f t="shared" si="554"/>
        <v>#N/A</v>
      </c>
      <c r="BY622" s="616" t="e">
        <f t="shared" si="554"/>
        <v>#N/A</v>
      </c>
      <c r="BZ622" s="616" t="e">
        <f t="shared" si="554"/>
        <v>#N/A</v>
      </c>
      <c r="CA622" s="616" t="e">
        <f t="shared" si="554"/>
        <v>#N/A</v>
      </c>
      <c r="CB622" s="616" t="e">
        <f t="shared" si="554"/>
        <v>#N/A</v>
      </c>
      <c r="CC622" s="616" t="e">
        <f t="shared" ref="CC622:CN622" si="555">CC617*N$429</f>
        <v>#N/A</v>
      </c>
      <c r="CD622" s="616" t="e">
        <f t="shared" si="555"/>
        <v>#N/A</v>
      </c>
      <c r="CE622" s="616" t="e">
        <f t="shared" si="555"/>
        <v>#N/A</v>
      </c>
      <c r="CF622" s="616" t="e">
        <f t="shared" si="555"/>
        <v>#N/A</v>
      </c>
      <c r="CG622" s="616" t="e">
        <f t="shared" si="555"/>
        <v>#N/A</v>
      </c>
      <c r="CH622" s="616" t="e">
        <f t="shared" si="555"/>
        <v>#N/A</v>
      </c>
      <c r="CI622" s="616" t="e">
        <f t="shared" si="555"/>
        <v>#N/A</v>
      </c>
      <c r="CJ622" s="616" t="e">
        <f t="shared" si="555"/>
        <v>#N/A</v>
      </c>
      <c r="CK622" s="616" t="e">
        <f t="shared" si="555"/>
        <v>#N/A</v>
      </c>
      <c r="CL622" s="616" t="e">
        <f t="shared" si="555"/>
        <v>#N/A</v>
      </c>
      <c r="CM622" s="616" t="e">
        <f t="shared" si="555"/>
        <v>#N/A</v>
      </c>
      <c r="CN622" s="616" t="e">
        <f t="shared" si="555"/>
        <v>#N/A</v>
      </c>
    </row>
    <row r="623" spans="8:92">
      <c r="H623" s="602" t="s">
        <v>940</v>
      </c>
      <c r="L623" s="618" t="s">
        <v>1303</v>
      </c>
      <c r="M623" s="600" t="s">
        <v>974</v>
      </c>
      <c r="N623" s="615" t="e">
        <f>SUM(U623:AF623)</f>
        <v>#N/A</v>
      </c>
      <c r="O623" s="615" t="e">
        <f>SUM(AG623:AR623)</f>
        <v>#N/A</v>
      </c>
      <c r="P623" s="615" t="e">
        <f>SUM(AS623:BD623)</f>
        <v>#N/A</v>
      </c>
      <c r="Q623" s="615" t="e">
        <f>SUM(BE623:BP623)</f>
        <v>#N/A</v>
      </c>
      <c r="R623" s="615" t="e">
        <f>SUM(BQ623:CB623)</f>
        <v>#N/A</v>
      </c>
      <c r="S623" s="615" t="e">
        <f>SUM(CC623:CN623)</f>
        <v>#N/A</v>
      </c>
      <c r="U623" s="616" t="e">
        <f t="shared" ref="U623:AF623" si="556">U618*N$430</f>
        <v>#N/A</v>
      </c>
      <c r="V623" s="616" t="e">
        <f t="shared" si="556"/>
        <v>#N/A</v>
      </c>
      <c r="W623" s="616" t="e">
        <f t="shared" si="556"/>
        <v>#N/A</v>
      </c>
      <c r="X623" s="616" t="e">
        <f t="shared" si="556"/>
        <v>#N/A</v>
      </c>
      <c r="Y623" s="616" t="e">
        <f t="shared" si="556"/>
        <v>#N/A</v>
      </c>
      <c r="Z623" s="616" t="e">
        <f t="shared" si="556"/>
        <v>#N/A</v>
      </c>
      <c r="AA623" s="616" t="e">
        <f t="shared" si="556"/>
        <v>#N/A</v>
      </c>
      <c r="AB623" s="616" t="e">
        <f t="shared" si="556"/>
        <v>#N/A</v>
      </c>
      <c r="AC623" s="616" t="e">
        <f t="shared" si="556"/>
        <v>#N/A</v>
      </c>
      <c r="AD623" s="616" t="e">
        <f t="shared" si="556"/>
        <v>#N/A</v>
      </c>
      <c r="AE623" s="616" t="e">
        <f t="shared" si="556"/>
        <v>#N/A</v>
      </c>
      <c r="AF623" s="616" t="e">
        <f t="shared" si="556"/>
        <v>#N/A</v>
      </c>
      <c r="AG623" s="616" t="e">
        <f t="shared" ref="AG623:AR623" si="557">AG618*N$430</f>
        <v>#N/A</v>
      </c>
      <c r="AH623" s="616" t="e">
        <f t="shared" si="557"/>
        <v>#N/A</v>
      </c>
      <c r="AI623" s="616" t="e">
        <f t="shared" si="557"/>
        <v>#N/A</v>
      </c>
      <c r="AJ623" s="616" t="e">
        <f t="shared" si="557"/>
        <v>#N/A</v>
      </c>
      <c r="AK623" s="616" t="e">
        <f t="shared" si="557"/>
        <v>#N/A</v>
      </c>
      <c r="AL623" s="616" t="e">
        <f t="shared" si="557"/>
        <v>#N/A</v>
      </c>
      <c r="AM623" s="616" t="e">
        <f t="shared" si="557"/>
        <v>#N/A</v>
      </c>
      <c r="AN623" s="616" t="e">
        <f t="shared" si="557"/>
        <v>#N/A</v>
      </c>
      <c r="AO623" s="616" t="e">
        <f t="shared" si="557"/>
        <v>#N/A</v>
      </c>
      <c r="AP623" s="616" t="e">
        <f t="shared" si="557"/>
        <v>#N/A</v>
      </c>
      <c r="AQ623" s="616" t="e">
        <f t="shared" si="557"/>
        <v>#N/A</v>
      </c>
      <c r="AR623" s="616" t="e">
        <f t="shared" si="557"/>
        <v>#N/A</v>
      </c>
      <c r="AS623" s="616" t="e">
        <f t="shared" ref="AS623:BD623" si="558">AS618*N$430</f>
        <v>#N/A</v>
      </c>
      <c r="AT623" s="616" t="e">
        <f t="shared" si="558"/>
        <v>#N/A</v>
      </c>
      <c r="AU623" s="616" t="e">
        <f t="shared" si="558"/>
        <v>#N/A</v>
      </c>
      <c r="AV623" s="616" t="e">
        <f t="shared" si="558"/>
        <v>#N/A</v>
      </c>
      <c r="AW623" s="616" t="e">
        <f t="shared" si="558"/>
        <v>#N/A</v>
      </c>
      <c r="AX623" s="616" t="e">
        <f t="shared" si="558"/>
        <v>#N/A</v>
      </c>
      <c r="AY623" s="616" t="e">
        <f t="shared" si="558"/>
        <v>#N/A</v>
      </c>
      <c r="AZ623" s="616" t="e">
        <f t="shared" si="558"/>
        <v>#N/A</v>
      </c>
      <c r="BA623" s="616" t="e">
        <f t="shared" si="558"/>
        <v>#N/A</v>
      </c>
      <c r="BB623" s="616" t="e">
        <f t="shared" si="558"/>
        <v>#N/A</v>
      </c>
      <c r="BC623" s="616" t="e">
        <f t="shared" si="558"/>
        <v>#N/A</v>
      </c>
      <c r="BD623" s="616" t="e">
        <f t="shared" si="558"/>
        <v>#N/A</v>
      </c>
      <c r="BE623" s="616" t="e">
        <f t="shared" ref="BE623:BP623" si="559">BE618*N$430</f>
        <v>#N/A</v>
      </c>
      <c r="BF623" s="616" t="e">
        <f t="shared" si="559"/>
        <v>#N/A</v>
      </c>
      <c r="BG623" s="616" t="e">
        <f t="shared" si="559"/>
        <v>#N/A</v>
      </c>
      <c r="BH623" s="616" t="e">
        <f t="shared" si="559"/>
        <v>#N/A</v>
      </c>
      <c r="BI623" s="616" t="e">
        <f t="shared" si="559"/>
        <v>#N/A</v>
      </c>
      <c r="BJ623" s="616" t="e">
        <f t="shared" si="559"/>
        <v>#N/A</v>
      </c>
      <c r="BK623" s="616" t="e">
        <f t="shared" si="559"/>
        <v>#N/A</v>
      </c>
      <c r="BL623" s="616" t="e">
        <f t="shared" si="559"/>
        <v>#N/A</v>
      </c>
      <c r="BM623" s="616" t="e">
        <f t="shared" si="559"/>
        <v>#N/A</v>
      </c>
      <c r="BN623" s="616" t="e">
        <f t="shared" si="559"/>
        <v>#N/A</v>
      </c>
      <c r="BO623" s="616" t="e">
        <f t="shared" si="559"/>
        <v>#N/A</v>
      </c>
      <c r="BP623" s="616" t="e">
        <f t="shared" si="559"/>
        <v>#N/A</v>
      </c>
      <c r="BQ623" s="616" t="e">
        <f t="shared" ref="BQ623:CB623" si="560">BQ618*N$430</f>
        <v>#N/A</v>
      </c>
      <c r="BR623" s="616" t="e">
        <f t="shared" si="560"/>
        <v>#N/A</v>
      </c>
      <c r="BS623" s="616" t="e">
        <f t="shared" si="560"/>
        <v>#N/A</v>
      </c>
      <c r="BT623" s="616" t="e">
        <f t="shared" si="560"/>
        <v>#N/A</v>
      </c>
      <c r="BU623" s="616" t="e">
        <f t="shared" si="560"/>
        <v>#N/A</v>
      </c>
      <c r="BV623" s="616" t="e">
        <f t="shared" si="560"/>
        <v>#N/A</v>
      </c>
      <c r="BW623" s="616" t="e">
        <f t="shared" si="560"/>
        <v>#N/A</v>
      </c>
      <c r="BX623" s="616" t="e">
        <f t="shared" si="560"/>
        <v>#N/A</v>
      </c>
      <c r="BY623" s="616" t="e">
        <f t="shared" si="560"/>
        <v>#N/A</v>
      </c>
      <c r="BZ623" s="616" t="e">
        <f t="shared" si="560"/>
        <v>#N/A</v>
      </c>
      <c r="CA623" s="616" t="e">
        <f t="shared" si="560"/>
        <v>#N/A</v>
      </c>
      <c r="CB623" s="616" t="e">
        <f t="shared" si="560"/>
        <v>#N/A</v>
      </c>
      <c r="CC623" s="616" t="e">
        <f t="shared" ref="CC623:CN623" si="561">CC618*N$430</f>
        <v>#N/A</v>
      </c>
      <c r="CD623" s="616" t="e">
        <f t="shared" si="561"/>
        <v>#N/A</v>
      </c>
      <c r="CE623" s="616" t="e">
        <f t="shared" si="561"/>
        <v>#N/A</v>
      </c>
      <c r="CF623" s="616" t="e">
        <f t="shared" si="561"/>
        <v>#N/A</v>
      </c>
      <c r="CG623" s="616" t="e">
        <f t="shared" si="561"/>
        <v>#N/A</v>
      </c>
      <c r="CH623" s="616" t="e">
        <f t="shared" si="561"/>
        <v>#N/A</v>
      </c>
      <c r="CI623" s="616" t="e">
        <f t="shared" si="561"/>
        <v>#N/A</v>
      </c>
      <c r="CJ623" s="616" t="e">
        <f t="shared" si="561"/>
        <v>#N/A</v>
      </c>
      <c r="CK623" s="616" t="e">
        <f t="shared" si="561"/>
        <v>#N/A</v>
      </c>
      <c r="CL623" s="616" t="e">
        <f t="shared" si="561"/>
        <v>#N/A</v>
      </c>
      <c r="CM623" s="616" t="e">
        <f t="shared" si="561"/>
        <v>#N/A</v>
      </c>
      <c r="CN623" s="616" t="e">
        <f t="shared" si="561"/>
        <v>#N/A</v>
      </c>
    </row>
    <row r="624" spans="8:92">
      <c r="H624" s="602" t="s">
        <v>940</v>
      </c>
      <c r="L624" s="618"/>
      <c r="M624" s="600"/>
      <c r="N624" s="615"/>
      <c r="O624" s="615"/>
      <c r="P624" s="615"/>
      <c r="Q624" s="615"/>
      <c r="R624" s="615"/>
      <c r="S624" s="615"/>
      <c r="U624" s="616"/>
      <c r="V624" s="616"/>
      <c r="W624" s="616"/>
      <c r="X624" s="616"/>
      <c r="Y624" s="616"/>
      <c r="Z624" s="616"/>
      <c r="AA624" s="616"/>
      <c r="AB624" s="616"/>
      <c r="AC624" s="616"/>
      <c r="AD624" s="616"/>
      <c r="AE624" s="616"/>
      <c r="AF624" s="616"/>
      <c r="AG624" s="616"/>
      <c r="AH624" s="616"/>
      <c r="AI624" s="616"/>
      <c r="AJ624" s="616"/>
      <c r="AK624" s="616"/>
      <c r="AL624" s="616"/>
      <c r="AM624" s="616"/>
      <c r="AN624" s="616"/>
      <c r="AO624" s="616"/>
      <c r="AP624" s="616"/>
      <c r="AQ624" s="616"/>
      <c r="AR624" s="616"/>
      <c r="AS624" s="616"/>
      <c r="AT624" s="616"/>
      <c r="AU624" s="616"/>
      <c r="AV624" s="616"/>
      <c r="AW624" s="616"/>
      <c r="AX624" s="616"/>
      <c r="AY624" s="616"/>
      <c r="AZ624" s="616"/>
      <c r="BA624" s="616"/>
      <c r="BB624" s="616"/>
      <c r="BC624" s="616"/>
      <c r="BD624" s="616"/>
      <c r="BE624" s="616"/>
      <c r="BF624" s="616"/>
      <c r="BG624" s="616"/>
      <c r="BH624" s="616"/>
      <c r="BI624" s="616"/>
      <c r="BJ624" s="616"/>
      <c r="BK624" s="616"/>
      <c r="BL624" s="616"/>
      <c r="BM624" s="616"/>
      <c r="BN624" s="616"/>
      <c r="BO624" s="616"/>
      <c r="BP624" s="616"/>
      <c r="BQ624" s="616"/>
      <c r="BR624" s="616"/>
      <c r="BS624" s="616"/>
      <c r="BT624" s="616"/>
      <c r="BU624" s="616"/>
      <c r="BV624" s="616"/>
      <c r="BW624" s="616"/>
      <c r="BX624" s="616"/>
      <c r="BY624" s="616"/>
      <c r="BZ624" s="616"/>
      <c r="CA624" s="616"/>
      <c r="CB624" s="616"/>
      <c r="CC624" s="616"/>
      <c r="CD624" s="616"/>
      <c r="CE624" s="616"/>
      <c r="CF624" s="616"/>
      <c r="CG624" s="616"/>
      <c r="CH624" s="616"/>
      <c r="CI624" s="616"/>
      <c r="CJ624" s="616"/>
      <c r="CK624" s="616"/>
      <c r="CL624" s="616"/>
      <c r="CM624" s="616"/>
      <c r="CN624" s="616"/>
    </row>
    <row r="625" spans="8:92">
      <c r="H625" s="602" t="s">
        <v>940</v>
      </c>
      <c r="L625" s="618" t="s">
        <v>1247</v>
      </c>
      <c r="M625" s="600" t="s">
        <v>974</v>
      </c>
      <c r="N625" s="615">
        <f>SUM(U625:AF625)</f>
        <v>0</v>
      </c>
      <c r="O625" s="615">
        <f>SUM(AG625:AR625)</f>
        <v>0</v>
      </c>
      <c r="P625" s="615">
        <f>SUM(AS625:BD625)</f>
        <v>0</v>
      </c>
      <c r="Q625" s="615">
        <f>SUM(BE625:BP625)</f>
        <v>0</v>
      </c>
      <c r="R625" s="615">
        <f>SUM(BQ625:CB625)</f>
        <v>0</v>
      </c>
      <c r="S625" s="615">
        <f>SUM(CC625:CN625)</f>
        <v>0</v>
      </c>
      <c r="U625" s="616">
        <f t="shared" ref="U625:AF625" si="562">N$418</f>
        <v>0</v>
      </c>
      <c r="V625" s="616">
        <f t="shared" si="562"/>
        <v>0</v>
      </c>
      <c r="W625" s="616">
        <f t="shared" si="562"/>
        <v>0</v>
      </c>
      <c r="X625" s="616">
        <f t="shared" si="562"/>
        <v>0</v>
      </c>
      <c r="Y625" s="616">
        <f t="shared" si="562"/>
        <v>0</v>
      </c>
      <c r="Z625" s="616">
        <f t="shared" si="562"/>
        <v>0</v>
      </c>
      <c r="AA625" s="616">
        <f t="shared" si="562"/>
        <v>0</v>
      </c>
      <c r="AB625" s="616">
        <f t="shared" si="562"/>
        <v>0</v>
      </c>
      <c r="AC625" s="616">
        <f t="shared" si="562"/>
        <v>0</v>
      </c>
      <c r="AD625" s="616">
        <f t="shared" si="562"/>
        <v>0</v>
      </c>
      <c r="AE625" s="616">
        <f t="shared" si="562"/>
        <v>0</v>
      </c>
      <c r="AF625" s="616">
        <f t="shared" si="562"/>
        <v>0</v>
      </c>
      <c r="AG625" s="616">
        <f t="shared" ref="AG625:AR625" si="563">N$418</f>
        <v>0</v>
      </c>
      <c r="AH625" s="616">
        <f t="shared" si="563"/>
        <v>0</v>
      </c>
      <c r="AI625" s="616">
        <f t="shared" si="563"/>
        <v>0</v>
      </c>
      <c r="AJ625" s="616">
        <f t="shared" si="563"/>
        <v>0</v>
      </c>
      <c r="AK625" s="616">
        <f t="shared" si="563"/>
        <v>0</v>
      </c>
      <c r="AL625" s="616">
        <f t="shared" si="563"/>
        <v>0</v>
      </c>
      <c r="AM625" s="616">
        <f t="shared" si="563"/>
        <v>0</v>
      </c>
      <c r="AN625" s="616">
        <f t="shared" si="563"/>
        <v>0</v>
      </c>
      <c r="AO625" s="616">
        <f t="shared" si="563"/>
        <v>0</v>
      </c>
      <c r="AP625" s="616">
        <f t="shared" si="563"/>
        <v>0</v>
      </c>
      <c r="AQ625" s="616">
        <f t="shared" si="563"/>
        <v>0</v>
      </c>
      <c r="AR625" s="616">
        <f t="shared" si="563"/>
        <v>0</v>
      </c>
      <c r="AS625" s="616">
        <f t="shared" ref="AS625:BD625" si="564">N$418</f>
        <v>0</v>
      </c>
      <c r="AT625" s="616">
        <f t="shared" si="564"/>
        <v>0</v>
      </c>
      <c r="AU625" s="616">
        <f t="shared" si="564"/>
        <v>0</v>
      </c>
      <c r="AV625" s="616">
        <f t="shared" si="564"/>
        <v>0</v>
      </c>
      <c r="AW625" s="616">
        <f t="shared" si="564"/>
        <v>0</v>
      </c>
      <c r="AX625" s="616">
        <f t="shared" si="564"/>
        <v>0</v>
      </c>
      <c r="AY625" s="616">
        <f t="shared" si="564"/>
        <v>0</v>
      </c>
      <c r="AZ625" s="616">
        <f t="shared" si="564"/>
        <v>0</v>
      </c>
      <c r="BA625" s="616">
        <f t="shared" si="564"/>
        <v>0</v>
      </c>
      <c r="BB625" s="616">
        <f t="shared" si="564"/>
        <v>0</v>
      </c>
      <c r="BC625" s="616">
        <f t="shared" si="564"/>
        <v>0</v>
      </c>
      <c r="BD625" s="616">
        <f t="shared" si="564"/>
        <v>0</v>
      </c>
      <c r="BE625" s="616">
        <f t="shared" ref="BE625:BP625" si="565">N$418</f>
        <v>0</v>
      </c>
      <c r="BF625" s="616">
        <f t="shared" si="565"/>
        <v>0</v>
      </c>
      <c r="BG625" s="616">
        <f t="shared" si="565"/>
        <v>0</v>
      </c>
      <c r="BH625" s="616">
        <f t="shared" si="565"/>
        <v>0</v>
      </c>
      <c r="BI625" s="616">
        <f t="shared" si="565"/>
        <v>0</v>
      </c>
      <c r="BJ625" s="616">
        <f t="shared" si="565"/>
        <v>0</v>
      </c>
      <c r="BK625" s="616">
        <f t="shared" si="565"/>
        <v>0</v>
      </c>
      <c r="BL625" s="616">
        <f t="shared" si="565"/>
        <v>0</v>
      </c>
      <c r="BM625" s="616">
        <f t="shared" si="565"/>
        <v>0</v>
      </c>
      <c r="BN625" s="616">
        <f t="shared" si="565"/>
        <v>0</v>
      </c>
      <c r="BO625" s="616">
        <f t="shared" si="565"/>
        <v>0</v>
      </c>
      <c r="BP625" s="616">
        <f t="shared" si="565"/>
        <v>0</v>
      </c>
      <c r="BQ625" s="616">
        <f t="shared" ref="BQ625:CB625" si="566">N$418</f>
        <v>0</v>
      </c>
      <c r="BR625" s="616">
        <f t="shared" si="566"/>
        <v>0</v>
      </c>
      <c r="BS625" s="616">
        <f t="shared" si="566"/>
        <v>0</v>
      </c>
      <c r="BT625" s="616">
        <f t="shared" si="566"/>
        <v>0</v>
      </c>
      <c r="BU625" s="616">
        <f t="shared" si="566"/>
        <v>0</v>
      </c>
      <c r="BV625" s="616">
        <f t="shared" si="566"/>
        <v>0</v>
      </c>
      <c r="BW625" s="616">
        <f t="shared" si="566"/>
        <v>0</v>
      </c>
      <c r="BX625" s="616">
        <f t="shared" si="566"/>
        <v>0</v>
      </c>
      <c r="BY625" s="616">
        <f t="shared" si="566"/>
        <v>0</v>
      </c>
      <c r="BZ625" s="616">
        <f t="shared" si="566"/>
        <v>0</v>
      </c>
      <c r="CA625" s="616">
        <f t="shared" si="566"/>
        <v>0</v>
      </c>
      <c r="CB625" s="616">
        <f t="shared" si="566"/>
        <v>0</v>
      </c>
      <c r="CC625" s="616">
        <f t="shared" ref="CC625:CN625" si="567">N$418</f>
        <v>0</v>
      </c>
      <c r="CD625" s="616">
        <f t="shared" si="567"/>
        <v>0</v>
      </c>
      <c r="CE625" s="616">
        <f t="shared" si="567"/>
        <v>0</v>
      </c>
      <c r="CF625" s="616">
        <f t="shared" si="567"/>
        <v>0</v>
      </c>
      <c r="CG625" s="616">
        <f t="shared" si="567"/>
        <v>0</v>
      </c>
      <c r="CH625" s="616">
        <f t="shared" si="567"/>
        <v>0</v>
      </c>
      <c r="CI625" s="616">
        <f t="shared" si="567"/>
        <v>0</v>
      </c>
      <c r="CJ625" s="616">
        <f t="shared" si="567"/>
        <v>0</v>
      </c>
      <c r="CK625" s="616">
        <f t="shared" si="567"/>
        <v>0</v>
      </c>
      <c r="CL625" s="616">
        <f t="shared" si="567"/>
        <v>0</v>
      </c>
      <c r="CM625" s="616">
        <f t="shared" si="567"/>
        <v>0</v>
      </c>
      <c r="CN625" s="616">
        <f t="shared" si="567"/>
        <v>0</v>
      </c>
    </row>
    <row r="626" spans="8:92">
      <c r="H626" s="602" t="s">
        <v>940</v>
      </c>
      <c r="L626" s="618" t="s">
        <v>908</v>
      </c>
      <c r="M626" s="600" t="s">
        <v>974</v>
      </c>
      <c r="N626" s="615" t="e">
        <f>SUM(U626:AF626)</f>
        <v>#N/A</v>
      </c>
      <c r="O626" s="615" t="e">
        <f>SUM(AG626:AR626)</f>
        <v>#N/A</v>
      </c>
      <c r="P626" s="615" t="e">
        <f>SUM(AS626:BD626)</f>
        <v>#N/A</v>
      </c>
      <c r="Q626" s="615" t="e">
        <f>SUM(BE626:BP626)</f>
        <v>#N/A</v>
      </c>
      <c r="R626" s="615" t="e">
        <f>SUM(BQ626:CB626)</f>
        <v>#N/A</v>
      </c>
      <c r="S626" s="615" t="e">
        <f>SUM(CC626:CN626)</f>
        <v>#N/A</v>
      </c>
      <c r="U626" s="616" t="e">
        <f t="shared" ref="U626:AF626" si="568">U613*N$419</f>
        <v>#N/A</v>
      </c>
      <c r="V626" s="616" t="e">
        <f t="shared" si="568"/>
        <v>#N/A</v>
      </c>
      <c r="W626" s="616" t="e">
        <f t="shared" si="568"/>
        <v>#N/A</v>
      </c>
      <c r="X626" s="616" t="e">
        <f t="shared" si="568"/>
        <v>#N/A</v>
      </c>
      <c r="Y626" s="616" t="e">
        <f t="shared" si="568"/>
        <v>#N/A</v>
      </c>
      <c r="Z626" s="616" t="e">
        <f t="shared" si="568"/>
        <v>#N/A</v>
      </c>
      <c r="AA626" s="616" t="e">
        <f t="shared" si="568"/>
        <v>#N/A</v>
      </c>
      <c r="AB626" s="616" t="e">
        <f t="shared" si="568"/>
        <v>#N/A</v>
      </c>
      <c r="AC626" s="616" t="e">
        <f t="shared" si="568"/>
        <v>#N/A</v>
      </c>
      <c r="AD626" s="616" t="e">
        <f t="shared" si="568"/>
        <v>#N/A</v>
      </c>
      <c r="AE626" s="616" t="e">
        <f t="shared" si="568"/>
        <v>#N/A</v>
      </c>
      <c r="AF626" s="616" t="e">
        <f t="shared" si="568"/>
        <v>#N/A</v>
      </c>
      <c r="AG626" s="616" t="e">
        <f t="shared" ref="AG626:AR626" si="569">AG613*N$419</f>
        <v>#N/A</v>
      </c>
      <c r="AH626" s="616" t="e">
        <f t="shared" si="569"/>
        <v>#N/A</v>
      </c>
      <c r="AI626" s="616" t="e">
        <f t="shared" si="569"/>
        <v>#N/A</v>
      </c>
      <c r="AJ626" s="616" t="e">
        <f t="shared" si="569"/>
        <v>#N/A</v>
      </c>
      <c r="AK626" s="616" t="e">
        <f t="shared" si="569"/>
        <v>#N/A</v>
      </c>
      <c r="AL626" s="616" t="e">
        <f t="shared" si="569"/>
        <v>#N/A</v>
      </c>
      <c r="AM626" s="616" t="e">
        <f t="shared" si="569"/>
        <v>#N/A</v>
      </c>
      <c r="AN626" s="616" t="e">
        <f t="shared" si="569"/>
        <v>#N/A</v>
      </c>
      <c r="AO626" s="616" t="e">
        <f t="shared" si="569"/>
        <v>#N/A</v>
      </c>
      <c r="AP626" s="616" t="e">
        <f t="shared" si="569"/>
        <v>#N/A</v>
      </c>
      <c r="AQ626" s="616" t="e">
        <f t="shared" si="569"/>
        <v>#N/A</v>
      </c>
      <c r="AR626" s="616" t="e">
        <f t="shared" si="569"/>
        <v>#N/A</v>
      </c>
      <c r="AS626" s="616" t="e">
        <f t="shared" ref="AS626:BD626" si="570">AS613*N$419</f>
        <v>#N/A</v>
      </c>
      <c r="AT626" s="616" t="e">
        <f t="shared" si="570"/>
        <v>#N/A</v>
      </c>
      <c r="AU626" s="616" t="e">
        <f t="shared" si="570"/>
        <v>#N/A</v>
      </c>
      <c r="AV626" s="616" t="e">
        <f t="shared" si="570"/>
        <v>#N/A</v>
      </c>
      <c r="AW626" s="616" t="e">
        <f t="shared" si="570"/>
        <v>#N/A</v>
      </c>
      <c r="AX626" s="616" t="e">
        <f t="shared" si="570"/>
        <v>#N/A</v>
      </c>
      <c r="AY626" s="616" t="e">
        <f t="shared" si="570"/>
        <v>#N/A</v>
      </c>
      <c r="AZ626" s="616" t="e">
        <f t="shared" si="570"/>
        <v>#N/A</v>
      </c>
      <c r="BA626" s="616" t="e">
        <f t="shared" si="570"/>
        <v>#N/A</v>
      </c>
      <c r="BB626" s="616" t="e">
        <f t="shared" si="570"/>
        <v>#N/A</v>
      </c>
      <c r="BC626" s="616" t="e">
        <f t="shared" si="570"/>
        <v>#N/A</v>
      </c>
      <c r="BD626" s="616" t="e">
        <f t="shared" si="570"/>
        <v>#N/A</v>
      </c>
      <c r="BE626" s="616" t="e">
        <f t="shared" ref="BE626:BP626" si="571">BE613*N$419</f>
        <v>#N/A</v>
      </c>
      <c r="BF626" s="616" t="e">
        <f t="shared" si="571"/>
        <v>#N/A</v>
      </c>
      <c r="BG626" s="616" t="e">
        <f t="shared" si="571"/>
        <v>#N/A</v>
      </c>
      <c r="BH626" s="616" t="e">
        <f t="shared" si="571"/>
        <v>#N/A</v>
      </c>
      <c r="BI626" s="616" t="e">
        <f t="shared" si="571"/>
        <v>#N/A</v>
      </c>
      <c r="BJ626" s="616" t="e">
        <f t="shared" si="571"/>
        <v>#N/A</v>
      </c>
      <c r="BK626" s="616" t="e">
        <f t="shared" si="571"/>
        <v>#N/A</v>
      </c>
      <c r="BL626" s="616" t="e">
        <f t="shared" si="571"/>
        <v>#N/A</v>
      </c>
      <c r="BM626" s="616" t="e">
        <f t="shared" si="571"/>
        <v>#N/A</v>
      </c>
      <c r="BN626" s="616" t="e">
        <f t="shared" si="571"/>
        <v>#N/A</v>
      </c>
      <c r="BO626" s="616" t="e">
        <f t="shared" si="571"/>
        <v>#N/A</v>
      </c>
      <c r="BP626" s="616" t="e">
        <f t="shared" si="571"/>
        <v>#N/A</v>
      </c>
      <c r="BQ626" s="616" t="e">
        <f t="shared" ref="BQ626:CB626" si="572">BQ613*N$419</f>
        <v>#N/A</v>
      </c>
      <c r="BR626" s="616" t="e">
        <f t="shared" si="572"/>
        <v>#N/A</v>
      </c>
      <c r="BS626" s="616" t="e">
        <f t="shared" si="572"/>
        <v>#N/A</v>
      </c>
      <c r="BT626" s="616" t="e">
        <f t="shared" si="572"/>
        <v>#N/A</v>
      </c>
      <c r="BU626" s="616" t="e">
        <f t="shared" si="572"/>
        <v>#N/A</v>
      </c>
      <c r="BV626" s="616" t="e">
        <f t="shared" si="572"/>
        <v>#N/A</v>
      </c>
      <c r="BW626" s="616" t="e">
        <f t="shared" si="572"/>
        <v>#N/A</v>
      </c>
      <c r="BX626" s="616" t="e">
        <f t="shared" si="572"/>
        <v>#N/A</v>
      </c>
      <c r="BY626" s="616" t="e">
        <f t="shared" si="572"/>
        <v>#N/A</v>
      </c>
      <c r="BZ626" s="616" t="e">
        <f t="shared" si="572"/>
        <v>#N/A</v>
      </c>
      <c r="CA626" s="616" t="e">
        <f t="shared" si="572"/>
        <v>#N/A</v>
      </c>
      <c r="CB626" s="616" t="e">
        <f t="shared" si="572"/>
        <v>#N/A</v>
      </c>
      <c r="CC626" s="616" t="e">
        <f t="shared" ref="CC626:CN626" si="573">CC613*N$419</f>
        <v>#N/A</v>
      </c>
      <c r="CD626" s="616" t="e">
        <f t="shared" si="573"/>
        <v>#N/A</v>
      </c>
      <c r="CE626" s="616" t="e">
        <f t="shared" si="573"/>
        <v>#N/A</v>
      </c>
      <c r="CF626" s="616" t="e">
        <f t="shared" si="573"/>
        <v>#N/A</v>
      </c>
      <c r="CG626" s="616" t="e">
        <f t="shared" si="573"/>
        <v>#N/A</v>
      </c>
      <c r="CH626" s="616" t="e">
        <f t="shared" si="573"/>
        <v>#N/A</v>
      </c>
      <c r="CI626" s="616" t="e">
        <f t="shared" si="573"/>
        <v>#N/A</v>
      </c>
      <c r="CJ626" s="616" t="e">
        <f t="shared" si="573"/>
        <v>#N/A</v>
      </c>
      <c r="CK626" s="616" t="e">
        <f t="shared" si="573"/>
        <v>#N/A</v>
      </c>
      <c r="CL626" s="616" t="e">
        <f t="shared" si="573"/>
        <v>#N/A</v>
      </c>
      <c r="CM626" s="616" t="e">
        <f t="shared" si="573"/>
        <v>#N/A</v>
      </c>
      <c r="CN626" s="616" t="e">
        <f t="shared" si="573"/>
        <v>#N/A</v>
      </c>
    </row>
    <row r="627" spans="8:92">
      <c r="H627" s="602" t="s">
        <v>940</v>
      </c>
      <c r="L627" s="618" t="s">
        <v>1304</v>
      </c>
      <c r="M627" s="600" t="s">
        <v>974</v>
      </c>
      <c r="N627" s="615" t="e">
        <f>SUM(U627:AF627)</f>
        <v>#N/A</v>
      </c>
      <c r="O627" s="615" t="e">
        <f>SUM(AG627:AR627)</f>
        <v>#N/A</v>
      </c>
      <c r="P627" s="615" t="e">
        <f>SUM(AS627:BD627)</f>
        <v>#N/A</v>
      </c>
      <c r="Q627" s="615" t="e">
        <f>SUM(BE627:BP627)</f>
        <v>#N/A</v>
      </c>
      <c r="R627" s="615" t="e">
        <f>SUM(BQ627:CB627)</f>
        <v>#N/A</v>
      </c>
      <c r="S627" s="615" t="e">
        <f>SUM(CC627:CN627)</f>
        <v>#N/A</v>
      </c>
      <c r="U627" s="616" t="e">
        <f t="shared" ref="U627:CF627" si="574">SUM(U620:U623,U625:U626)</f>
        <v>#N/A</v>
      </c>
      <c r="V627" s="616" t="e">
        <f t="shared" si="574"/>
        <v>#N/A</v>
      </c>
      <c r="W627" s="616" t="e">
        <f t="shared" si="574"/>
        <v>#N/A</v>
      </c>
      <c r="X627" s="616" t="e">
        <f t="shared" si="574"/>
        <v>#N/A</v>
      </c>
      <c r="Y627" s="616" t="e">
        <f t="shared" si="574"/>
        <v>#N/A</v>
      </c>
      <c r="Z627" s="616" t="e">
        <f t="shared" si="574"/>
        <v>#N/A</v>
      </c>
      <c r="AA627" s="616" t="e">
        <f t="shared" si="574"/>
        <v>#N/A</v>
      </c>
      <c r="AB627" s="616" t="e">
        <f t="shared" si="574"/>
        <v>#N/A</v>
      </c>
      <c r="AC627" s="616" t="e">
        <f t="shared" si="574"/>
        <v>#N/A</v>
      </c>
      <c r="AD627" s="616" t="e">
        <f t="shared" si="574"/>
        <v>#N/A</v>
      </c>
      <c r="AE627" s="616" t="e">
        <f t="shared" si="574"/>
        <v>#N/A</v>
      </c>
      <c r="AF627" s="616" t="e">
        <f t="shared" si="574"/>
        <v>#N/A</v>
      </c>
      <c r="AG627" s="616" t="e">
        <f t="shared" si="574"/>
        <v>#N/A</v>
      </c>
      <c r="AH627" s="616" t="e">
        <f t="shared" si="574"/>
        <v>#N/A</v>
      </c>
      <c r="AI627" s="616" t="e">
        <f t="shared" si="574"/>
        <v>#N/A</v>
      </c>
      <c r="AJ627" s="616" t="e">
        <f t="shared" si="574"/>
        <v>#N/A</v>
      </c>
      <c r="AK627" s="616" t="e">
        <f t="shared" si="574"/>
        <v>#N/A</v>
      </c>
      <c r="AL627" s="616" t="e">
        <f t="shared" si="574"/>
        <v>#N/A</v>
      </c>
      <c r="AM627" s="616" t="e">
        <f t="shared" si="574"/>
        <v>#N/A</v>
      </c>
      <c r="AN627" s="616" t="e">
        <f t="shared" si="574"/>
        <v>#N/A</v>
      </c>
      <c r="AO627" s="616" t="e">
        <f t="shared" si="574"/>
        <v>#N/A</v>
      </c>
      <c r="AP627" s="616" t="e">
        <f t="shared" si="574"/>
        <v>#N/A</v>
      </c>
      <c r="AQ627" s="616" t="e">
        <f t="shared" si="574"/>
        <v>#N/A</v>
      </c>
      <c r="AR627" s="616" t="e">
        <f t="shared" si="574"/>
        <v>#N/A</v>
      </c>
      <c r="AS627" s="616" t="e">
        <f t="shared" si="574"/>
        <v>#N/A</v>
      </c>
      <c r="AT627" s="616" t="e">
        <f t="shared" si="574"/>
        <v>#N/A</v>
      </c>
      <c r="AU627" s="616" t="e">
        <f t="shared" si="574"/>
        <v>#N/A</v>
      </c>
      <c r="AV627" s="616" t="e">
        <f t="shared" si="574"/>
        <v>#N/A</v>
      </c>
      <c r="AW627" s="616" t="e">
        <f t="shared" si="574"/>
        <v>#N/A</v>
      </c>
      <c r="AX627" s="616" t="e">
        <f t="shared" si="574"/>
        <v>#N/A</v>
      </c>
      <c r="AY627" s="616" t="e">
        <f t="shared" si="574"/>
        <v>#N/A</v>
      </c>
      <c r="AZ627" s="616" t="e">
        <f t="shared" si="574"/>
        <v>#N/A</v>
      </c>
      <c r="BA627" s="616" t="e">
        <f t="shared" si="574"/>
        <v>#N/A</v>
      </c>
      <c r="BB627" s="616" t="e">
        <f t="shared" si="574"/>
        <v>#N/A</v>
      </c>
      <c r="BC627" s="616" t="e">
        <f t="shared" si="574"/>
        <v>#N/A</v>
      </c>
      <c r="BD627" s="616" t="e">
        <f t="shared" si="574"/>
        <v>#N/A</v>
      </c>
      <c r="BE627" s="616" t="e">
        <f t="shared" si="574"/>
        <v>#N/A</v>
      </c>
      <c r="BF627" s="616" t="e">
        <f t="shared" si="574"/>
        <v>#N/A</v>
      </c>
      <c r="BG627" s="616" t="e">
        <f t="shared" si="574"/>
        <v>#N/A</v>
      </c>
      <c r="BH627" s="616" t="e">
        <f t="shared" si="574"/>
        <v>#N/A</v>
      </c>
      <c r="BI627" s="616" t="e">
        <f t="shared" si="574"/>
        <v>#N/A</v>
      </c>
      <c r="BJ627" s="616" t="e">
        <f t="shared" si="574"/>
        <v>#N/A</v>
      </c>
      <c r="BK627" s="616" t="e">
        <f t="shared" si="574"/>
        <v>#N/A</v>
      </c>
      <c r="BL627" s="616" t="e">
        <f t="shared" si="574"/>
        <v>#N/A</v>
      </c>
      <c r="BM627" s="616" t="e">
        <f t="shared" si="574"/>
        <v>#N/A</v>
      </c>
      <c r="BN627" s="616" t="e">
        <f t="shared" si="574"/>
        <v>#N/A</v>
      </c>
      <c r="BO627" s="616" t="e">
        <f t="shared" si="574"/>
        <v>#N/A</v>
      </c>
      <c r="BP627" s="616" t="e">
        <f t="shared" si="574"/>
        <v>#N/A</v>
      </c>
      <c r="BQ627" s="616" t="e">
        <f t="shared" si="574"/>
        <v>#N/A</v>
      </c>
      <c r="BR627" s="616" t="e">
        <f t="shared" si="574"/>
        <v>#N/A</v>
      </c>
      <c r="BS627" s="616" t="e">
        <f t="shared" si="574"/>
        <v>#N/A</v>
      </c>
      <c r="BT627" s="616" t="e">
        <f t="shared" si="574"/>
        <v>#N/A</v>
      </c>
      <c r="BU627" s="616" t="e">
        <f t="shared" si="574"/>
        <v>#N/A</v>
      </c>
      <c r="BV627" s="616" t="e">
        <f t="shared" si="574"/>
        <v>#N/A</v>
      </c>
      <c r="BW627" s="616" t="e">
        <f t="shared" si="574"/>
        <v>#N/A</v>
      </c>
      <c r="BX627" s="616" t="e">
        <f t="shared" si="574"/>
        <v>#N/A</v>
      </c>
      <c r="BY627" s="616" t="e">
        <f t="shared" si="574"/>
        <v>#N/A</v>
      </c>
      <c r="BZ627" s="616" t="e">
        <f t="shared" si="574"/>
        <v>#N/A</v>
      </c>
      <c r="CA627" s="616" t="e">
        <f t="shared" si="574"/>
        <v>#N/A</v>
      </c>
      <c r="CB627" s="616" t="e">
        <f t="shared" si="574"/>
        <v>#N/A</v>
      </c>
      <c r="CC627" s="616" t="e">
        <f t="shared" si="574"/>
        <v>#N/A</v>
      </c>
      <c r="CD627" s="616" t="e">
        <f t="shared" si="574"/>
        <v>#N/A</v>
      </c>
      <c r="CE627" s="616" t="e">
        <f t="shared" si="574"/>
        <v>#N/A</v>
      </c>
      <c r="CF627" s="616" t="e">
        <f t="shared" si="574"/>
        <v>#N/A</v>
      </c>
      <c r="CG627" s="616" t="e">
        <f t="shared" ref="CG627:CN627" si="575">SUM(CG620:CG623,CG625:CG626)</f>
        <v>#N/A</v>
      </c>
      <c r="CH627" s="616" t="e">
        <f t="shared" si="575"/>
        <v>#N/A</v>
      </c>
      <c r="CI627" s="616" t="e">
        <f t="shared" si="575"/>
        <v>#N/A</v>
      </c>
      <c r="CJ627" s="616" t="e">
        <f t="shared" si="575"/>
        <v>#N/A</v>
      </c>
      <c r="CK627" s="616" t="e">
        <f t="shared" si="575"/>
        <v>#N/A</v>
      </c>
      <c r="CL627" s="616" t="e">
        <f t="shared" si="575"/>
        <v>#N/A</v>
      </c>
      <c r="CM627" s="616" t="e">
        <f t="shared" si="575"/>
        <v>#N/A</v>
      </c>
      <c r="CN627" s="616" t="e">
        <f t="shared" si="575"/>
        <v>#N/A</v>
      </c>
    </row>
    <row r="628" spans="8:92">
      <c r="H628" s="602" t="s">
        <v>940</v>
      </c>
      <c r="L628" s="618" t="s">
        <v>909</v>
      </c>
      <c r="M628" s="600" t="s">
        <v>974</v>
      </c>
      <c r="N628" s="615" t="e">
        <f>SUM(U628:AF628)</f>
        <v>#N/A</v>
      </c>
      <c r="O628" s="615" t="e">
        <f>SUM(AG628:AR628)</f>
        <v>#N/A</v>
      </c>
      <c r="P628" s="615" t="e">
        <f>SUM(AS628:BD628)</f>
        <v>#N/A</v>
      </c>
      <c r="Q628" s="615" t="e">
        <f>SUM(BE628:BP628)</f>
        <v>#N/A</v>
      </c>
      <c r="R628" s="615" t="e">
        <f>SUM(BQ628:CB628)</f>
        <v>#N/A</v>
      </c>
      <c r="S628" s="615" t="e">
        <f>SUM(CC628:CN628)</f>
        <v>#N/A</v>
      </c>
      <c r="U628" s="616" t="e">
        <f t="shared" ref="U628:AF628" si="576">U627*N$420/100</f>
        <v>#N/A</v>
      </c>
      <c r="V628" s="616" t="e">
        <f t="shared" si="576"/>
        <v>#N/A</v>
      </c>
      <c r="W628" s="616" t="e">
        <f t="shared" si="576"/>
        <v>#N/A</v>
      </c>
      <c r="X628" s="616" t="e">
        <f t="shared" si="576"/>
        <v>#N/A</v>
      </c>
      <c r="Y628" s="616" t="e">
        <f t="shared" si="576"/>
        <v>#N/A</v>
      </c>
      <c r="Z628" s="616" t="e">
        <f t="shared" si="576"/>
        <v>#N/A</v>
      </c>
      <c r="AA628" s="616" t="e">
        <f t="shared" si="576"/>
        <v>#N/A</v>
      </c>
      <c r="AB628" s="616" t="e">
        <f t="shared" si="576"/>
        <v>#N/A</v>
      </c>
      <c r="AC628" s="616" t="e">
        <f t="shared" si="576"/>
        <v>#N/A</v>
      </c>
      <c r="AD628" s="616" t="e">
        <f t="shared" si="576"/>
        <v>#N/A</v>
      </c>
      <c r="AE628" s="616" t="e">
        <f t="shared" si="576"/>
        <v>#N/A</v>
      </c>
      <c r="AF628" s="616" t="e">
        <f t="shared" si="576"/>
        <v>#N/A</v>
      </c>
      <c r="AG628" s="616" t="e">
        <f t="shared" ref="AG628:AR628" si="577">AG627*N$420/100</f>
        <v>#N/A</v>
      </c>
      <c r="AH628" s="616" t="e">
        <f t="shared" si="577"/>
        <v>#N/A</v>
      </c>
      <c r="AI628" s="616" t="e">
        <f t="shared" si="577"/>
        <v>#N/A</v>
      </c>
      <c r="AJ628" s="616" t="e">
        <f t="shared" si="577"/>
        <v>#N/A</v>
      </c>
      <c r="AK628" s="616" t="e">
        <f t="shared" si="577"/>
        <v>#N/A</v>
      </c>
      <c r="AL628" s="616" t="e">
        <f t="shared" si="577"/>
        <v>#N/A</v>
      </c>
      <c r="AM628" s="616" t="e">
        <f t="shared" si="577"/>
        <v>#N/A</v>
      </c>
      <c r="AN628" s="616" t="e">
        <f t="shared" si="577"/>
        <v>#N/A</v>
      </c>
      <c r="AO628" s="616" t="e">
        <f t="shared" si="577"/>
        <v>#N/A</v>
      </c>
      <c r="AP628" s="616" t="e">
        <f t="shared" si="577"/>
        <v>#N/A</v>
      </c>
      <c r="AQ628" s="616" t="e">
        <f t="shared" si="577"/>
        <v>#N/A</v>
      </c>
      <c r="AR628" s="616" t="e">
        <f t="shared" si="577"/>
        <v>#N/A</v>
      </c>
      <c r="AS628" s="616" t="e">
        <f t="shared" ref="AS628:BD628" si="578">AS627*N$420/100</f>
        <v>#N/A</v>
      </c>
      <c r="AT628" s="616" t="e">
        <f t="shared" si="578"/>
        <v>#N/A</v>
      </c>
      <c r="AU628" s="616" t="e">
        <f t="shared" si="578"/>
        <v>#N/A</v>
      </c>
      <c r="AV628" s="616" t="e">
        <f t="shared" si="578"/>
        <v>#N/A</v>
      </c>
      <c r="AW628" s="616" t="e">
        <f t="shared" si="578"/>
        <v>#N/A</v>
      </c>
      <c r="AX628" s="616" t="e">
        <f t="shared" si="578"/>
        <v>#N/A</v>
      </c>
      <c r="AY628" s="616" t="e">
        <f t="shared" si="578"/>
        <v>#N/A</v>
      </c>
      <c r="AZ628" s="616" t="e">
        <f t="shared" si="578"/>
        <v>#N/A</v>
      </c>
      <c r="BA628" s="616" t="e">
        <f t="shared" si="578"/>
        <v>#N/A</v>
      </c>
      <c r="BB628" s="616" t="e">
        <f t="shared" si="578"/>
        <v>#N/A</v>
      </c>
      <c r="BC628" s="616" t="e">
        <f t="shared" si="578"/>
        <v>#N/A</v>
      </c>
      <c r="BD628" s="616" t="e">
        <f t="shared" si="578"/>
        <v>#N/A</v>
      </c>
      <c r="BE628" s="616" t="e">
        <f t="shared" ref="BE628:BP628" si="579">BE627*N$420/100</f>
        <v>#N/A</v>
      </c>
      <c r="BF628" s="616" t="e">
        <f t="shared" si="579"/>
        <v>#N/A</v>
      </c>
      <c r="BG628" s="616" t="e">
        <f t="shared" si="579"/>
        <v>#N/A</v>
      </c>
      <c r="BH628" s="616" t="e">
        <f t="shared" si="579"/>
        <v>#N/A</v>
      </c>
      <c r="BI628" s="616" t="e">
        <f t="shared" si="579"/>
        <v>#N/A</v>
      </c>
      <c r="BJ628" s="616" t="e">
        <f t="shared" si="579"/>
        <v>#N/A</v>
      </c>
      <c r="BK628" s="616" t="e">
        <f t="shared" si="579"/>
        <v>#N/A</v>
      </c>
      <c r="BL628" s="616" t="e">
        <f t="shared" si="579"/>
        <v>#N/A</v>
      </c>
      <c r="BM628" s="616" t="e">
        <f t="shared" si="579"/>
        <v>#N/A</v>
      </c>
      <c r="BN628" s="616" t="e">
        <f t="shared" si="579"/>
        <v>#N/A</v>
      </c>
      <c r="BO628" s="616" t="e">
        <f t="shared" si="579"/>
        <v>#N/A</v>
      </c>
      <c r="BP628" s="616" t="e">
        <f t="shared" si="579"/>
        <v>#N/A</v>
      </c>
      <c r="BQ628" s="616" t="e">
        <f t="shared" ref="BQ628:CB628" si="580">BQ627*N$420/100</f>
        <v>#N/A</v>
      </c>
      <c r="BR628" s="616" t="e">
        <f t="shared" si="580"/>
        <v>#N/A</v>
      </c>
      <c r="BS628" s="616" t="e">
        <f t="shared" si="580"/>
        <v>#N/A</v>
      </c>
      <c r="BT628" s="616" t="e">
        <f t="shared" si="580"/>
        <v>#N/A</v>
      </c>
      <c r="BU628" s="616" t="e">
        <f t="shared" si="580"/>
        <v>#N/A</v>
      </c>
      <c r="BV628" s="616" t="e">
        <f t="shared" si="580"/>
        <v>#N/A</v>
      </c>
      <c r="BW628" s="616" t="e">
        <f t="shared" si="580"/>
        <v>#N/A</v>
      </c>
      <c r="BX628" s="616" t="e">
        <f t="shared" si="580"/>
        <v>#N/A</v>
      </c>
      <c r="BY628" s="616" t="e">
        <f t="shared" si="580"/>
        <v>#N/A</v>
      </c>
      <c r="BZ628" s="616" t="e">
        <f t="shared" si="580"/>
        <v>#N/A</v>
      </c>
      <c r="CA628" s="616" t="e">
        <f t="shared" si="580"/>
        <v>#N/A</v>
      </c>
      <c r="CB628" s="616" t="e">
        <f t="shared" si="580"/>
        <v>#N/A</v>
      </c>
      <c r="CC628" s="616" t="e">
        <f t="shared" ref="CC628:CN628" si="581">CC627*N$420/100</f>
        <v>#N/A</v>
      </c>
      <c r="CD628" s="616" t="e">
        <f t="shared" si="581"/>
        <v>#N/A</v>
      </c>
      <c r="CE628" s="616" t="e">
        <f t="shared" si="581"/>
        <v>#N/A</v>
      </c>
      <c r="CF628" s="616" t="e">
        <f t="shared" si="581"/>
        <v>#N/A</v>
      </c>
      <c r="CG628" s="616" t="e">
        <f t="shared" si="581"/>
        <v>#N/A</v>
      </c>
      <c r="CH628" s="616" t="e">
        <f t="shared" si="581"/>
        <v>#N/A</v>
      </c>
      <c r="CI628" s="616" t="e">
        <f t="shared" si="581"/>
        <v>#N/A</v>
      </c>
      <c r="CJ628" s="616" t="e">
        <f t="shared" si="581"/>
        <v>#N/A</v>
      </c>
      <c r="CK628" s="616" t="e">
        <f t="shared" si="581"/>
        <v>#N/A</v>
      </c>
      <c r="CL628" s="616" t="e">
        <f t="shared" si="581"/>
        <v>#N/A</v>
      </c>
      <c r="CM628" s="616" t="e">
        <f t="shared" si="581"/>
        <v>#N/A</v>
      </c>
      <c r="CN628" s="616" t="e">
        <f t="shared" si="581"/>
        <v>#N/A</v>
      </c>
    </row>
    <row r="629" spans="8:92">
      <c r="H629" s="602" t="s">
        <v>940</v>
      </c>
      <c r="L629" s="618"/>
      <c r="M629" s="600"/>
      <c r="N629" s="615"/>
      <c r="O629" s="615"/>
      <c r="P629" s="615"/>
      <c r="Q629" s="615"/>
      <c r="R629" s="615"/>
      <c r="S629" s="615"/>
      <c r="U629" s="616"/>
      <c r="V629" s="616"/>
      <c r="W629" s="616"/>
      <c r="X629" s="616"/>
      <c r="Y629" s="616"/>
      <c r="Z629" s="616"/>
      <c r="AA629" s="616"/>
      <c r="AB629" s="616"/>
      <c r="AC629" s="616"/>
      <c r="AD629" s="616"/>
      <c r="AE629" s="616"/>
      <c r="AF629" s="616"/>
      <c r="AG629" s="616"/>
      <c r="AH629" s="616"/>
      <c r="AI629" s="616"/>
      <c r="AJ629" s="616"/>
      <c r="AK629" s="616"/>
      <c r="AL629" s="616"/>
      <c r="AM629" s="616"/>
      <c r="AN629" s="616"/>
      <c r="AO629" s="616"/>
      <c r="AP629" s="616"/>
      <c r="AQ629" s="616"/>
      <c r="AR629" s="616"/>
      <c r="AS629" s="616"/>
      <c r="AT629" s="616"/>
      <c r="AU629" s="616"/>
      <c r="AV629" s="616"/>
      <c r="AW629" s="616"/>
      <c r="AX629" s="616"/>
      <c r="AY629" s="616"/>
      <c r="AZ629" s="616"/>
      <c r="BA629" s="616"/>
      <c r="BB629" s="616"/>
      <c r="BC629" s="616"/>
      <c r="BD629" s="616"/>
      <c r="BE629" s="616"/>
      <c r="BF629" s="616"/>
      <c r="BG629" s="616"/>
      <c r="BH629" s="616"/>
      <c r="BI629" s="616"/>
      <c r="BJ629" s="616"/>
      <c r="BK629" s="616"/>
      <c r="BL629" s="616"/>
      <c r="BM629" s="616"/>
      <c r="BN629" s="616"/>
      <c r="BO629" s="616"/>
      <c r="BP629" s="616"/>
      <c r="BQ629" s="616"/>
      <c r="BR629" s="616"/>
      <c r="BS629" s="616"/>
      <c r="BT629" s="616"/>
      <c r="BU629" s="616"/>
      <c r="BV629" s="616"/>
      <c r="BW629" s="616"/>
      <c r="BX629" s="616"/>
      <c r="BY629" s="616"/>
      <c r="BZ629" s="616"/>
      <c r="CA629" s="616"/>
      <c r="CB629" s="616"/>
      <c r="CC629" s="616"/>
      <c r="CD629" s="616"/>
      <c r="CE629" s="616"/>
      <c r="CF629" s="616"/>
      <c r="CG629" s="616"/>
      <c r="CH629" s="616"/>
      <c r="CI629" s="616"/>
      <c r="CJ629" s="616"/>
      <c r="CK629" s="616"/>
      <c r="CL629" s="616"/>
      <c r="CM629" s="616"/>
      <c r="CN629" s="616"/>
    </row>
    <row r="630" spans="8:92">
      <c r="H630" s="602" t="s">
        <v>940</v>
      </c>
      <c r="L630" s="618" t="s">
        <v>1305</v>
      </c>
      <c r="M630" s="600" t="s">
        <v>974</v>
      </c>
      <c r="N630" s="615" t="e">
        <f>SUM(U630:AF630)</f>
        <v>#N/A</v>
      </c>
      <c r="O630" s="615" t="e">
        <f>SUM(AG630:AR630)</f>
        <v>#N/A</v>
      </c>
      <c r="P630" s="615" t="e">
        <f>SUM(AS630:BD630)</f>
        <v>#N/A</v>
      </c>
      <c r="Q630" s="615" t="e">
        <f>SUM(BE630:BP630)</f>
        <v>#N/A</v>
      </c>
      <c r="R630" s="615" t="e">
        <f>SUM(BQ630:CB630)</f>
        <v>#N/A</v>
      </c>
      <c r="S630" s="615" t="e">
        <f>SUM(CC630:CN630)</f>
        <v>#N/A</v>
      </c>
      <c r="U630" s="616" t="e">
        <f>SUM(U627:U628)</f>
        <v>#N/A</v>
      </c>
      <c r="V630" s="616" t="e">
        <f t="shared" ref="V630:CG630" si="582">SUM(V627:V628)</f>
        <v>#N/A</v>
      </c>
      <c r="W630" s="616" t="e">
        <f t="shared" si="582"/>
        <v>#N/A</v>
      </c>
      <c r="X630" s="616" t="e">
        <f t="shared" si="582"/>
        <v>#N/A</v>
      </c>
      <c r="Y630" s="616" t="e">
        <f t="shared" si="582"/>
        <v>#N/A</v>
      </c>
      <c r="Z630" s="616" t="e">
        <f t="shared" si="582"/>
        <v>#N/A</v>
      </c>
      <c r="AA630" s="616" t="e">
        <f t="shared" si="582"/>
        <v>#N/A</v>
      </c>
      <c r="AB630" s="616" t="e">
        <f t="shared" si="582"/>
        <v>#N/A</v>
      </c>
      <c r="AC630" s="616" t="e">
        <f t="shared" si="582"/>
        <v>#N/A</v>
      </c>
      <c r="AD630" s="616" t="e">
        <f t="shared" si="582"/>
        <v>#N/A</v>
      </c>
      <c r="AE630" s="616" t="e">
        <f t="shared" si="582"/>
        <v>#N/A</v>
      </c>
      <c r="AF630" s="616" t="e">
        <f t="shared" si="582"/>
        <v>#N/A</v>
      </c>
      <c r="AG630" s="616" t="e">
        <f t="shared" si="582"/>
        <v>#N/A</v>
      </c>
      <c r="AH630" s="616" t="e">
        <f t="shared" si="582"/>
        <v>#N/A</v>
      </c>
      <c r="AI630" s="616" t="e">
        <f t="shared" si="582"/>
        <v>#N/A</v>
      </c>
      <c r="AJ630" s="616" t="e">
        <f t="shared" si="582"/>
        <v>#N/A</v>
      </c>
      <c r="AK630" s="616" t="e">
        <f t="shared" si="582"/>
        <v>#N/A</v>
      </c>
      <c r="AL630" s="616" t="e">
        <f t="shared" si="582"/>
        <v>#N/A</v>
      </c>
      <c r="AM630" s="616" t="e">
        <f t="shared" si="582"/>
        <v>#N/A</v>
      </c>
      <c r="AN630" s="616" t="e">
        <f t="shared" si="582"/>
        <v>#N/A</v>
      </c>
      <c r="AO630" s="616" t="e">
        <f t="shared" si="582"/>
        <v>#N/A</v>
      </c>
      <c r="AP630" s="616" t="e">
        <f t="shared" si="582"/>
        <v>#N/A</v>
      </c>
      <c r="AQ630" s="616" t="e">
        <f t="shared" si="582"/>
        <v>#N/A</v>
      </c>
      <c r="AR630" s="616" t="e">
        <f t="shared" si="582"/>
        <v>#N/A</v>
      </c>
      <c r="AS630" s="616" t="e">
        <f t="shared" si="582"/>
        <v>#N/A</v>
      </c>
      <c r="AT630" s="616" t="e">
        <f t="shared" si="582"/>
        <v>#N/A</v>
      </c>
      <c r="AU630" s="616" t="e">
        <f t="shared" si="582"/>
        <v>#N/A</v>
      </c>
      <c r="AV630" s="616" t="e">
        <f t="shared" si="582"/>
        <v>#N/A</v>
      </c>
      <c r="AW630" s="616" t="e">
        <f t="shared" si="582"/>
        <v>#N/A</v>
      </c>
      <c r="AX630" s="616" t="e">
        <f t="shared" si="582"/>
        <v>#N/A</v>
      </c>
      <c r="AY630" s="616" t="e">
        <f t="shared" si="582"/>
        <v>#N/A</v>
      </c>
      <c r="AZ630" s="616" t="e">
        <f t="shared" si="582"/>
        <v>#N/A</v>
      </c>
      <c r="BA630" s="616" t="e">
        <f t="shared" si="582"/>
        <v>#N/A</v>
      </c>
      <c r="BB630" s="616" t="e">
        <f t="shared" si="582"/>
        <v>#N/A</v>
      </c>
      <c r="BC630" s="616" t="e">
        <f t="shared" si="582"/>
        <v>#N/A</v>
      </c>
      <c r="BD630" s="616" t="e">
        <f t="shared" si="582"/>
        <v>#N/A</v>
      </c>
      <c r="BE630" s="616" t="e">
        <f t="shared" si="582"/>
        <v>#N/A</v>
      </c>
      <c r="BF630" s="616" t="e">
        <f t="shared" si="582"/>
        <v>#N/A</v>
      </c>
      <c r="BG630" s="616" t="e">
        <f t="shared" si="582"/>
        <v>#N/A</v>
      </c>
      <c r="BH630" s="616" t="e">
        <f t="shared" si="582"/>
        <v>#N/A</v>
      </c>
      <c r="BI630" s="616" t="e">
        <f t="shared" si="582"/>
        <v>#N/A</v>
      </c>
      <c r="BJ630" s="616" t="e">
        <f t="shared" si="582"/>
        <v>#N/A</v>
      </c>
      <c r="BK630" s="616" t="e">
        <f t="shared" si="582"/>
        <v>#N/A</v>
      </c>
      <c r="BL630" s="616" t="e">
        <f t="shared" si="582"/>
        <v>#N/A</v>
      </c>
      <c r="BM630" s="616" t="e">
        <f t="shared" si="582"/>
        <v>#N/A</v>
      </c>
      <c r="BN630" s="616" t="e">
        <f t="shared" si="582"/>
        <v>#N/A</v>
      </c>
      <c r="BO630" s="616" t="e">
        <f t="shared" si="582"/>
        <v>#N/A</v>
      </c>
      <c r="BP630" s="616" t="e">
        <f t="shared" si="582"/>
        <v>#N/A</v>
      </c>
      <c r="BQ630" s="616" t="e">
        <f t="shared" si="582"/>
        <v>#N/A</v>
      </c>
      <c r="BR630" s="616" t="e">
        <f t="shared" si="582"/>
        <v>#N/A</v>
      </c>
      <c r="BS630" s="616" t="e">
        <f t="shared" si="582"/>
        <v>#N/A</v>
      </c>
      <c r="BT630" s="616" t="e">
        <f t="shared" si="582"/>
        <v>#N/A</v>
      </c>
      <c r="BU630" s="616" t="e">
        <f t="shared" si="582"/>
        <v>#N/A</v>
      </c>
      <c r="BV630" s="616" t="e">
        <f t="shared" si="582"/>
        <v>#N/A</v>
      </c>
      <c r="BW630" s="616" t="e">
        <f t="shared" si="582"/>
        <v>#N/A</v>
      </c>
      <c r="BX630" s="616" t="e">
        <f t="shared" si="582"/>
        <v>#N/A</v>
      </c>
      <c r="BY630" s="616" t="e">
        <f t="shared" si="582"/>
        <v>#N/A</v>
      </c>
      <c r="BZ630" s="616" t="e">
        <f t="shared" si="582"/>
        <v>#N/A</v>
      </c>
      <c r="CA630" s="616" t="e">
        <f t="shared" si="582"/>
        <v>#N/A</v>
      </c>
      <c r="CB630" s="616" t="e">
        <f t="shared" si="582"/>
        <v>#N/A</v>
      </c>
      <c r="CC630" s="616" t="e">
        <f t="shared" si="582"/>
        <v>#N/A</v>
      </c>
      <c r="CD630" s="616" t="e">
        <f t="shared" si="582"/>
        <v>#N/A</v>
      </c>
      <c r="CE630" s="616" t="e">
        <f t="shared" si="582"/>
        <v>#N/A</v>
      </c>
      <c r="CF630" s="616" t="e">
        <f t="shared" si="582"/>
        <v>#N/A</v>
      </c>
      <c r="CG630" s="616" t="e">
        <f t="shared" si="582"/>
        <v>#N/A</v>
      </c>
      <c r="CH630" s="616" t="e">
        <f t="shared" ref="CH630:CN630" si="583">SUM(CH627:CH628)</f>
        <v>#N/A</v>
      </c>
      <c r="CI630" s="616" t="e">
        <f t="shared" si="583"/>
        <v>#N/A</v>
      </c>
      <c r="CJ630" s="616" t="e">
        <f t="shared" si="583"/>
        <v>#N/A</v>
      </c>
      <c r="CK630" s="616" t="e">
        <f t="shared" si="583"/>
        <v>#N/A</v>
      </c>
      <c r="CL630" s="616" t="e">
        <f t="shared" si="583"/>
        <v>#N/A</v>
      </c>
      <c r="CM630" s="616" t="e">
        <f t="shared" si="583"/>
        <v>#N/A</v>
      </c>
      <c r="CN630" s="616" t="e">
        <f t="shared" si="583"/>
        <v>#N/A</v>
      </c>
    </row>
    <row r="631" spans="8:92">
      <c r="H631" s="602" t="s">
        <v>940</v>
      </c>
      <c r="L631" s="618" t="s">
        <v>1307</v>
      </c>
      <c r="M631" s="600" t="s">
        <v>974</v>
      </c>
      <c r="N631" s="615" t="e">
        <f>SUM(U631:AF631)</f>
        <v>#N/A</v>
      </c>
      <c r="O631" s="615" t="e">
        <f>SUM(AG631:AR631)</f>
        <v>#N/A</v>
      </c>
      <c r="P631" s="615" t="e">
        <f>SUM(AS631:BD631)</f>
        <v>#N/A</v>
      </c>
      <c r="Q631" s="615" t="e">
        <f>SUM(BE631:BP631)</f>
        <v>#N/A</v>
      </c>
      <c r="R631" s="615" t="e">
        <f>SUM(BQ631:CB631)</f>
        <v>#N/A</v>
      </c>
      <c r="S631" s="615" t="e">
        <f>SUM(CC631:CN631)</f>
        <v>#N/A</v>
      </c>
      <c r="U631" s="616" t="e">
        <f>U630-U606</f>
        <v>#N/A</v>
      </c>
      <c r="V631" s="616" t="e">
        <f t="shared" ref="V631:CG631" si="584">V630-V606</f>
        <v>#N/A</v>
      </c>
      <c r="W631" s="616" t="e">
        <f t="shared" si="584"/>
        <v>#N/A</v>
      </c>
      <c r="X631" s="616" t="e">
        <f t="shared" si="584"/>
        <v>#N/A</v>
      </c>
      <c r="Y631" s="616" t="e">
        <f t="shared" si="584"/>
        <v>#N/A</v>
      </c>
      <c r="Z631" s="616" t="e">
        <f t="shared" si="584"/>
        <v>#N/A</v>
      </c>
      <c r="AA631" s="616" t="e">
        <f t="shared" si="584"/>
        <v>#N/A</v>
      </c>
      <c r="AB631" s="616" t="e">
        <f t="shared" si="584"/>
        <v>#N/A</v>
      </c>
      <c r="AC631" s="616" t="e">
        <f t="shared" si="584"/>
        <v>#N/A</v>
      </c>
      <c r="AD631" s="616" t="e">
        <f t="shared" si="584"/>
        <v>#N/A</v>
      </c>
      <c r="AE631" s="616" t="e">
        <f t="shared" si="584"/>
        <v>#N/A</v>
      </c>
      <c r="AF631" s="616" t="e">
        <f t="shared" si="584"/>
        <v>#N/A</v>
      </c>
      <c r="AG631" s="616" t="e">
        <f t="shared" si="584"/>
        <v>#N/A</v>
      </c>
      <c r="AH631" s="616" t="e">
        <f t="shared" si="584"/>
        <v>#N/A</v>
      </c>
      <c r="AI631" s="616" t="e">
        <f t="shared" si="584"/>
        <v>#N/A</v>
      </c>
      <c r="AJ631" s="616" t="e">
        <f t="shared" si="584"/>
        <v>#N/A</v>
      </c>
      <c r="AK631" s="616" t="e">
        <f t="shared" si="584"/>
        <v>#N/A</v>
      </c>
      <c r="AL631" s="616" t="e">
        <f t="shared" si="584"/>
        <v>#N/A</v>
      </c>
      <c r="AM631" s="616" t="e">
        <f t="shared" si="584"/>
        <v>#N/A</v>
      </c>
      <c r="AN631" s="616" t="e">
        <f t="shared" si="584"/>
        <v>#N/A</v>
      </c>
      <c r="AO631" s="616" t="e">
        <f t="shared" si="584"/>
        <v>#N/A</v>
      </c>
      <c r="AP631" s="616" t="e">
        <f t="shared" si="584"/>
        <v>#N/A</v>
      </c>
      <c r="AQ631" s="616" t="e">
        <f t="shared" si="584"/>
        <v>#N/A</v>
      </c>
      <c r="AR631" s="616" t="e">
        <f t="shared" si="584"/>
        <v>#N/A</v>
      </c>
      <c r="AS631" s="616" t="e">
        <f t="shared" si="584"/>
        <v>#N/A</v>
      </c>
      <c r="AT631" s="616" t="e">
        <f t="shared" si="584"/>
        <v>#N/A</v>
      </c>
      <c r="AU631" s="616" t="e">
        <f t="shared" si="584"/>
        <v>#N/A</v>
      </c>
      <c r="AV631" s="616" t="e">
        <f t="shared" si="584"/>
        <v>#N/A</v>
      </c>
      <c r="AW631" s="616" t="e">
        <f t="shared" si="584"/>
        <v>#N/A</v>
      </c>
      <c r="AX631" s="616" t="e">
        <f t="shared" si="584"/>
        <v>#N/A</v>
      </c>
      <c r="AY631" s="616" t="e">
        <f t="shared" si="584"/>
        <v>#N/A</v>
      </c>
      <c r="AZ631" s="616" t="e">
        <f t="shared" si="584"/>
        <v>#N/A</v>
      </c>
      <c r="BA631" s="616" t="e">
        <f t="shared" si="584"/>
        <v>#N/A</v>
      </c>
      <c r="BB631" s="616" t="e">
        <f t="shared" si="584"/>
        <v>#N/A</v>
      </c>
      <c r="BC631" s="616" t="e">
        <f t="shared" si="584"/>
        <v>#N/A</v>
      </c>
      <c r="BD631" s="616" t="e">
        <f t="shared" si="584"/>
        <v>#N/A</v>
      </c>
      <c r="BE631" s="616" t="e">
        <f t="shared" si="584"/>
        <v>#N/A</v>
      </c>
      <c r="BF631" s="616" t="e">
        <f t="shared" si="584"/>
        <v>#N/A</v>
      </c>
      <c r="BG631" s="616" t="e">
        <f t="shared" si="584"/>
        <v>#N/A</v>
      </c>
      <c r="BH631" s="616" t="e">
        <f t="shared" si="584"/>
        <v>#N/A</v>
      </c>
      <c r="BI631" s="616" t="e">
        <f t="shared" si="584"/>
        <v>#N/A</v>
      </c>
      <c r="BJ631" s="616" t="e">
        <f t="shared" si="584"/>
        <v>#N/A</v>
      </c>
      <c r="BK631" s="616" t="e">
        <f t="shared" si="584"/>
        <v>#N/A</v>
      </c>
      <c r="BL631" s="616" t="e">
        <f t="shared" si="584"/>
        <v>#N/A</v>
      </c>
      <c r="BM631" s="616" t="e">
        <f t="shared" si="584"/>
        <v>#N/A</v>
      </c>
      <c r="BN631" s="616" t="e">
        <f t="shared" si="584"/>
        <v>#N/A</v>
      </c>
      <c r="BO631" s="616" t="e">
        <f t="shared" si="584"/>
        <v>#N/A</v>
      </c>
      <c r="BP631" s="616" t="e">
        <f t="shared" si="584"/>
        <v>#N/A</v>
      </c>
      <c r="BQ631" s="616" t="e">
        <f t="shared" si="584"/>
        <v>#N/A</v>
      </c>
      <c r="BR631" s="616" t="e">
        <f t="shared" si="584"/>
        <v>#N/A</v>
      </c>
      <c r="BS631" s="616" t="e">
        <f t="shared" si="584"/>
        <v>#N/A</v>
      </c>
      <c r="BT631" s="616" t="e">
        <f t="shared" si="584"/>
        <v>#N/A</v>
      </c>
      <c r="BU631" s="616" t="e">
        <f t="shared" si="584"/>
        <v>#N/A</v>
      </c>
      <c r="BV631" s="616" t="e">
        <f t="shared" si="584"/>
        <v>#N/A</v>
      </c>
      <c r="BW631" s="616" t="e">
        <f t="shared" si="584"/>
        <v>#N/A</v>
      </c>
      <c r="BX631" s="616" t="e">
        <f t="shared" si="584"/>
        <v>#N/A</v>
      </c>
      <c r="BY631" s="616" t="e">
        <f t="shared" si="584"/>
        <v>#N/A</v>
      </c>
      <c r="BZ631" s="616" t="e">
        <f t="shared" si="584"/>
        <v>#N/A</v>
      </c>
      <c r="CA631" s="616" t="e">
        <f t="shared" si="584"/>
        <v>#N/A</v>
      </c>
      <c r="CB631" s="616" t="e">
        <f t="shared" si="584"/>
        <v>#N/A</v>
      </c>
      <c r="CC631" s="616" t="e">
        <f t="shared" si="584"/>
        <v>#N/A</v>
      </c>
      <c r="CD631" s="616" t="e">
        <f t="shared" si="584"/>
        <v>#N/A</v>
      </c>
      <c r="CE631" s="616" t="e">
        <f t="shared" si="584"/>
        <v>#N/A</v>
      </c>
      <c r="CF631" s="616" t="e">
        <f t="shared" si="584"/>
        <v>#N/A</v>
      </c>
      <c r="CG631" s="616" t="e">
        <f t="shared" si="584"/>
        <v>#N/A</v>
      </c>
      <c r="CH631" s="616" t="e">
        <f t="shared" ref="CH631:CN631" si="585">CH630-CH606</f>
        <v>#N/A</v>
      </c>
      <c r="CI631" s="616" t="e">
        <f t="shared" si="585"/>
        <v>#N/A</v>
      </c>
      <c r="CJ631" s="616" t="e">
        <f t="shared" si="585"/>
        <v>#N/A</v>
      </c>
      <c r="CK631" s="616" t="e">
        <f t="shared" si="585"/>
        <v>#N/A</v>
      </c>
      <c r="CL631" s="616" t="e">
        <f t="shared" si="585"/>
        <v>#N/A</v>
      </c>
      <c r="CM631" s="616" t="e">
        <f t="shared" si="585"/>
        <v>#N/A</v>
      </c>
      <c r="CN631" s="616" t="e">
        <f t="shared" si="585"/>
        <v>#N/A</v>
      </c>
    </row>
    <row r="632" spans="8:92" ht="13.5" thickBot="1">
      <c r="H632" s="602" t="s">
        <v>940</v>
      </c>
      <c r="L632" s="618"/>
      <c r="M632" s="600"/>
      <c r="N632" s="615"/>
      <c r="O632" s="615"/>
      <c r="P632" s="615"/>
      <c r="Q632" s="615"/>
      <c r="R632" s="615"/>
      <c r="S632" s="615"/>
      <c r="U632" s="616"/>
      <c r="V632" s="616"/>
      <c r="W632" s="616"/>
      <c r="X632" s="616"/>
      <c r="Y632" s="616"/>
      <c r="Z632" s="616"/>
      <c r="AA632" s="616"/>
      <c r="AB632" s="616"/>
      <c r="AC632" s="616"/>
      <c r="AD632" s="616"/>
      <c r="AE632" s="616"/>
      <c r="AF632" s="616"/>
      <c r="AG632" s="616"/>
      <c r="AH632" s="616"/>
      <c r="AI632" s="616"/>
      <c r="AJ632" s="616"/>
      <c r="AK632" s="616"/>
      <c r="AL632" s="616"/>
      <c r="AM632" s="616"/>
      <c r="AN632" s="616"/>
      <c r="AO632" s="616"/>
      <c r="AP632" s="616"/>
      <c r="AQ632" s="616"/>
      <c r="AR632" s="616"/>
      <c r="AS632" s="616"/>
      <c r="AT632" s="616"/>
      <c r="AU632" s="616"/>
      <c r="AV632" s="616"/>
      <c r="AW632" s="616"/>
      <c r="AX632" s="616"/>
      <c r="AY632" s="616"/>
      <c r="AZ632" s="616"/>
      <c r="BA632" s="616"/>
      <c r="BB632" s="616"/>
      <c r="BC632" s="616"/>
      <c r="BD632" s="616"/>
      <c r="BE632" s="616"/>
      <c r="BF632" s="616"/>
      <c r="BG632" s="616"/>
      <c r="BH632" s="616"/>
      <c r="BI632" s="616"/>
      <c r="BJ632" s="616"/>
      <c r="BK632" s="616"/>
      <c r="BL632" s="616"/>
      <c r="BM632" s="616"/>
      <c r="BN632" s="616"/>
      <c r="BO632" s="616"/>
      <c r="BP632" s="616"/>
      <c r="BQ632" s="616"/>
      <c r="BR632" s="616"/>
      <c r="BS632" s="616"/>
      <c r="BT632" s="616"/>
      <c r="BU632" s="616"/>
      <c r="BV632" s="616"/>
      <c r="BW632" s="616"/>
      <c r="BX632" s="616"/>
      <c r="BY632" s="616"/>
      <c r="BZ632" s="616"/>
      <c r="CA632" s="616"/>
      <c r="CB632" s="616"/>
      <c r="CC632" s="616"/>
      <c r="CD632" s="616"/>
      <c r="CE632" s="616"/>
      <c r="CF632" s="616"/>
      <c r="CG632" s="616"/>
      <c r="CH632" s="616"/>
      <c r="CI632" s="616"/>
      <c r="CJ632" s="616"/>
      <c r="CK632" s="616"/>
      <c r="CL632" s="616"/>
      <c r="CM632" s="616"/>
      <c r="CN632" s="616"/>
    </row>
    <row r="633" spans="8:92" ht="13.5" thickTop="1">
      <c r="H633" s="602" t="s">
        <v>940</v>
      </c>
      <c r="L633" s="757" t="s">
        <v>1311</v>
      </c>
      <c r="M633" s="758"/>
      <c r="N633" s="758"/>
      <c r="O633" s="758"/>
      <c r="P633" s="758"/>
      <c r="Q633" s="758"/>
      <c r="R633" s="758"/>
      <c r="S633" s="758"/>
      <c r="T633" s="758"/>
      <c r="U633" s="758"/>
      <c r="V633" s="758"/>
      <c r="W633" s="758"/>
      <c r="X633" s="758"/>
      <c r="Y633" s="758"/>
      <c r="Z633" s="758"/>
      <c r="AA633" s="758"/>
      <c r="AB633" s="758"/>
      <c r="AC633" s="758"/>
      <c r="AD633" s="758"/>
      <c r="AE633" s="758"/>
      <c r="AF633" s="758"/>
      <c r="AG633" s="758"/>
      <c r="AH633" s="758"/>
      <c r="AI633" s="758"/>
      <c r="AJ633" s="758"/>
      <c r="AK633" s="758"/>
      <c r="AL633" s="758"/>
      <c r="AM633" s="758"/>
      <c r="AN633" s="758"/>
      <c r="AO633" s="758"/>
      <c r="AP633" s="758"/>
      <c r="AQ633" s="758"/>
      <c r="AR633" s="758"/>
      <c r="AS633" s="758"/>
      <c r="AT633" s="758"/>
      <c r="AU633" s="758"/>
      <c r="AV633" s="758"/>
      <c r="AW633" s="758"/>
      <c r="AX633" s="758"/>
      <c r="AY633" s="758"/>
      <c r="AZ633" s="758"/>
      <c r="BA633" s="758"/>
      <c r="BB633" s="758"/>
      <c r="BC633" s="758"/>
      <c r="BD633" s="758"/>
      <c r="BE633" s="758"/>
      <c r="BF633" s="758"/>
      <c r="BG633" s="758"/>
      <c r="BH633" s="758"/>
      <c r="BI633" s="758"/>
      <c r="BJ633" s="758"/>
      <c r="BK633" s="758"/>
      <c r="BL633" s="758"/>
      <c r="BM633" s="758"/>
      <c r="BN633" s="758"/>
      <c r="BO633" s="758"/>
      <c r="BP633" s="758"/>
      <c r="BQ633" s="758"/>
      <c r="BR633" s="758"/>
      <c r="BS633" s="758"/>
      <c r="BT633" s="758"/>
      <c r="BU633" s="758"/>
      <c r="BV633" s="758"/>
      <c r="BW633" s="758"/>
      <c r="BX633" s="758"/>
      <c r="BY633" s="758"/>
      <c r="BZ633" s="758"/>
      <c r="CA633" s="758"/>
      <c r="CB633" s="758"/>
      <c r="CC633" s="758"/>
      <c r="CD633" s="758"/>
      <c r="CE633" s="758"/>
      <c r="CF633" s="758"/>
      <c r="CG633" s="758"/>
      <c r="CH633" s="758"/>
      <c r="CI633" s="758"/>
      <c r="CJ633" s="758"/>
      <c r="CK633" s="758"/>
      <c r="CL633" s="758"/>
      <c r="CM633" s="758"/>
      <c r="CN633" s="758"/>
    </row>
    <row r="634" spans="8:92">
      <c r="H634" s="602" t="s">
        <v>940</v>
      </c>
      <c r="L634" s="609"/>
      <c r="M634" s="609" t="s">
        <v>359</v>
      </c>
      <c r="N634" s="704" t="s">
        <v>929</v>
      </c>
      <c r="O634" s="704" t="s">
        <v>1193</v>
      </c>
      <c r="P634" s="704" t="s">
        <v>1194</v>
      </c>
      <c r="Q634" s="704" t="s">
        <v>1195</v>
      </c>
      <c r="R634" s="704" t="s">
        <v>1196</v>
      </c>
      <c r="S634" s="704" t="s">
        <v>1197</v>
      </c>
      <c r="T634" s="753"/>
      <c r="U634" s="692" t="s">
        <v>929</v>
      </c>
      <c r="AF634" s="753"/>
      <c r="AG634" s="704" t="s">
        <v>1193</v>
      </c>
      <c r="AR634" s="753"/>
      <c r="AS634" s="704" t="s">
        <v>1194</v>
      </c>
      <c r="BD634" s="753"/>
      <c r="BE634" s="704" t="s">
        <v>1195</v>
      </c>
      <c r="BP634" s="753"/>
      <c r="BQ634" s="704" t="s">
        <v>1196</v>
      </c>
      <c r="CB634" s="753"/>
      <c r="CC634" s="704" t="s">
        <v>1197</v>
      </c>
    </row>
    <row r="635" spans="8:92">
      <c r="H635" s="602" t="s">
        <v>940</v>
      </c>
      <c r="L635" s="611"/>
      <c r="M635" s="611"/>
      <c r="N635" s="754" t="s">
        <v>405</v>
      </c>
      <c r="O635" s="754" t="s">
        <v>405</v>
      </c>
      <c r="P635" s="754" t="s">
        <v>405</v>
      </c>
      <c r="Q635" s="754" t="s">
        <v>405</v>
      </c>
      <c r="R635" s="754" t="s">
        <v>405</v>
      </c>
      <c r="S635" s="754" t="s">
        <v>405</v>
      </c>
      <c r="T635" s="755"/>
      <c r="U635" s="754" t="s">
        <v>1259</v>
      </c>
      <c r="V635" s="754" t="s">
        <v>1260</v>
      </c>
      <c r="W635" s="754" t="s">
        <v>1261</v>
      </c>
      <c r="X635" s="754" t="s">
        <v>1262</v>
      </c>
      <c r="Y635" s="754" t="s">
        <v>947</v>
      </c>
      <c r="Z635" s="754" t="s">
        <v>1263</v>
      </c>
      <c r="AA635" s="754" t="s">
        <v>1264</v>
      </c>
      <c r="AB635" s="754" t="s">
        <v>1265</v>
      </c>
      <c r="AC635" s="754" t="s">
        <v>1266</v>
      </c>
      <c r="AD635" s="754" t="s">
        <v>1267</v>
      </c>
      <c r="AE635" s="754" t="s">
        <v>1268</v>
      </c>
      <c r="AF635" s="756" t="s">
        <v>1269</v>
      </c>
      <c r="AG635" s="754" t="s">
        <v>1259</v>
      </c>
      <c r="AH635" s="754" t="s">
        <v>1260</v>
      </c>
      <c r="AI635" s="754" t="s">
        <v>1261</v>
      </c>
      <c r="AJ635" s="754" t="s">
        <v>1262</v>
      </c>
      <c r="AK635" s="754" t="s">
        <v>947</v>
      </c>
      <c r="AL635" s="754" t="s">
        <v>1263</v>
      </c>
      <c r="AM635" s="754" t="s">
        <v>1264</v>
      </c>
      <c r="AN635" s="754" t="s">
        <v>1265</v>
      </c>
      <c r="AO635" s="754" t="s">
        <v>1266</v>
      </c>
      <c r="AP635" s="754" t="s">
        <v>1267</v>
      </c>
      <c r="AQ635" s="754" t="s">
        <v>1268</v>
      </c>
      <c r="AR635" s="756" t="s">
        <v>1269</v>
      </c>
      <c r="AS635" s="754" t="s">
        <v>1259</v>
      </c>
      <c r="AT635" s="754" t="s">
        <v>1260</v>
      </c>
      <c r="AU635" s="754" t="s">
        <v>1261</v>
      </c>
      <c r="AV635" s="754" t="s">
        <v>1262</v>
      </c>
      <c r="AW635" s="754" t="s">
        <v>947</v>
      </c>
      <c r="AX635" s="754" t="s">
        <v>1263</v>
      </c>
      <c r="AY635" s="754" t="s">
        <v>1264</v>
      </c>
      <c r="AZ635" s="754" t="s">
        <v>1265</v>
      </c>
      <c r="BA635" s="754" t="s">
        <v>1266</v>
      </c>
      <c r="BB635" s="754" t="s">
        <v>1267</v>
      </c>
      <c r="BC635" s="754" t="s">
        <v>1268</v>
      </c>
      <c r="BD635" s="756" t="s">
        <v>1269</v>
      </c>
      <c r="BE635" s="754" t="s">
        <v>1259</v>
      </c>
      <c r="BF635" s="754" t="s">
        <v>1260</v>
      </c>
      <c r="BG635" s="754" t="s">
        <v>1261</v>
      </c>
      <c r="BH635" s="754" t="s">
        <v>1262</v>
      </c>
      <c r="BI635" s="754" t="s">
        <v>947</v>
      </c>
      <c r="BJ635" s="754" t="s">
        <v>1263</v>
      </c>
      <c r="BK635" s="754" t="s">
        <v>1264</v>
      </c>
      <c r="BL635" s="754" t="s">
        <v>1265</v>
      </c>
      <c r="BM635" s="754" t="s">
        <v>1266</v>
      </c>
      <c r="BN635" s="754" t="s">
        <v>1267</v>
      </c>
      <c r="BO635" s="754" t="s">
        <v>1268</v>
      </c>
      <c r="BP635" s="756" t="s">
        <v>1269</v>
      </c>
      <c r="BQ635" s="754" t="s">
        <v>1259</v>
      </c>
      <c r="BR635" s="754" t="s">
        <v>1260</v>
      </c>
      <c r="BS635" s="754" t="s">
        <v>1261</v>
      </c>
      <c r="BT635" s="754" t="s">
        <v>1262</v>
      </c>
      <c r="BU635" s="754" t="s">
        <v>947</v>
      </c>
      <c r="BV635" s="754" t="s">
        <v>1263</v>
      </c>
      <c r="BW635" s="754" t="s">
        <v>1264</v>
      </c>
      <c r="BX635" s="754" t="s">
        <v>1265</v>
      </c>
      <c r="BY635" s="754" t="s">
        <v>1266</v>
      </c>
      <c r="BZ635" s="754" t="s">
        <v>1267</v>
      </c>
      <c r="CA635" s="754" t="s">
        <v>1268</v>
      </c>
      <c r="CB635" s="756" t="s">
        <v>1269</v>
      </c>
      <c r="CC635" s="754" t="s">
        <v>1259</v>
      </c>
      <c r="CD635" s="754" t="s">
        <v>1260</v>
      </c>
      <c r="CE635" s="754" t="s">
        <v>1261</v>
      </c>
      <c r="CF635" s="754" t="s">
        <v>1262</v>
      </c>
      <c r="CG635" s="754" t="s">
        <v>947</v>
      </c>
      <c r="CH635" s="754" t="s">
        <v>1263</v>
      </c>
      <c r="CI635" s="754" t="s">
        <v>1264</v>
      </c>
      <c r="CJ635" s="754" t="s">
        <v>1265</v>
      </c>
      <c r="CK635" s="754" t="s">
        <v>1266</v>
      </c>
      <c r="CL635" s="754" t="s">
        <v>1267</v>
      </c>
      <c r="CM635" s="754" t="s">
        <v>1268</v>
      </c>
      <c r="CN635" s="754" t="s">
        <v>1269</v>
      </c>
    </row>
    <row r="636" spans="8:92">
      <c r="H636" s="602" t="s">
        <v>940</v>
      </c>
      <c r="L636" s="609"/>
    </row>
    <row r="637" spans="8:92">
      <c r="H637" s="602" t="s">
        <v>940</v>
      </c>
      <c r="L637" s="618" t="s">
        <v>1290</v>
      </c>
      <c r="M637" s="600" t="s">
        <v>898</v>
      </c>
      <c r="N637" s="615" t="e">
        <f>SUM(U637:AF637)</f>
        <v>#N/A</v>
      </c>
      <c r="O637" s="615" t="e">
        <f>SUM(AG637:AR637)</f>
        <v>#N/A</v>
      </c>
      <c r="P637" s="615" t="e">
        <f>SUM(AS637:BD637)</f>
        <v>#N/A</v>
      </c>
      <c r="Q637" s="615" t="e">
        <f>SUM(BE637:BP637)</f>
        <v>#N/A</v>
      </c>
      <c r="R637" s="615" t="e">
        <f>SUM(BQ637:CB637)</f>
        <v>#N/A</v>
      </c>
      <c r="S637" s="615" t="e">
        <f>SUM(CC637:CN637)</f>
        <v>#N/A</v>
      </c>
      <c r="U637" s="615" t="e">
        <f>U492</f>
        <v>#N/A</v>
      </c>
      <c r="V637" s="615" t="e">
        <f t="shared" ref="V637:CG637" si="586">V492</f>
        <v>#N/A</v>
      </c>
      <c r="W637" s="615" t="e">
        <f t="shared" si="586"/>
        <v>#N/A</v>
      </c>
      <c r="X637" s="615" t="e">
        <f t="shared" si="586"/>
        <v>#N/A</v>
      </c>
      <c r="Y637" s="615" t="e">
        <f t="shared" si="586"/>
        <v>#N/A</v>
      </c>
      <c r="Z637" s="615" t="e">
        <f t="shared" si="586"/>
        <v>#N/A</v>
      </c>
      <c r="AA637" s="615" t="e">
        <f t="shared" si="586"/>
        <v>#N/A</v>
      </c>
      <c r="AB637" s="615" t="e">
        <f t="shared" si="586"/>
        <v>#N/A</v>
      </c>
      <c r="AC637" s="615" t="e">
        <f t="shared" si="586"/>
        <v>#N/A</v>
      </c>
      <c r="AD637" s="615" t="e">
        <f t="shared" si="586"/>
        <v>#N/A</v>
      </c>
      <c r="AE637" s="615" t="e">
        <f t="shared" si="586"/>
        <v>#N/A</v>
      </c>
      <c r="AF637" s="615" t="e">
        <f t="shared" si="586"/>
        <v>#N/A</v>
      </c>
      <c r="AG637" s="615" t="e">
        <f t="shared" si="586"/>
        <v>#N/A</v>
      </c>
      <c r="AH637" s="615" t="e">
        <f t="shared" si="586"/>
        <v>#N/A</v>
      </c>
      <c r="AI637" s="615" t="e">
        <f t="shared" si="586"/>
        <v>#N/A</v>
      </c>
      <c r="AJ637" s="615" t="e">
        <f t="shared" si="586"/>
        <v>#N/A</v>
      </c>
      <c r="AK637" s="615" t="e">
        <f t="shared" si="586"/>
        <v>#N/A</v>
      </c>
      <c r="AL637" s="615" t="e">
        <f t="shared" si="586"/>
        <v>#N/A</v>
      </c>
      <c r="AM637" s="615" t="e">
        <f t="shared" si="586"/>
        <v>#N/A</v>
      </c>
      <c r="AN637" s="615" t="e">
        <f t="shared" si="586"/>
        <v>#N/A</v>
      </c>
      <c r="AO637" s="615" t="e">
        <f t="shared" si="586"/>
        <v>#N/A</v>
      </c>
      <c r="AP637" s="615" t="e">
        <f t="shared" si="586"/>
        <v>#N/A</v>
      </c>
      <c r="AQ637" s="615" t="e">
        <f t="shared" si="586"/>
        <v>#N/A</v>
      </c>
      <c r="AR637" s="615" t="e">
        <f t="shared" si="586"/>
        <v>#N/A</v>
      </c>
      <c r="AS637" s="615" t="e">
        <f t="shared" si="586"/>
        <v>#N/A</v>
      </c>
      <c r="AT637" s="615" t="e">
        <f t="shared" si="586"/>
        <v>#N/A</v>
      </c>
      <c r="AU637" s="615" t="e">
        <f t="shared" si="586"/>
        <v>#N/A</v>
      </c>
      <c r="AV637" s="615" t="e">
        <f t="shared" si="586"/>
        <v>#N/A</v>
      </c>
      <c r="AW637" s="615" t="e">
        <f t="shared" si="586"/>
        <v>#N/A</v>
      </c>
      <c r="AX637" s="615" t="e">
        <f t="shared" si="586"/>
        <v>#N/A</v>
      </c>
      <c r="AY637" s="615" t="e">
        <f t="shared" si="586"/>
        <v>#N/A</v>
      </c>
      <c r="AZ637" s="615" t="e">
        <f t="shared" si="586"/>
        <v>#N/A</v>
      </c>
      <c r="BA637" s="615" t="e">
        <f t="shared" si="586"/>
        <v>#N/A</v>
      </c>
      <c r="BB637" s="615" t="e">
        <f t="shared" si="586"/>
        <v>#N/A</v>
      </c>
      <c r="BC637" s="615" t="e">
        <f t="shared" si="586"/>
        <v>#N/A</v>
      </c>
      <c r="BD637" s="615" t="e">
        <f t="shared" si="586"/>
        <v>#N/A</v>
      </c>
      <c r="BE637" s="615" t="e">
        <f t="shared" si="586"/>
        <v>#N/A</v>
      </c>
      <c r="BF637" s="615" t="e">
        <f t="shared" si="586"/>
        <v>#N/A</v>
      </c>
      <c r="BG637" s="615" t="e">
        <f t="shared" si="586"/>
        <v>#N/A</v>
      </c>
      <c r="BH637" s="615" t="e">
        <f t="shared" si="586"/>
        <v>#N/A</v>
      </c>
      <c r="BI637" s="615" t="e">
        <f t="shared" si="586"/>
        <v>#N/A</v>
      </c>
      <c r="BJ637" s="615" t="e">
        <f t="shared" si="586"/>
        <v>#N/A</v>
      </c>
      <c r="BK637" s="615" t="e">
        <f t="shared" si="586"/>
        <v>#N/A</v>
      </c>
      <c r="BL637" s="615" t="e">
        <f t="shared" si="586"/>
        <v>#N/A</v>
      </c>
      <c r="BM637" s="615" t="e">
        <f t="shared" si="586"/>
        <v>#N/A</v>
      </c>
      <c r="BN637" s="615" t="e">
        <f t="shared" si="586"/>
        <v>#N/A</v>
      </c>
      <c r="BO637" s="615" t="e">
        <f t="shared" si="586"/>
        <v>#N/A</v>
      </c>
      <c r="BP637" s="615" t="e">
        <f t="shared" si="586"/>
        <v>#N/A</v>
      </c>
      <c r="BQ637" s="615" t="e">
        <f t="shared" si="586"/>
        <v>#N/A</v>
      </c>
      <c r="BR637" s="615" t="e">
        <f t="shared" si="586"/>
        <v>#N/A</v>
      </c>
      <c r="BS637" s="615" t="e">
        <f t="shared" si="586"/>
        <v>#N/A</v>
      </c>
      <c r="BT637" s="615" t="e">
        <f t="shared" si="586"/>
        <v>#N/A</v>
      </c>
      <c r="BU637" s="615" t="e">
        <f t="shared" si="586"/>
        <v>#N/A</v>
      </c>
      <c r="BV637" s="615" t="e">
        <f t="shared" si="586"/>
        <v>#N/A</v>
      </c>
      <c r="BW637" s="615" t="e">
        <f t="shared" si="586"/>
        <v>#N/A</v>
      </c>
      <c r="BX637" s="615" t="e">
        <f t="shared" si="586"/>
        <v>#N/A</v>
      </c>
      <c r="BY637" s="615" t="e">
        <f t="shared" si="586"/>
        <v>#N/A</v>
      </c>
      <c r="BZ637" s="615" t="e">
        <f t="shared" si="586"/>
        <v>#N/A</v>
      </c>
      <c r="CA637" s="615" t="e">
        <f t="shared" si="586"/>
        <v>#N/A</v>
      </c>
      <c r="CB637" s="615" t="e">
        <f t="shared" si="586"/>
        <v>#N/A</v>
      </c>
      <c r="CC637" s="615" t="e">
        <f t="shared" si="586"/>
        <v>#N/A</v>
      </c>
      <c r="CD637" s="615" t="e">
        <f t="shared" si="586"/>
        <v>#N/A</v>
      </c>
      <c r="CE637" s="615" t="e">
        <f t="shared" si="586"/>
        <v>#N/A</v>
      </c>
      <c r="CF637" s="615" t="e">
        <f t="shared" si="586"/>
        <v>#N/A</v>
      </c>
      <c r="CG637" s="615" t="e">
        <f t="shared" si="586"/>
        <v>#N/A</v>
      </c>
      <c r="CH637" s="615" t="e">
        <f t="shared" ref="CH637:CN637" si="587">CH492</f>
        <v>#N/A</v>
      </c>
      <c r="CI637" s="615" t="e">
        <f t="shared" si="587"/>
        <v>#N/A</v>
      </c>
      <c r="CJ637" s="615" t="e">
        <f t="shared" si="587"/>
        <v>#N/A</v>
      </c>
      <c r="CK637" s="615" t="e">
        <f t="shared" si="587"/>
        <v>#N/A</v>
      </c>
      <c r="CL637" s="615" t="e">
        <f t="shared" si="587"/>
        <v>#N/A</v>
      </c>
      <c r="CM637" s="615" t="e">
        <f t="shared" si="587"/>
        <v>#N/A</v>
      </c>
      <c r="CN637" s="615" t="e">
        <f t="shared" si="587"/>
        <v>#N/A</v>
      </c>
    </row>
    <row r="638" spans="8:92">
      <c r="H638" s="602" t="s">
        <v>940</v>
      </c>
      <c r="L638" s="609"/>
      <c r="N638" s="615"/>
      <c r="O638" s="615"/>
      <c r="P638" s="615"/>
      <c r="Q638" s="615"/>
      <c r="R638" s="615"/>
      <c r="S638" s="615"/>
    </row>
    <row r="639" spans="8:92">
      <c r="H639" s="602" t="s">
        <v>940</v>
      </c>
      <c r="L639" s="618" t="s">
        <v>1296</v>
      </c>
      <c r="M639" s="600" t="s">
        <v>898</v>
      </c>
      <c r="N639" s="615" t="e">
        <f>SUM(U639:AF639)</f>
        <v>#N/A</v>
      </c>
      <c r="O639" s="615" t="e">
        <f>SUM(AG639:AR639)</f>
        <v>#N/A</v>
      </c>
      <c r="P639" s="615" t="e">
        <f>SUM(AS639:BD639)</f>
        <v>#N/A</v>
      </c>
      <c r="Q639" s="615" t="e">
        <f>SUM(BE639:BP639)</f>
        <v>#N/A</v>
      </c>
      <c r="R639" s="615" t="e">
        <f>SUM(BQ639:CB639)</f>
        <v>#N/A</v>
      </c>
      <c r="S639" s="615" t="e">
        <f>SUM(CC639:CN639)</f>
        <v>#N/A</v>
      </c>
      <c r="U639" s="615" t="e">
        <f t="shared" ref="U639:AF639" si="588">MIN(U637,N$422)</f>
        <v>#N/A</v>
      </c>
      <c r="V639" s="615" t="e">
        <f t="shared" si="588"/>
        <v>#N/A</v>
      </c>
      <c r="W639" s="615" t="e">
        <f t="shared" si="588"/>
        <v>#N/A</v>
      </c>
      <c r="X639" s="615" t="e">
        <f t="shared" si="588"/>
        <v>#N/A</v>
      </c>
      <c r="Y639" s="615" t="e">
        <f t="shared" si="588"/>
        <v>#N/A</v>
      </c>
      <c r="Z639" s="615" t="e">
        <f t="shared" si="588"/>
        <v>#N/A</v>
      </c>
      <c r="AA639" s="615" t="e">
        <f t="shared" si="588"/>
        <v>#N/A</v>
      </c>
      <c r="AB639" s="615" t="e">
        <f t="shared" si="588"/>
        <v>#N/A</v>
      </c>
      <c r="AC639" s="615" t="e">
        <f t="shared" si="588"/>
        <v>#N/A</v>
      </c>
      <c r="AD639" s="615" t="e">
        <f t="shared" si="588"/>
        <v>#N/A</v>
      </c>
      <c r="AE639" s="615" t="e">
        <f t="shared" si="588"/>
        <v>#N/A</v>
      </c>
      <c r="AF639" s="615" t="e">
        <f t="shared" si="588"/>
        <v>#N/A</v>
      </c>
      <c r="AG639" s="615" t="e">
        <f t="shared" ref="AG639:AR639" si="589">MIN(AG637,N$422)</f>
        <v>#N/A</v>
      </c>
      <c r="AH639" s="615" t="e">
        <f t="shared" si="589"/>
        <v>#N/A</v>
      </c>
      <c r="AI639" s="615" t="e">
        <f t="shared" si="589"/>
        <v>#N/A</v>
      </c>
      <c r="AJ639" s="615" t="e">
        <f t="shared" si="589"/>
        <v>#N/A</v>
      </c>
      <c r="AK639" s="615" t="e">
        <f t="shared" si="589"/>
        <v>#N/A</v>
      </c>
      <c r="AL639" s="615" t="e">
        <f t="shared" si="589"/>
        <v>#N/A</v>
      </c>
      <c r="AM639" s="615" t="e">
        <f t="shared" si="589"/>
        <v>#N/A</v>
      </c>
      <c r="AN639" s="615" t="e">
        <f t="shared" si="589"/>
        <v>#N/A</v>
      </c>
      <c r="AO639" s="615" t="e">
        <f t="shared" si="589"/>
        <v>#N/A</v>
      </c>
      <c r="AP639" s="615" t="e">
        <f t="shared" si="589"/>
        <v>#N/A</v>
      </c>
      <c r="AQ639" s="615" t="e">
        <f t="shared" si="589"/>
        <v>#N/A</v>
      </c>
      <c r="AR639" s="615" t="e">
        <f t="shared" si="589"/>
        <v>#N/A</v>
      </c>
      <c r="AS639" s="615" t="e">
        <f t="shared" ref="AS639:BD639" si="590">MIN(AS637,N$422)</f>
        <v>#N/A</v>
      </c>
      <c r="AT639" s="615" t="e">
        <f t="shared" si="590"/>
        <v>#N/A</v>
      </c>
      <c r="AU639" s="615" t="e">
        <f t="shared" si="590"/>
        <v>#N/A</v>
      </c>
      <c r="AV639" s="615" t="e">
        <f t="shared" si="590"/>
        <v>#N/A</v>
      </c>
      <c r="AW639" s="615" t="e">
        <f t="shared" si="590"/>
        <v>#N/A</v>
      </c>
      <c r="AX639" s="615" t="e">
        <f t="shared" si="590"/>
        <v>#N/A</v>
      </c>
      <c r="AY639" s="615" t="e">
        <f t="shared" si="590"/>
        <v>#N/A</v>
      </c>
      <c r="AZ639" s="615" t="e">
        <f t="shared" si="590"/>
        <v>#N/A</v>
      </c>
      <c r="BA639" s="615" t="e">
        <f t="shared" si="590"/>
        <v>#N/A</v>
      </c>
      <c r="BB639" s="615" t="e">
        <f t="shared" si="590"/>
        <v>#N/A</v>
      </c>
      <c r="BC639" s="615" t="e">
        <f t="shared" si="590"/>
        <v>#N/A</v>
      </c>
      <c r="BD639" s="615" t="e">
        <f t="shared" si="590"/>
        <v>#N/A</v>
      </c>
      <c r="BE639" s="615" t="e">
        <f t="shared" ref="BE639:BP639" si="591">MIN(BE637,N$422)</f>
        <v>#N/A</v>
      </c>
      <c r="BF639" s="615" t="e">
        <f t="shared" si="591"/>
        <v>#N/A</v>
      </c>
      <c r="BG639" s="615" t="e">
        <f t="shared" si="591"/>
        <v>#N/A</v>
      </c>
      <c r="BH639" s="615" t="e">
        <f t="shared" si="591"/>
        <v>#N/A</v>
      </c>
      <c r="BI639" s="615" t="e">
        <f t="shared" si="591"/>
        <v>#N/A</v>
      </c>
      <c r="BJ639" s="615" t="e">
        <f t="shared" si="591"/>
        <v>#N/A</v>
      </c>
      <c r="BK639" s="615" t="e">
        <f t="shared" si="591"/>
        <v>#N/A</v>
      </c>
      <c r="BL639" s="615" t="e">
        <f t="shared" si="591"/>
        <v>#N/A</v>
      </c>
      <c r="BM639" s="615" t="e">
        <f t="shared" si="591"/>
        <v>#N/A</v>
      </c>
      <c r="BN639" s="615" t="e">
        <f t="shared" si="591"/>
        <v>#N/A</v>
      </c>
      <c r="BO639" s="615" t="e">
        <f t="shared" si="591"/>
        <v>#N/A</v>
      </c>
      <c r="BP639" s="615" t="e">
        <f t="shared" si="591"/>
        <v>#N/A</v>
      </c>
      <c r="BQ639" s="615" t="e">
        <f t="shared" ref="BQ639:CB639" si="592">MIN(BQ637,N$422)</f>
        <v>#N/A</v>
      </c>
      <c r="BR639" s="615" t="e">
        <f t="shared" si="592"/>
        <v>#N/A</v>
      </c>
      <c r="BS639" s="615" t="e">
        <f t="shared" si="592"/>
        <v>#N/A</v>
      </c>
      <c r="BT639" s="615" t="e">
        <f t="shared" si="592"/>
        <v>#N/A</v>
      </c>
      <c r="BU639" s="615" t="e">
        <f t="shared" si="592"/>
        <v>#N/A</v>
      </c>
      <c r="BV639" s="615" t="e">
        <f t="shared" si="592"/>
        <v>#N/A</v>
      </c>
      <c r="BW639" s="615" t="e">
        <f t="shared" si="592"/>
        <v>#N/A</v>
      </c>
      <c r="BX639" s="615" t="e">
        <f t="shared" si="592"/>
        <v>#N/A</v>
      </c>
      <c r="BY639" s="615" t="e">
        <f t="shared" si="592"/>
        <v>#N/A</v>
      </c>
      <c r="BZ639" s="615" t="e">
        <f t="shared" si="592"/>
        <v>#N/A</v>
      </c>
      <c r="CA639" s="615" t="e">
        <f t="shared" si="592"/>
        <v>#N/A</v>
      </c>
      <c r="CB639" s="615" t="e">
        <f t="shared" si="592"/>
        <v>#N/A</v>
      </c>
      <c r="CC639" s="615" t="e">
        <f t="shared" ref="CC639:CN639" si="593">MIN(CC637,N$422)</f>
        <v>#N/A</v>
      </c>
      <c r="CD639" s="615" t="e">
        <f t="shared" si="593"/>
        <v>#N/A</v>
      </c>
      <c r="CE639" s="615" t="e">
        <f t="shared" si="593"/>
        <v>#N/A</v>
      </c>
      <c r="CF639" s="615" t="e">
        <f t="shared" si="593"/>
        <v>#N/A</v>
      </c>
      <c r="CG639" s="615" t="e">
        <f t="shared" si="593"/>
        <v>#N/A</v>
      </c>
      <c r="CH639" s="615" t="e">
        <f t="shared" si="593"/>
        <v>#N/A</v>
      </c>
      <c r="CI639" s="615" t="e">
        <f t="shared" si="593"/>
        <v>#N/A</v>
      </c>
      <c r="CJ639" s="615" t="e">
        <f t="shared" si="593"/>
        <v>#N/A</v>
      </c>
      <c r="CK639" s="615" t="e">
        <f t="shared" si="593"/>
        <v>#N/A</v>
      </c>
      <c r="CL639" s="615" t="e">
        <f t="shared" si="593"/>
        <v>#N/A</v>
      </c>
      <c r="CM639" s="615" t="e">
        <f t="shared" si="593"/>
        <v>#N/A</v>
      </c>
      <c r="CN639" s="615" t="e">
        <f t="shared" si="593"/>
        <v>#N/A</v>
      </c>
    </row>
    <row r="640" spans="8:92">
      <c r="H640" s="602" t="s">
        <v>940</v>
      </c>
      <c r="L640" s="618" t="s">
        <v>1297</v>
      </c>
      <c r="M640" s="600" t="s">
        <v>898</v>
      </c>
      <c r="N640" s="615" t="e">
        <f>SUM(U640:AF640)</f>
        <v>#N/A</v>
      </c>
      <c r="O640" s="615" t="e">
        <f>SUM(AG640:AR640)</f>
        <v>#N/A</v>
      </c>
      <c r="P640" s="615" t="e">
        <f>SUM(AS640:BD640)</f>
        <v>#N/A</v>
      </c>
      <c r="Q640" s="615" t="e">
        <f>SUM(BE640:BP640)</f>
        <v>#N/A</v>
      </c>
      <c r="R640" s="615" t="e">
        <f>SUM(BQ640:CB640)</f>
        <v>#N/A</v>
      </c>
      <c r="S640" s="615" t="e">
        <f>SUM(CC640:CN640)</f>
        <v>#N/A</v>
      </c>
      <c r="U640" s="615" t="e">
        <f t="shared" ref="U640:AF640" si="594">MIN(U637-U639,N$423)</f>
        <v>#N/A</v>
      </c>
      <c r="V640" s="615" t="e">
        <f t="shared" si="594"/>
        <v>#N/A</v>
      </c>
      <c r="W640" s="615" t="e">
        <f t="shared" si="594"/>
        <v>#N/A</v>
      </c>
      <c r="X640" s="615" t="e">
        <f t="shared" si="594"/>
        <v>#N/A</v>
      </c>
      <c r="Y640" s="615" t="e">
        <f t="shared" si="594"/>
        <v>#N/A</v>
      </c>
      <c r="Z640" s="615" t="e">
        <f t="shared" si="594"/>
        <v>#N/A</v>
      </c>
      <c r="AA640" s="615" t="e">
        <f t="shared" si="594"/>
        <v>#N/A</v>
      </c>
      <c r="AB640" s="615" t="e">
        <f t="shared" si="594"/>
        <v>#N/A</v>
      </c>
      <c r="AC640" s="615" t="e">
        <f t="shared" si="594"/>
        <v>#N/A</v>
      </c>
      <c r="AD640" s="615" t="e">
        <f t="shared" si="594"/>
        <v>#N/A</v>
      </c>
      <c r="AE640" s="615" t="e">
        <f t="shared" si="594"/>
        <v>#N/A</v>
      </c>
      <c r="AF640" s="615" t="e">
        <f t="shared" si="594"/>
        <v>#N/A</v>
      </c>
      <c r="AG640" s="615" t="e">
        <f t="shared" ref="AG640:AR640" si="595">MIN(AG637-AG639,N$423)</f>
        <v>#N/A</v>
      </c>
      <c r="AH640" s="615" t="e">
        <f t="shared" si="595"/>
        <v>#N/A</v>
      </c>
      <c r="AI640" s="615" t="e">
        <f t="shared" si="595"/>
        <v>#N/A</v>
      </c>
      <c r="AJ640" s="615" t="e">
        <f t="shared" si="595"/>
        <v>#N/A</v>
      </c>
      <c r="AK640" s="615" t="e">
        <f t="shared" si="595"/>
        <v>#N/A</v>
      </c>
      <c r="AL640" s="615" t="e">
        <f t="shared" si="595"/>
        <v>#N/A</v>
      </c>
      <c r="AM640" s="615" t="e">
        <f t="shared" si="595"/>
        <v>#N/A</v>
      </c>
      <c r="AN640" s="615" t="e">
        <f t="shared" si="595"/>
        <v>#N/A</v>
      </c>
      <c r="AO640" s="615" t="e">
        <f t="shared" si="595"/>
        <v>#N/A</v>
      </c>
      <c r="AP640" s="615" t="e">
        <f t="shared" si="595"/>
        <v>#N/A</v>
      </c>
      <c r="AQ640" s="615" t="e">
        <f t="shared" si="595"/>
        <v>#N/A</v>
      </c>
      <c r="AR640" s="615" t="e">
        <f t="shared" si="595"/>
        <v>#N/A</v>
      </c>
      <c r="AS640" s="615" t="e">
        <f t="shared" ref="AS640:BD640" si="596">MIN(AS637-AS639,N$423)</f>
        <v>#N/A</v>
      </c>
      <c r="AT640" s="615" t="e">
        <f t="shared" si="596"/>
        <v>#N/A</v>
      </c>
      <c r="AU640" s="615" t="e">
        <f t="shared" si="596"/>
        <v>#N/A</v>
      </c>
      <c r="AV640" s="615" t="e">
        <f t="shared" si="596"/>
        <v>#N/A</v>
      </c>
      <c r="AW640" s="615" t="e">
        <f t="shared" si="596"/>
        <v>#N/A</v>
      </c>
      <c r="AX640" s="615" t="e">
        <f t="shared" si="596"/>
        <v>#N/A</v>
      </c>
      <c r="AY640" s="615" t="e">
        <f t="shared" si="596"/>
        <v>#N/A</v>
      </c>
      <c r="AZ640" s="615" t="e">
        <f t="shared" si="596"/>
        <v>#N/A</v>
      </c>
      <c r="BA640" s="615" t="e">
        <f t="shared" si="596"/>
        <v>#N/A</v>
      </c>
      <c r="BB640" s="615" t="e">
        <f t="shared" si="596"/>
        <v>#N/A</v>
      </c>
      <c r="BC640" s="615" t="e">
        <f t="shared" si="596"/>
        <v>#N/A</v>
      </c>
      <c r="BD640" s="615" t="e">
        <f t="shared" si="596"/>
        <v>#N/A</v>
      </c>
      <c r="BE640" s="615" t="e">
        <f t="shared" ref="BE640:BP640" si="597">MIN(BE637-BE639,N$423)</f>
        <v>#N/A</v>
      </c>
      <c r="BF640" s="615" t="e">
        <f t="shared" si="597"/>
        <v>#N/A</v>
      </c>
      <c r="BG640" s="615" t="e">
        <f t="shared" si="597"/>
        <v>#N/A</v>
      </c>
      <c r="BH640" s="615" t="e">
        <f t="shared" si="597"/>
        <v>#N/A</v>
      </c>
      <c r="BI640" s="615" t="e">
        <f t="shared" si="597"/>
        <v>#N/A</v>
      </c>
      <c r="BJ640" s="615" t="e">
        <f t="shared" si="597"/>
        <v>#N/A</v>
      </c>
      <c r="BK640" s="615" t="e">
        <f t="shared" si="597"/>
        <v>#N/A</v>
      </c>
      <c r="BL640" s="615" t="e">
        <f t="shared" si="597"/>
        <v>#N/A</v>
      </c>
      <c r="BM640" s="615" t="e">
        <f t="shared" si="597"/>
        <v>#N/A</v>
      </c>
      <c r="BN640" s="615" t="e">
        <f t="shared" si="597"/>
        <v>#N/A</v>
      </c>
      <c r="BO640" s="615" t="e">
        <f t="shared" si="597"/>
        <v>#N/A</v>
      </c>
      <c r="BP640" s="615" t="e">
        <f t="shared" si="597"/>
        <v>#N/A</v>
      </c>
      <c r="BQ640" s="615" t="e">
        <f t="shared" ref="BQ640:CB640" si="598">MIN(BQ637-BQ639,N$423)</f>
        <v>#N/A</v>
      </c>
      <c r="BR640" s="615" t="e">
        <f t="shared" si="598"/>
        <v>#N/A</v>
      </c>
      <c r="BS640" s="615" t="e">
        <f t="shared" si="598"/>
        <v>#N/A</v>
      </c>
      <c r="BT640" s="615" t="e">
        <f t="shared" si="598"/>
        <v>#N/A</v>
      </c>
      <c r="BU640" s="615" t="e">
        <f t="shared" si="598"/>
        <v>#N/A</v>
      </c>
      <c r="BV640" s="615" t="e">
        <f t="shared" si="598"/>
        <v>#N/A</v>
      </c>
      <c r="BW640" s="615" t="e">
        <f t="shared" si="598"/>
        <v>#N/A</v>
      </c>
      <c r="BX640" s="615" t="e">
        <f t="shared" si="598"/>
        <v>#N/A</v>
      </c>
      <c r="BY640" s="615" t="e">
        <f t="shared" si="598"/>
        <v>#N/A</v>
      </c>
      <c r="BZ640" s="615" t="e">
        <f t="shared" si="598"/>
        <v>#N/A</v>
      </c>
      <c r="CA640" s="615" t="e">
        <f t="shared" si="598"/>
        <v>#N/A</v>
      </c>
      <c r="CB640" s="615" t="e">
        <f t="shared" si="598"/>
        <v>#N/A</v>
      </c>
      <c r="CC640" s="615" t="e">
        <f t="shared" ref="CC640:CN640" si="599">MIN(CC637-CC639,N$423)</f>
        <v>#N/A</v>
      </c>
      <c r="CD640" s="615" t="e">
        <f t="shared" si="599"/>
        <v>#N/A</v>
      </c>
      <c r="CE640" s="615" t="e">
        <f t="shared" si="599"/>
        <v>#N/A</v>
      </c>
      <c r="CF640" s="615" t="e">
        <f t="shared" si="599"/>
        <v>#N/A</v>
      </c>
      <c r="CG640" s="615" t="e">
        <f t="shared" si="599"/>
        <v>#N/A</v>
      </c>
      <c r="CH640" s="615" t="e">
        <f t="shared" si="599"/>
        <v>#N/A</v>
      </c>
      <c r="CI640" s="615" t="e">
        <f t="shared" si="599"/>
        <v>#N/A</v>
      </c>
      <c r="CJ640" s="615" t="e">
        <f t="shared" si="599"/>
        <v>#N/A</v>
      </c>
      <c r="CK640" s="615" t="e">
        <f t="shared" si="599"/>
        <v>#N/A</v>
      </c>
      <c r="CL640" s="615" t="e">
        <f t="shared" si="599"/>
        <v>#N/A</v>
      </c>
      <c r="CM640" s="615" t="e">
        <f t="shared" si="599"/>
        <v>#N/A</v>
      </c>
      <c r="CN640" s="615" t="e">
        <f t="shared" si="599"/>
        <v>#N/A</v>
      </c>
    </row>
    <row r="641" spans="8:92">
      <c r="H641" s="602" t="s">
        <v>940</v>
      </c>
      <c r="L641" s="618" t="s">
        <v>1298</v>
      </c>
      <c r="M641" s="600" t="s">
        <v>898</v>
      </c>
      <c r="N641" s="615" t="e">
        <f>SUM(U641:AF641)</f>
        <v>#N/A</v>
      </c>
      <c r="O641" s="615" t="e">
        <f>SUM(AG641:AR641)</f>
        <v>#N/A</v>
      </c>
      <c r="P641" s="615" t="e">
        <f>SUM(AS641:BD641)</f>
        <v>#N/A</v>
      </c>
      <c r="Q641" s="615" t="e">
        <f>SUM(BE641:BP641)</f>
        <v>#N/A</v>
      </c>
      <c r="R641" s="615" t="e">
        <f>SUM(BQ641:CB641)</f>
        <v>#N/A</v>
      </c>
      <c r="S641" s="615" t="e">
        <f>SUM(CC641:CN641)</f>
        <v>#N/A</v>
      </c>
      <c r="U641" s="615" t="e">
        <f t="shared" ref="U641:AF641" si="600">MIN(U637-(U639+U640),N$424)</f>
        <v>#N/A</v>
      </c>
      <c r="V641" s="615" t="e">
        <f t="shared" si="600"/>
        <v>#N/A</v>
      </c>
      <c r="W641" s="615" t="e">
        <f t="shared" si="600"/>
        <v>#N/A</v>
      </c>
      <c r="X641" s="615" t="e">
        <f t="shared" si="600"/>
        <v>#N/A</v>
      </c>
      <c r="Y641" s="615" t="e">
        <f t="shared" si="600"/>
        <v>#N/A</v>
      </c>
      <c r="Z641" s="615" t="e">
        <f t="shared" si="600"/>
        <v>#N/A</v>
      </c>
      <c r="AA641" s="615" t="e">
        <f t="shared" si="600"/>
        <v>#N/A</v>
      </c>
      <c r="AB641" s="615" t="e">
        <f t="shared" si="600"/>
        <v>#N/A</v>
      </c>
      <c r="AC641" s="615" t="e">
        <f t="shared" si="600"/>
        <v>#N/A</v>
      </c>
      <c r="AD641" s="615" t="e">
        <f t="shared" si="600"/>
        <v>#N/A</v>
      </c>
      <c r="AE641" s="615" t="e">
        <f t="shared" si="600"/>
        <v>#N/A</v>
      </c>
      <c r="AF641" s="615" t="e">
        <f t="shared" si="600"/>
        <v>#N/A</v>
      </c>
      <c r="AG641" s="615" t="e">
        <f t="shared" ref="AG641:AR641" si="601">MIN(AG637-(AG639+AG640),N$424)</f>
        <v>#N/A</v>
      </c>
      <c r="AH641" s="615" t="e">
        <f t="shared" si="601"/>
        <v>#N/A</v>
      </c>
      <c r="AI641" s="615" t="e">
        <f t="shared" si="601"/>
        <v>#N/A</v>
      </c>
      <c r="AJ641" s="615" t="e">
        <f t="shared" si="601"/>
        <v>#N/A</v>
      </c>
      <c r="AK641" s="615" t="e">
        <f t="shared" si="601"/>
        <v>#N/A</v>
      </c>
      <c r="AL641" s="615" t="e">
        <f t="shared" si="601"/>
        <v>#N/A</v>
      </c>
      <c r="AM641" s="615" t="e">
        <f t="shared" si="601"/>
        <v>#N/A</v>
      </c>
      <c r="AN641" s="615" t="e">
        <f t="shared" si="601"/>
        <v>#N/A</v>
      </c>
      <c r="AO641" s="615" t="e">
        <f t="shared" si="601"/>
        <v>#N/A</v>
      </c>
      <c r="AP641" s="615" t="e">
        <f t="shared" si="601"/>
        <v>#N/A</v>
      </c>
      <c r="AQ641" s="615" t="e">
        <f t="shared" si="601"/>
        <v>#N/A</v>
      </c>
      <c r="AR641" s="615" t="e">
        <f t="shared" si="601"/>
        <v>#N/A</v>
      </c>
      <c r="AS641" s="615" t="e">
        <f t="shared" ref="AS641:BD641" si="602">MIN(AS637-(AS639+AS640),N$424)</f>
        <v>#N/A</v>
      </c>
      <c r="AT641" s="615" t="e">
        <f t="shared" si="602"/>
        <v>#N/A</v>
      </c>
      <c r="AU641" s="615" t="e">
        <f t="shared" si="602"/>
        <v>#N/A</v>
      </c>
      <c r="AV641" s="615" t="e">
        <f t="shared" si="602"/>
        <v>#N/A</v>
      </c>
      <c r="AW641" s="615" t="e">
        <f t="shared" si="602"/>
        <v>#N/A</v>
      </c>
      <c r="AX641" s="615" t="e">
        <f t="shared" si="602"/>
        <v>#N/A</v>
      </c>
      <c r="AY641" s="615" t="e">
        <f t="shared" si="602"/>
        <v>#N/A</v>
      </c>
      <c r="AZ641" s="615" t="e">
        <f t="shared" si="602"/>
        <v>#N/A</v>
      </c>
      <c r="BA641" s="615" t="e">
        <f t="shared" si="602"/>
        <v>#N/A</v>
      </c>
      <c r="BB641" s="615" t="e">
        <f t="shared" si="602"/>
        <v>#N/A</v>
      </c>
      <c r="BC641" s="615" t="e">
        <f t="shared" si="602"/>
        <v>#N/A</v>
      </c>
      <c r="BD641" s="615" t="e">
        <f t="shared" si="602"/>
        <v>#N/A</v>
      </c>
      <c r="BE641" s="615" t="e">
        <f t="shared" ref="BE641:BP641" si="603">MIN(BE637-(BE639+BE640),N$424)</f>
        <v>#N/A</v>
      </c>
      <c r="BF641" s="615" t="e">
        <f t="shared" si="603"/>
        <v>#N/A</v>
      </c>
      <c r="BG641" s="615" t="e">
        <f t="shared" si="603"/>
        <v>#N/A</v>
      </c>
      <c r="BH641" s="615" t="e">
        <f t="shared" si="603"/>
        <v>#N/A</v>
      </c>
      <c r="BI641" s="615" t="e">
        <f t="shared" si="603"/>
        <v>#N/A</v>
      </c>
      <c r="BJ641" s="615" t="e">
        <f t="shared" si="603"/>
        <v>#N/A</v>
      </c>
      <c r="BK641" s="615" t="e">
        <f t="shared" si="603"/>
        <v>#N/A</v>
      </c>
      <c r="BL641" s="615" t="e">
        <f t="shared" si="603"/>
        <v>#N/A</v>
      </c>
      <c r="BM641" s="615" t="e">
        <f t="shared" si="603"/>
        <v>#N/A</v>
      </c>
      <c r="BN641" s="615" t="e">
        <f t="shared" si="603"/>
        <v>#N/A</v>
      </c>
      <c r="BO641" s="615" t="e">
        <f t="shared" si="603"/>
        <v>#N/A</v>
      </c>
      <c r="BP641" s="615" t="e">
        <f t="shared" si="603"/>
        <v>#N/A</v>
      </c>
      <c r="BQ641" s="615" t="e">
        <f t="shared" ref="BQ641:CB641" si="604">MIN(BQ637-(BQ639+BQ640),N$424)</f>
        <v>#N/A</v>
      </c>
      <c r="BR641" s="615" t="e">
        <f t="shared" si="604"/>
        <v>#N/A</v>
      </c>
      <c r="BS641" s="615" t="e">
        <f t="shared" si="604"/>
        <v>#N/A</v>
      </c>
      <c r="BT641" s="615" t="e">
        <f t="shared" si="604"/>
        <v>#N/A</v>
      </c>
      <c r="BU641" s="615" t="e">
        <f t="shared" si="604"/>
        <v>#N/A</v>
      </c>
      <c r="BV641" s="615" t="e">
        <f t="shared" si="604"/>
        <v>#N/A</v>
      </c>
      <c r="BW641" s="615" t="e">
        <f t="shared" si="604"/>
        <v>#N/A</v>
      </c>
      <c r="BX641" s="615" t="e">
        <f t="shared" si="604"/>
        <v>#N/A</v>
      </c>
      <c r="BY641" s="615" t="e">
        <f t="shared" si="604"/>
        <v>#N/A</v>
      </c>
      <c r="BZ641" s="615" t="e">
        <f t="shared" si="604"/>
        <v>#N/A</v>
      </c>
      <c r="CA641" s="615" t="e">
        <f t="shared" si="604"/>
        <v>#N/A</v>
      </c>
      <c r="CB641" s="615" t="e">
        <f t="shared" si="604"/>
        <v>#N/A</v>
      </c>
      <c r="CC641" s="615" t="e">
        <f t="shared" ref="CC641:CN641" si="605">MIN(CC637-(CC639+CC640),N$424)</f>
        <v>#N/A</v>
      </c>
      <c r="CD641" s="615" t="e">
        <f t="shared" si="605"/>
        <v>#N/A</v>
      </c>
      <c r="CE641" s="615" t="e">
        <f t="shared" si="605"/>
        <v>#N/A</v>
      </c>
      <c r="CF641" s="615" t="e">
        <f t="shared" si="605"/>
        <v>#N/A</v>
      </c>
      <c r="CG641" s="615" t="e">
        <f t="shared" si="605"/>
        <v>#N/A</v>
      </c>
      <c r="CH641" s="615" t="e">
        <f t="shared" si="605"/>
        <v>#N/A</v>
      </c>
      <c r="CI641" s="615" t="e">
        <f t="shared" si="605"/>
        <v>#N/A</v>
      </c>
      <c r="CJ641" s="615" t="e">
        <f t="shared" si="605"/>
        <v>#N/A</v>
      </c>
      <c r="CK641" s="615" t="e">
        <f t="shared" si="605"/>
        <v>#N/A</v>
      </c>
      <c r="CL641" s="615" t="e">
        <f t="shared" si="605"/>
        <v>#N/A</v>
      </c>
      <c r="CM641" s="615" t="e">
        <f t="shared" si="605"/>
        <v>#N/A</v>
      </c>
      <c r="CN641" s="615" t="e">
        <f t="shared" si="605"/>
        <v>#N/A</v>
      </c>
    </row>
    <row r="642" spans="8:92">
      <c r="H642" s="602" t="s">
        <v>940</v>
      </c>
      <c r="L642" s="618" t="s">
        <v>1299</v>
      </c>
      <c r="M642" s="600" t="s">
        <v>898</v>
      </c>
      <c r="N642" s="615" t="e">
        <f>SUM(U642:AF642)</f>
        <v>#N/A</v>
      </c>
      <c r="O642" s="615" t="e">
        <f>SUM(AG642:AR642)</f>
        <v>#N/A</v>
      </c>
      <c r="P642" s="615" t="e">
        <f>SUM(AS642:BD642)</f>
        <v>#N/A</v>
      </c>
      <c r="Q642" s="615" t="e">
        <f>SUM(BE642:BP642)</f>
        <v>#N/A</v>
      </c>
      <c r="R642" s="615" t="e">
        <f>SUM(BQ642:CB642)</f>
        <v>#N/A</v>
      </c>
      <c r="S642" s="615" t="e">
        <f>SUM(CC642:CN642)</f>
        <v>#N/A</v>
      </c>
      <c r="U642" s="615" t="e">
        <f t="shared" ref="U642:AF642" si="606">MIN(U637-(U639+U640+U641),N$425)</f>
        <v>#N/A</v>
      </c>
      <c r="V642" s="615" t="e">
        <f t="shared" si="606"/>
        <v>#N/A</v>
      </c>
      <c r="W642" s="615" t="e">
        <f t="shared" si="606"/>
        <v>#N/A</v>
      </c>
      <c r="X642" s="615" t="e">
        <f t="shared" si="606"/>
        <v>#N/A</v>
      </c>
      <c r="Y642" s="615" t="e">
        <f t="shared" si="606"/>
        <v>#N/A</v>
      </c>
      <c r="Z642" s="615" t="e">
        <f t="shared" si="606"/>
        <v>#N/A</v>
      </c>
      <c r="AA642" s="615" t="e">
        <f t="shared" si="606"/>
        <v>#N/A</v>
      </c>
      <c r="AB642" s="615" t="e">
        <f t="shared" si="606"/>
        <v>#N/A</v>
      </c>
      <c r="AC642" s="615" t="e">
        <f t="shared" si="606"/>
        <v>#N/A</v>
      </c>
      <c r="AD642" s="615" t="e">
        <f t="shared" si="606"/>
        <v>#N/A</v>
      </c>
      <c r="AE642" s="615" t="e">
        <f t="shared" si="606"/>
        <v>#N/A</v>
      </c>
      <c r="AF642" s="615" t="e">
        <f t="shared" si="606"/>
        <v>#N/A</v>
      </c>
      <c r="AG642" s="615" t="e">
        <f t="shared" ref="AG642:AR642" si="607">MIN(AG637-(AG639+AG640+AG641),N$425)</f>
        <v>#N/A</v>
      </c>
      <c r="AH642" s="615" t="e">
        <f t="shared" si="607"/>
        <v>#N/A</v>
      </c>
      <c r="AI642" s="615" t="e">
        <f t="shared" si="607"/>
        <v>#N/A</v>
      </c>
      <c r="AJ642" s="615" t="e">
        <f t="shared" si="607"/>
        <v>#N/A</v>
      </c>
      <c r="AK642" s="615" t="e">
        <f t="shared" si="607"/>
        <v>#N/A</v>
      </c>
      <c r="AL642" s="615" t="e">
        <f t="shared" si="607"/>
        <v>#N/A</v>
      </c>
      <c r="AM642" s="615" t="e">
        <f t="shared" si="607"/>
        <v>#N/A</v>
      </c>
      <c r="AN642" s="615" t="e">
        <f t="shared" si="607"/>
        <v>#N/A</v>
      </c>
      <c r="AO642" s="615" t="e">
        <f t="shared" si="607"/>
        <v>#N/A</v>
      </c>
      <c r="AP642" s="615" t="e">
        <f t="shared" si="607"/>
        <v>#N/A</v>
      </c>
      <c r="AQ642" s="615" t="e">
        <f t="shared" si="607"/>
        <v>#N/A</v>
      </c>
      <c r="AR642" s="615" t="e">
        <f t="shared" si="607"/>
        <v>#N/A</v>
      </c>
      <c r="AS642" s="615" t="e">
        <f t="shared" ref="AS642:BD642" si="608">MIN(AS637-(AS639+AS640+AS641),N$425)</f>
        <v>#N/A</v>
      </c>
      <c r="AT642" s="615" t="e">
        <f t="shared" si="608"/>
        <v>#N/A</v>
      </c>
      <c r="AU642" s="615" t="e">
        <f t="shared" si="608"/>
        <v>#N/A</v>
      </c>
      <c r="AV642" s="615" t="e">
        <f t="shared" si="608"/>
        <v>#N/A</v>
      </c>
      <c r="AW642" s="615" t="e">
        <f t="shared" si="608"/>
        <v>#N/A</v>
      </c>
      <c r="AX642" s="615" t="e">
        <f t="shared" si="608"/>
        <v>#N/A</v>
      </c>
      <c r="AY642" s="615" t="e">
        <f t="shared" si="608"/>
        <v>#N/A</v>
      </c>
      <c r="AZ642" s="615" t="e">
        <f t="shared" si="608"/>
        <v>#N/A</v>
      </c>
      <c r="BA642" s="615" t="e">
        <f t="shared" si="608"/>
        <v>#N/A</v>
      </c>
      <c r="BB642" s="615" t="e">
        <f t="shared" si="608"/>
        <v>#N/A</v>
      </c>
      <c r="BC642" s="615" t="e">
        <f t="shared" si="608"/>
        <v>#N/A</v>
      </c>
      <c r="BD642" s="615" t="e">
        <f t="shared" si="608"/>
        <v>#N/A</v>
      </c>
      <c r="BE642" s="615" t="e">
        <f t="shared" ref="BE642:BP642" si="609">MIN(BE637-(BE639+BE640+BE641),N$425)</f>
        <v>#N/A</v>
      </c>
      <c r="BF642" s="615" t="e">
        <f t="shared" si="609"/>
        <v>#N/A</v>
      </c>
      <c r="BG642" s="615" t="e">
        <f t="shared" si="609"/>
        <v>#N/A</v>
      </c>
      <c r="BH642" s="615" t="e">
        <f t="shared" si="609"/>
        <v>#N/A</v>
      </c>
      <c r="BI642" s="615" t="e">
        <f t="shared" si="609"/>
        <v>#N/A</v>
      </c>
      <c r="BJ642" s="615" t="e">
        <f t="shared" si="609"/>
        <v>#N/A</v>
      </c>
      <c r="BK642" s="615" t="e">
        <f t="shared" si="609"/>
        <v>#N/A</v>
      </c>
      <c r="BL642" s="615" t="e">
        <f t="shared" si="609"/>
        <v>#N/A</v>
      </c>
      <c r="BM642" s="615" t="e">
        <f t="shared" si="609"/>
        <v>#N/A</v>
      </c>
      <c r="BN642" s="615" t="e">
        <f t="shared" si="609"/>
        <v>#N/A</v>
      </c>
      <c r="BO642" s="615" t="e">
        <f t="shared" si="609"/>
        <v>#N/A</v>
      </c>
      <c r="BP642" s="615" t="e">
        <f t="shared" si="609"/>
        <v>#N/A</v>
      </c>
      <c r="BQ642" s="615" t="e">
        <f t="shared" ref="BQ642:CB642" si="610">MIN(BQ637-(BQ639+BQ640+BQ641),N$425)</f>
        <v>#N/A</v>
      </c>
      <c r="BR642" s="615" t="e">
        <f t="shared" si="610"/>
        <v>#N/A</v>
      </c>
      <c r="BS642" s="615" t="e">
        <f t="shared" si="610"/>
        <v>#N/A</v>
      </c>
      <c r="BT642" s="615" t="e">
        <f t="shared" si="610"/>
        <v>#N/A</v>
      </c>
      <c r="BU642" s="615" t="e">
        <f t="shared" si="610"/>
        <v>#N/A</v>
      </c>
      <c r="BV642" s="615" t="e">
        <f t="shared" si="610"/>
        <v>#N/A</v>
      </c>
      <c r="BW642" s="615" t="e">
        <f t="shared" si="610"/>
        <v>#N/A</v>
      </c>
      <c r="BX642" s="615" t="e">
        <f t="shared" si="610"/>
        <v>#N/A</v>
      </c>
      <c r="BY642" s="615" t="e">
        <f t="shared" si="610"/>
        <v>#N/A</v>
      </c>
      <c r="BZ642" s="615" t="e">
        <f t="shared" si="610"/>
        <v>#N/A</v>
      </c>
      <c r="CA642" s="615" t="e">
        <f t="shared" si="610"/>
        <v>#N/A</v>
      </c>
      <c r="CB642" s="615" t="e">
        <f t="shared" si="610"/>
        <v>#N/A</v>
      </c>
      <c r="CC642" s="615" t="e">
        <f t="shared" ref="CC642:CN642" si="611">MIN(CC637-(CC639+CC640+CC641),N$425)</f>
        <v>#N/A</v>
      </c>
      <c r="CD642" s="615" t="e">
        <f t="shared" si="611"/>
        <v>#N/A</v>
      </c>
      <c r="CE642" s="615" t="e">
        <f t="shared" si="611"/>
        <v>#N/A</v>
      </c>
      <c r="CF642" s="615" t="e">
        <f t="shared" si="611"/>
        <v>#N/A</v>
      </c>
      <c r="CG642" s="615" t="e">
        <f t="shared" si="611"/>
        <v>#N/A</v>
      </c>
      <c r="CH642" s="615" t="e">
        <f t="shared" si="611"/>
        <v>#N/A</v>
      </c>
      <c r="CI642" s="615" t="e">
        <f t="shared" si="611"/>
        <v>#N/A</v>
      </c>
      <c r="CJ642" s="615" t="e">
        <f t="shared" si="611"/>
        <v>#N/A</v>
      </c>
      <c r="CK642" s="615" t="e">
        <f t="shared" si="611"/>
        <v>#N/A</v>
      </c>
      <c r="CL642" s="615" t="e">
        <f t="shared" si="611"/>
        <v>#N/A</v>
      </c>
      <c r="CM642" s="615" t="e">
        <f t="shared" si="611"/>
        <v>#N/A</v>
      </c>
      <c r="CN642" s="615" t="e">
        <f t="shared" si="611"/>
        <v>#N/A</v>
      </c>
    </row>
    <row r="643" spans="8:92">
      <c r="H643" s="602" t="s">
        <v>940</v>
      </c>
      <c r="L643" s="618"/>
      <c r="M643" s="600"/>
      <c r="N643" s="615"/>
      <c r="O643" s="615"/>
      <c r="P643" s="615"/>
      <c r="Q643" s="615"/>
      <c r="R643" s="615"/>
      <c r="S643" s="615"/>
    </row>
    <row r="644" spans="8:92">
      <c r="H644" s="602" t="s">
        <v>940</v>
      </c>
      <c r="L644" s="618" t="s">
        <v>1300</v>
      </c>
      <c r="M644" s="600" t="s">
        <v>974</v>
      </c>
      <c r="N644" s="615" t="e">
        <f>SUM(U644:AF644)</f>
        <v>#N/A</v>
      </c>
      <c r="O644" s="615" t="e">
        <f>SUM(AG644:AR644)</f>
        <v>#N/A</v>
      </c>
      <c r="P644" s="615" t="e">
        <f>SUM(AS644:BD644)</f>
        <v>#N/A</v>
      </c>
      <c r="Q644" s="615" t="e">
        <f>SUM(BE644:BP644)</f>
        <v>#N/A</v>
      </c>
      <c r="R644" s="615" t="e">
        <f>SUM(BQ644:CB644)</f>
        <v>#N/A</v>
      </c>
      <c r="S644" s="615" t="e">
        <f>SUM(CC644:CN644)</f>
        <v>#N/A</v>
      </c>
      <c r="U644" s="616" t="e">
        <f t="shared" ref="U644:AF644" si="612">U639*N$427</f>
        <v>#N/A</v>
      </c>
      <c r="V644" s="616" t="e">
        <f t="shared" si="612"/>
        <v>#N/A</v>
      </c>
      <c r="W644" s="616" t="e">
        <f t="shared" si="612"/>
        <v>#N/A</v>
      </c>
      <c r="X644" s="616" t="e">
        <f t="shared" si="612"/>
        <v>#N/A</v>
      </c>
      <c r="Y644" s="616" t="e">
        <f t="shared" si="612"/>
        <v>#N/A</v>
      </c>
      <c r="Z644" s="616" t="e">
        <f t="shared" si="612"/>
        <v>#N/A</v>
      </c>
      <c r="AA644" s="616" t="e">
        <f t="shared" si="612"/>
        <v>#N/A</v>
      </c>
      <c r="AB644" s="616" t="e">
        <f t="shared" si="612"/>
        <v>#N/A</v>
      </c>
      <c r="AC644" s="616" t="e">
        <f t="shared" si="612"/>
        <v>#N/A</v>
      </c>
      <c r="AD644" s="616" t="e">
        <f t="shared" si="612"/>
        <v>#N/A</v>
      </c>
      <c r="AE644" s="616" t="e">
        <f t="shared" si="612"/>
        <v>#N/A</v>
      </c>
      <c r="AF644" s="616" t="e">
        <f t="shared" si="612"/>
        <v>#N/A</v>
      </c>
      <c r="AG644" s="616" t="e">
        <f t="shared" ref="AG644:AR644" si="613">AG639*N$427</f>
        <v>#N/A</v>
      </c>
      <c r="AH644" s="616" t="e">
        <f t="shared" si="613"/>
        <v>#N/A</v>
      </c>
      <c r="AI644" s="616" t="e">
        <f t="shared" si="613"/>
        <v>#N/A</v>
      </c>
      <c r="AJ644" s="616" t="e">
        <f t="shared" si="613"/>
        <v>#N/A</v>
      </c>
      <c r="AK644" s="616" t="e">
        <f t="shared" si="613"/>
        <v>#N/A</v>
      </c>
      <c r="AL644" s="616" t="e">
        <f t="shared" si="613"/>
        <v>#N/A</v>
      </c>
      <c r="AM644" s="616" t="e">
        <f t="shared" si="613"/>
        <v>#N/A</v>
      </c>
      <c r="AN644" s="616" t="e">
        <f t="shared" si="613"/>
        <v>#N/A</v>
      </c>
      <c r="AO644" s="616" t="e">
        <f t="shared" si="613"/>
        <v>#N/A</v>
      </c>
      <c r="AP644" s="616" t="e">
        <f t="shared" si="613"/>
        <v>#N/A</v>
      </c>
      <c r="AQ644" s="616" t="e">
        <f t="shared" si="613"/>
        <v>#N/A</v>
      </c>
      <c r="AR644" s="616" t="e">
        <f t="shared" si="613"/>
        <v>#N/A</v>
      </c>
      <c r="AS644" s="616" t="e">
        <f t="shared" ref="AS644:BD644" si="614">AS639*N$427</f>
        <v>#N/A</v>
      </c>
      <c r="AT644" s="616" t="e">
        <f t="shared" si="614"/>
        <v>#N/A</v>
      </c>
      <c r="AU644" s="616" t="e">
        <f t="shared" si="614"/>
        <v>#N/A</v>
      </c>
      <c r="AV644" s="616" t="e">
        <f t="shared" si="614"/>
        <v>#N/A</v>
      </c>
      <c r="AW644" s="616" t="e">
        <f t="shared" si="614"/>
        <v>#N/A</v>
      </c>
      <c r="AX644" s="616" t="e">
        <f t="shared" si="614"/>
        <v>#N/A</v>
      </c>
      <c r="AY644" s="616" t="e">
        <f t="shared" si="614"/>
        <v>#N/A</v>
      </c>
      <c r="AZ644" s="616" t="e">
        <f t="shared" si="614"/>
        <v>#N/A</v>
      </c>
      <c r="BA644" s="616" t="e">
        <f t="shared" si="614"/>
        <v>#N/A</v>
      </c>
      <c r="BB644" s="616" t="e">
        <f t="shared" si="614"/>
        <v>#N/A</v>
      </c>
      <c r="BC644" s="616" t="e">
        <f t="shared" si="614"/>
        <v>#N/A</v>
      </c>
      <c r="BD644" s="616" t="e">
        <f t="shared" si="614"/>
        <v>#N/A</v>
      </c>
      <c r="BE644" s="616" t="e">
        <f t="shared" ref="BE644:BP644" si="615">BE639*N$427</f>
        <v>#N/A</v>
      </c>
      <c r="BF644" s="616" t="e">
        <f t="shared" si="615"/>
        <v>#N/A</v>
      </c>
      <c r="BG644" s="616" t="e">
        <f t="shared" si="615"/>
        <v>#N/A</v>
      </c>
      <c r="BH644" s="616" t="e">
        <f t="shared" si="615"/>
        <v>#N/A</v>
      </c>
      <c r="BI644" s="616" t="e">
        <f t="shared" si="615"/>
        <v>#N/A</v>
      </c>
      <c r="BJ644" s="616" t="e">
        <f t="shared" si="615"/>
        <v>#N/A</v>
      </c>
      <c r="BK644" s="616" t="e">
        <f t="shared" si="615"/>
        <v>#N/A</v>
      </c>
      <c r="BL644" s="616" t="e">
        <f t="shared" si="615"/>
        <v>#N/A</v>
      </c>
      <c r="BM644" s="616" t="e">
        <f t="shared" si="615"/>
        <v>#N/A</v>
      </c>
      <c r="BN644" s="616" t="e">
        <f t="shared" si="615"/>
        <v>#N/A</v>
      </c>
      <c r="BO644" s="616" t="e">
        <f t="shared" si="615"/>
        <v>#N/A</v>
      </c>
      <c r="BP644" s="616" t="e">
        <f t="shared" si="615"/>
        <v>#N/A</v>
      </c>
      <c r="BQ644" s="616" t="e">
        <f t="shared" ref="BQ644:CB644" si="616">BQ639*N$427</f>
        <v>#N/A</v>
      </c>
      <c r="BR644" s="616" t="e">
        <f t="shared" si="616"/>
        <v>#N/A</v>
      </c>
      <c r="BS644" s="616" t="e">
        <f t="shared" si="616"/>
        <v>#N/A</v>
      </c>
      <c r="BT644" s="616" t="e">
        <f t="shared" si="616"/>
        <v>#N/A</v>
      </c>
      <c r="BU644" s="616" t="e">
        <f t="shared" si="616"/>
        <v>#N/A</v>
      </c>
      <c r="BV644" s="616" t="e">
        <f t="shared" si="616"/>
        <v>#N/A</v>
      </c>
      <c r="BW644" s="616" t="e">
        <f t="shared" si="616"/>
        <v>#N/A</v>
      </c>
      <c r="BX644" s="616" t="e">
        <f t="shared" si="616"/>
        <v>#N/A</v>
      </c>
      <c r="BY644" s="616" t="e">
        <f t="shared" si="616"/>
        <v>#N/A</v>
      </c>
      <c r="BZ644" s="616" t="e">
        <f t="shared" si="616"/>
        <v>#N/A</v>
      </c>
      <c r="CA644" s="616" t="e">
        <f t="shared" si="616"/>
        <v>#N/A</v>
      </c>
      <c r="CB644" s="616" t="e">
        <f t="shared" si="616"/>
        <v>#N/A</v>
      </c>
      <c r="CC644" s="616" t="e">
        <f t="shared" ref="CC644:CN644" si="617">CC639*N$427</f>
        <v>#N/A</v>
      </c>
      <c r="CD644" s="616" t="e">
        <f t="shared" si="617"/>
        <v>#N/A</v>
      </c>
      <c r="CE644" s="616" t="e">
        <f t="shared" si="617"/>
        <v>#N/A</v>
      </c>
      <c r="CF644" s="616" t="e">
        <f t="shared" si="617"/>
        <v>#N/A</v>
      </c>
      <c r="CG644" s="616" t="e">
        <f t="shared" si="617"/>
        <v>#N/A</v>
      </c>
      <c r="CH644" s="616" t="e">
        <f t="shared" si="617"/>
        <v>#N/A</v>
      </c>
      <c r="CI644" s="616" t="e">
        <f t="shared" si="617"/>
        <v>#N/A</v>
      </c>
      <c r="CJ644" s="616" t="e">
        <f t="shared" si="617"/>
        <v>#N/A</v>
      </c>
      <c r="CK644" s="616" t="e">
        <f t="shared" si="617"/>
        <v>#N/A</v>
      </c>
      <c r="CL644" s="616" t="e">
        <f t="shared" si="617"/>
        <v>#N/A</v>
      </c>
      <c r="CM644" s="616" t="e">
        <f t="shared" si="617"/>
        <v>#N/A</v>
      </c>
      <c r="CN644" s="616" t="e">
        <f t="shared" si="617"/>
        <v>#N/A</v>
      </c>
    </row>
    <row r="645" spans="8:92">
      <c r="H645" s="602" t="s">
        <v>940</v>
      </c>
      <c r="L645" s="618" t="s">
        <v>1301</v>
      </c>
      <c r="M645" s="600" t="s">
        <v>974</v>
      </c>
      <c r="N645" s="615" t="e">
        <f>SUM(U645:AF645)</f>
        <v>#N/A</v>
      </c>
      <c r="O645" s="615" t="e">
        <f>SUM(AG645:AR645)</f>
        <v>#N/A</v>
      </c>
      <c r="P645" s="615" t="e">
        <f>SUM(AS645:BD645)</f>
        <v>#N/A</v>
      </c>
      <c r="Q645" s="615" t="e">
        <f>SUM(BE645:BP645)</f>
        <v>#N/A</v>
      </c>
      <c r="R645" s="615" t="e">
        <f>SUM(BQ645:CB645)</f>
        <v>#N/A</v>
      </c>
      <c r="S645" s="615" t="e">
        <f>SUM(CC645:CN645)</f>
        <v>#N/A</v>
      </c>
      <c r="U645" s="616" t="e">
        <f t="shared" ref="U645:AF645" si="618">U640*N$428</f>
        <v>#N/A</v>
      </c>
      <c r="V645" s="616" t="e">
        <f t="shared" si="618"/>
        <v>#N/A</v>
      </c>
      <c r="W645" s="616" t="e">
        <f t="shared" si="618"/>
        <v>#N/A</v>
      </c>
      <c r="X645" s="616" t="e">
        <f t="shared" si="618"/>
        <v>#N/A</v>
      </c>
      <c r="Y645" s="616" t="e">
        <f t="shared" si="618"/>
        <v>#N/A</v>
      </c>
      <c r="Z645" s="616" t="e">
        <f t="shared" si="618"/>
        <v>#N/A</v>
      </c>
      <c r="AA645" s="616" t="e">
        <f t="shared" si="618"/>
        <v>#N/A</v>
      </c>
      <c r="AB645" s="616" t="e">
        <f t="shared" si="618"/>
        <v>#N/A</v>
      </c>
      <c r="AC645" s="616" t="e">
        <f t="shared" si="618"/>
        <v>#N/A</v>
      </c>
      <c r="AD645" s="616" t="e">
        <f t="shared" si="618"/>
        <v>#N/A</v>
      </c>
      <c r="AE645" s="616" t="e">
        <f t="shared" si="618"/>
        <v>#N/A</v>
      </c>
      <c r="AF645" s="616" t="e">
        <f t="shared" si="618"/>
        <v>#N/A</v>
      </c>
      <c r="AG645" s="616" t="e">
        <f t="shared" ref="AG645:AR645" si="619">AG640*N$428</f>
        <v>#N/A</v>
      </c>
      <c r="AH645" s="616" t="e">
        <f t="shared" si="619"/>
        <v>#N/A</v>
      </c>
      <c r="AI645" s="616" t="e">
        <f t="shared" si="619"/>
        <v>#N/A</v>
      </c>
      <c r="AJ645" s="616" t="e">
        <f t="shared" si="619"/>
        <v>#N/A</v>
      </c>
      <c r="AK645" s="616" t="e">
        <f t="shared" si="619"/>
        <v>#N/A</v>
      </c>
      <c r="AL645" s="616" t="e">
        <f t="shared" si="619"/>
        <v>#N/A</v>
      </c>
      <c r="AM645" s="616" t="e">
        <f t="shared" si="619"/>
        <v>#N/A</v>
      </c>
      <c r="AN645" s="616" t="e">
        <f t="shared" si="619"/>
        <v>#N/A</v>
      </c>
      <c r="AO645" s="616" t="e">
        <f t="shared" si="619"/>
        <v>#N/A</v>
      </c>
      <c r="AP645" s="616" t="e">
        <f t="shared" si="619"/>
        <v>#N/A</v>
      </c>
      <c r="AQ645" s="616" t="e">
        <f t="shared" si="619"/>
        <v>#N/A</v>
      </c>
      <c r="AR645" s="616" t="e">
        <f t="shared" si="619"/>
        <v>#N/A</v>
      </c>
      <c r="AS645" s="616" t="e">
        <f t="shared" ref="AS645:BD645" si="620">AS640*N$428</f>
        <v>#N/A</v>
      </c>
      <c r="AT645" s="616" t="e">
        <f t="shared" si="620"/>
        <v>#N/A</v>
      </c>
      <c r="AU645" s="616" t="e">
        <f t="shared" si="620"/>
        <v>#N/A</v>
      </c>
      <c r="AV645" s="616" t="e">
        <f t="shared" si="620"/>
        <v>#N/A</v>
      </c>
      <c r="AW645" s="616" t="e">
        <f t="shared" si="620"/>
        <v>#N/A</v>
      </c>
      <c r="AX645" s="616" t="e">
        <f t="shared" si="620"/>
        <v>#N/A</v>
      </c>
      <c r="AY645" s="616" t="e">
        <f t="shared" si="620"/>
        <v>#N/A</v>
      </c>
      <c r="AZ645" s="616" t="e">
        <f t="shared" si="620"/>
        <v>#N/A</v>
      </c>
      <c r="BA645" s="616" t="e">
        <f t="shared" si="620"/>
        <v>#N/A</v>
      </c>
      <c r="BB645" s="616" t="e">
        <f t="shared" si="620"/>
        <v>#N/A</v>
      </c>
      <c r="BC645" s="616" t="e">
        <f t="shared" si="620"/>
        <v>#N/A</v>
      </c>
      <c r="BD645" s="616" t="e">
        <f t="shared" si="620"/>
        <v>#N/A</v>
      </c>
      <c r="BE645" s="616" t="e">
        <f t="shared" ref="BE645:BP645" si="621">BE640*N$428</f>
        <v>#N/A</v>
      </c>
      <c r="BF645" s="616" t="e">
        <f t="shared" si="621"/>
        <v>#N/A</v>
      </c>
      <c r="BG645" s="616" t="e">
        <f t="shared" si="621"/>
        <v>#N/A</v>
      </c>
      <c r="BH645" s="616" t="e">
        <f t="shared" si="621"/>
        <v>#N/A</v>
      </c>
      <c r="BI645" s="616" t="e">
        <f t="shared" si="621"/>
        <v>#N/A</v>
      </c>
      <c r="BJ645" s="616" t="e">
        <f t="shared" si="621"/>
        <v>#N/A</v>
      </c>
      <c r="BK645" s="616" t="e">
        <f t="shared" si="621"/>
        <v>#N/A</v>
      </c>
      <c r="BL645" s="616" t="e">
        <f t="shared" si="621"/>
        <v>#N/A</v>
      </c>
      <c r="BM645" s="616" t="e">
        <f t="shared" si="621"/>
        <v>#N/A</v>
      </c>
      <c r="BN645" s="616" t="e">
        <f t="shared" si="621"/>
        <v>#N/A</v>
      </c>
      <c r="BO645" s="616" t="e">
        <f t="shared" si="621"/>
        <v>#N/A</v>
      </c>
      <c r="BP645" s="616" t="e">
        <f t="shared" si="621"/>
        <v>#N/A</v>
      </c>
      <c r="BQ645" s="616" t="e">
        <f t="shared" ref="BQ645:CB645" si="622">BQ640*N$428</f>
        <v>#N/A</v>
      </c>
      <c r="BR645" s="616" t="e">
        <f t="shared" si="622"/>
        <v>#N/A</v>
      </c>
      <c r="BS645" s="616" t="e">
        <f t="shared" si="622"/>
        <v>#N/A</v>
      </c>
      <c r="BT645" s="616" t="e">
        <f t="shared" si="622"/>
        <v>#N/A</v>
      </c>
      <c r="BU645" s="616" t="e">
        <f t="shared" si="622"/>
        <v>#N/A</v>
      </c>
      <c r="BV645" s="616" t="e">
        <f t="shared" si="622"/>
        <v>#N/A</v>
      </c>
      <c r="BW645" s="616" t="e">
        <f t="shared" si="622"/>
        <v>#N/A</v>
      </c>
      <c r="BX645" s="616" t="e">
        <f t="shared" si="622"/>
        <v>#N/A</v>
      </c>
      <c r="BY645" s="616" t="e">
        <f t="shared" si="622"/>
        <v>#N/A</v>
      </c>
      <c r="BZ645" s="616" t="e">
        <f t="shared" si="622"/>
        <v>#N/A</v>
      </c>
      <c r="CA645" s="616" t="e">
        <f t="shared" si="622"/>
        <v>#N/A</v>
      </c>
      <c r="CB645" s="616" t="e">
        <f t="shared" si="622"/>
        <v>#N/A</v>
      </c>
      <c r="CC645" s="616" t="e">
        <f t="shared" ref="CC645:CN645" si="623">CC640*N$428</f>
        <v>#N/A</v>
      </c>
      <c r="CD645" s="616" t="e">
        <f t="shared" si="623"/>
        <v>#N/A</v>
      </c>
      <c r="CE645" s="616" t="e">
        <f t="shared" si="623"/>
        <v>#N/A</v>
      </c>
      <c r="CF645" s="616" t="e">
        <f t="shared" si="623"/>
        <v>#N/A</v>
      </c>
      <c r="CG645" s="616" t="e">
        <f t="shared" si="623"/>
        <v>#N/A</v>
      </c>
      <c r="CH645" s="616" t="e">
        <f t="shared" si="623"/>
        <v>#N/A</v>
      </c>
      <c r="CI645" s="616" t="e">
        <f t="shared" si="623"/>
        <v>#N/A</v>
      </c>
      <c r="CJ645" s="616" t="e">
        <f t="shared" si="623"/>
        <v>#N/A</v>
      </c>
      <c r="CK645" s="616" t="e">
        <f t="shared" si="623"/>
        <v>#N/A</v>
      </c>
      <c r="CL645" s="616" t="e">
        <f t="shared" si="623"/>
        <v>#N/A</v>
      </c>
      <c r="CM645" s="616" t="e">
        <f t="shared" si="623"/>
        <v>#N/A</v>
      </c>
      <c r="CN645" s="616" t="e">
        <f t="shared" si="623"/>
        <v>#N/A</v>
      </c>
    </row>
    <row r="646" spans="8:92">
      <c r="H646" s="602" t="s">
        <v>940</v>
      </c>
      <c r="L646" s="618" t="s">
        <v>1302</v>
      </c>
      <c r="M646" s="600" t="s">
        <v>974</v>
      </c>
      <c r="N646" s="615" t="e">
        <f>SUM(U646:AF646)</f>
        <v>#N/A</v>
      </c>
      <c r="O646" s="615" t="e">
        <f>SUM(AG646:AR646)</f>
        <v>#N/A</v>
      </c>
      <c r="P646" s="615" t="e">
        <f>SUM(AS646:BD646)</f>
        <v>#N/A</v>
      </c>
      <c r="Q646" s="615" t="e">
        <f>SUM(BE646:BP646)</f>
        <v>#N/A</v>
      </c>
      <c r="R646" s="615" t="e">
        <f>SUM(BQ646:CB646)</f>
        <v>#N/A</v>
      </c>
      <c r="S646" s="615" t="e">
        <f>SUM(CC646:CN646)</f>
        <v>#N/A</v>
      </c>
      <c r="U646" s="616" t="e">
        <f t="shared" ref="U646:AF646" si="624">U641*N$429</f>
        <v>#N/A</v>
      </c>
      <c r="V646" s="616" t="e">
        <f t="shared" si="624"/>
        <v>#N/A</v>
      </c>
      <c r="W646" s="616" t="e">
        <f t="shared" si="624"/>
        <v>#N/A</v>
      </c>
      <c r="X646" s="616" t="e">
        <f t="shared" si="624"/>
        <v>#N/A</v>
      </c>
      <c r="Y646" s="616" t="e">
        <f t="shared" si="624"/>
        <v>#N/A</v>
      </c>
      <c r="Z646" s="616" t="e">
        <f t="shared" si="624"/>
        <v>#N/A</v>
      </c>
      <c r="AA646" s="616" t="e">
        <f t="shared" si="624"/>
        <v>#N/A</v>
      </c>
      <c r="AB646" s="616" t="e">
        <f t="shared" si="624"/>
        <v>#N/A</v>
      </c>
      <c r="AC646" s="616" t="e">
        <f t="shared" si="624"/>
        <v>#N/A</v>
      </c>
      <c r="AD646" s="616" t="e">
        <f t="shared" si="624"/>
        <v>#N/A</v>
      </c>
      <c r="AE646" s="616" t="e">
        <f t="shared" si="624"/>
        <v>#N/A</v>
      </c>
      <c r="AF646" s="616" t="e">
        <f t="shared" si="624"/>
        <v>#N/A</v>
      </c>
      <c r="AG646" s="616" t="e">
        <f t="shared" ref="AG646:AR646" si="625">AG641*N$429</f>
        <v>#N/A</v>
      </c>
      <c r="AH646" s="616" t="e">
        <f t="shared" si="625"/>
        <v>#N/A</v>
      </c>
      <c r="AI646" s="616" t="e">
        <f t="shared" si="625"/>
        <v>#N/A</v>
      </c>
      <c r="AJ646" s="616" t="e">
        <f t="shared" si="625"/>
        <v>#N/A</v>
      </c>
      <c r="AK646" s="616" t="e">
        <f t="shared" si="625"/>
        <v>#N/A</v>
      </c>
      <c r="AL646" s="616" t="e">
        <f t="shared" si="625"/>
        <v>#N/A</v>
      </c>
      <c r="AM646" s="616" t="e">
        <f t="shared" si="625"/>
        <v>#N/A</v>
      </c>
      <c r="AN646" s="616" t="e">
        <f t="shared" si="625"/>
        <v>#N/A</v>
      </c>
      <c r="AO646" s="616" t="e">
        <f t="shared" si="625"/>
        <v>#N/A</v>
      </c>
      <c r="AP646" s="616" t="e">
        <f t="shared" si="625"/>
        <v>#N/A</v>
      </c>
      <c r="AQ646" s="616" t="e">
        <f t="shared" si="625"/>
        <v>#N/A</v>
      </c>
      <c r="AR646" s="616" t="e">
        <f t="shared" si="625"/>
        <v>#N/A</v>
      </c>
      <c r="AS646" s="616" t="e">
        <f t="shared" ref="AS646:BD646" si="626">AS641*N$429</f>
        <v>#N/A</v>
      </c>
      <c r="AT646" s="616" t="e">
        <f t="shared" si="626"/>
        <v>#N/A</v>
      </c>
      <c r="AU646" s="616" t="e">
        <f t="shared" si="626"/>
        <v>#N/A</v>
      </c>
      <c r="AV646" s="616" t="e">
        <f t="shared" si="626"/>
        <v>#N/A</v>
      </c>
      <c r="AW646" s="616" t="e">
        <f t="shared" si="626"/>
        <v>#N/A</v>
      </c>
      <c r="AX646" s="616" t="e">
        <f t="shared" si="626"/>
        <v>#N/A</v>
      </c>
      <c r="AY646" s="616" t="e">
        <f t="shared" si="626"/>
        <v>#N/A</v>
      </c>
      <c r="AZ646" s="616" t="e">
        <f t="shared" si="626"/>
        <v>#N/A</v>
      </c>
      <c r="BA646" s="616" t="e">
        <f t="shared" si="626"/>
        <v>#N/A</v>
      </c>
      <c r="BB646" s="616" t="e">
        <f t="shared" si="626"/>
        <v>#N/A</v>
      </c>
      <c r="BC646" s="616" t="e">
        <f t="shared" si="626"/>
        <v>#N/A</v>
      </c>
      <c r="BD646" s="616" t="e">
        <f t="shared" si="626"/>
        <v>#N/A</v>
      </c>
      <c r="BE646" s="616" t="e">
        <f t="shared" ref="BE646:BP646" si="627">BE641*N$429</f>
        <v>#N/A</v>
      </c>
      <c r="BF646" s="616" t="e">
        <f t="shared" si="627"/>
        <v>#N/A</v>
      </c>
      <c r="BG646" s="616" t="e">
        <f t="shared" si="627"/>
        <v>#N/A</v>
      </c>
      <c r="BH646" s="616" t="e">
        <f t="shared" si="627"/>
        <v>#N/A</v>
      </c>
      <c r="BI646" s="616" t="e">
        <f t="shared" si="627"/>
        <v>#N/A</v>
      </c>
      <c r="BJ646" s="616" t="e">
        <f t="shared" si="627"/>
        <v>#N/A</v>
      </c>
      <c r="BK646" s="616" t="e">
        <f t="shared" si="627"/>
        <v>#N/A</v>
      </c>
      <c r="BL646" s="616" t="e">
        <f t="shared" si="627"/>
        <v>#N/A</v>
      </c>
      <c r="BM646" s="616" t="e">
        <f t="shared" si="627"/>
        <v>#N/A</v>
      </c>
      <c r="BN646" s="616" t="e">
        <f t="shared" si="627"/>
        <v>#N/A</v>
      </c>
      <c r="BO646" s="616" t="e">
        <f t="shared" si="627"/>
        <v>#N/A</v>
      </c>
      <c r="BP646" s="616" t="e">
        <f t="shared" si="627"/>
        <v>#N/A</v>
      </c>
      <c r="BQ646" s="616" t="e">
        <f t="shared" ref="BQ646:CB646" si="628">BQ641*N$429</f>
        <v>#N/A</v>
      </c>
      <c r="BR646" s="616" t="e">
        <f t="shared" si="628"/>
        <v>#N/A</v>
      </c>
      <c r="BS646" s="616" t="e">
        <f t="shared" si="628"/>
        <v>#N/A</v>
      </c>
      <c r="BT646" s="616" t="e">
        <f t="shared" si="628"/>
        <v>#N/A</v>
      </c>
      <c r="BU646" s="616" t="e">
        <f t="shared" si="628"/>
        <v>#N/A</v>
      </c>
      <c r="BV646" s="616" t="e">
        <f t="shared" si="628"/>
        <v>#N/A</v>
      </c>
      <c r="BW646" s="616" t="e">
        <f t="shared" si="628"/>
        <v>#N/A</v>
      </c>
      <c r="BX646" s="616" t="e">
        <f t="shared" si="628"/>
        <v>#N/A</v>
      </c>
      <c r="BY646" s="616" t="e">
        <f t="shared" si="628"/>
        <v>#N/A</v>
      </c>
      <c r="BZ646" s="616" t="e">
        <f t="shared" si="628"/>
        <v>#N/A</v>
      </c>
      <c r="CA646" s="616" t="e">
        <f t="shared" si="628"/>
        <v>#N/A</v>
      </c>
      <c r="CB646" s="616" t="e">
        <f t="shared" si="628"/>
        <v>#N/A</v>
      </c>
      <c r="CC646" s="616" t="e">
        <f t="shared" ref="CC646:CN646" si="629">CC641*N$429</f>
        <v>#N/A</v>
      </c>
      <c r="CD646" s="616" t="e">
        <f t="shared" si="629"/>
        <v>#N/A</v>
      </c>
      <c r="CE646" s="616" t="e">
        <f t="shared" si="629"/>
        <v>#N/A</v>
      </c>
      <c r="CF646" s="616" t="e">
        <f t="shared" si="629"/>
        <v>#N/A</v>
      </c>
      <c r="CG646" s="616" t="e">
        <f t="shared" si="629"/>
        <v>#N/A</v>
      </c>
      <c r="CH646" s="616" t="e">
        <f t="shared" si="629"/>
        <v>#N/A</v>
      </c>
      <c r="CI646" s="616" t="e">
        <f t="shared" si="629"/>
        <v>#N/A</v>
      </c>
      <c r="CJ646" s="616" t="e">
        <f t="shared" si="629"/>
        <v>#N/A</v>
      </c>
      <c r="CK646" s="616" t="e">
        <f t="shared" si="629"/>
        <v>#N/A</v>
      </c>
      <c r="CL646" s="616" t="e">
        <f t="shared" si="629"/>
        <v>#N/A</v>
      </c>
      <c r="CM646" s="616" t="e">
        <f t="shared" si="629"/>
        <v>#N/A</v>
      </c>
      <c r="CN646" s="616" t="e">
        <f t="shared" si="629"/>
        <v>#N/A</v>
      </c>
    </row>
    <row r="647" spans="8:92">
      <c r="H647" s="602" t="s">
        <v>940</v>
      </c>
      <c r="L647" s="618" t="s">
        <v>1303</v>
      </c>
      <c r="M647" s="600" t="s">
        <v>974</v>
      </c>
      <c r="N647" s="615" t="e">
        <f>SUM(U647:AF647)</f>
        <v>#N/A</v>
      </c>
      <c r="O647" s="615" t="e">
        <f>SUM(AG647:AR647)</f>
        <v>#N/A</v>
      </c>
      <c r="P647" s="615" t="e">
        <f>SUM(AS647:BD647)</f>
        <v>#N/A</v>
      </c>
      <c r="Q647" s="615" t="e">
        <f>SUM(BE647:BP647)</f>
        <v>#N/A</v>
      </c>
      <c r="R647" s="615" t="e">
        <f>SUM(BQ647:CB647)</f>
        <v>#N/A</v>
      </c>
      <c r="S647" s="615" t="e">
        <f>SUM(CC647:CN647)</f>
        <v>#N/A</v>
      </c>
      <c r="U647" s="616" t="e">
        <f t="shared" ref="U647:AF647" si="630">U642*N$430</f>
        <v>#N/A</v>
      </c>
      <c r="V647" s="616" t="e">
        <f t="shared" si="630"/>
        <v>#N/A</v>
      </c>
      <c r="W647" s="616" t="e">
        <f t="shared" si="630"/>
        <v>#N/A</v>
      </c>
      <c r="X647" s="616" t="e">
        <f t="shared" si="630"/>
        <v>#N/A</v>
      </c>
      <c r="Y647" s="616" t="e">
        <f t="shared" si="630"/>
        <v>#N/A</v>
      </c>
      <c r="Z647" s="616" t="e">
        <f t="shared" si="630"/>
        <v>#N/A</v>
      </c>
      <c r="AA647" s="616" t="e">
        <f t="shared" si="630"/>
        <v>#N/A</v>
      </c>
      <c r="AB647" s="616" t="e">
        <f t="shared" si="630"/>
        <v>#N/A</v>
      </c>
      <c r="AC647" s="616" t="e">
        <f t="shared" si="630"/>
        <v>#N/A</v>
      </c>
      <c r="AD647" s="616" t="e">
        <f t="shared" si="630"/>
        <v>#N/A</v>
      </c>
      <c r="AE647" s="616" t="e">
        <f t="shared" si="630"/>
        <v>#N/A</v>
      </c>
      <c r="AF647" s="616" t="e">
        <f t="shared" si="630"/>
        <v>#N/A</v>
      </c>
      <c r="AG647" s="616" t="e">
        <f t="shared" ref="AG647:AR647" si="631">AG642*N$430</f>
        <v>#N/A</v>
      </c>
      <c r="AH647" s="616" t="e">
        <f t="shared" si="631"/>
        <v>#N/A</v>
      </c>
      <c r="AI647" s="616" t="e">
        <f t="shared" si="631"/>
        <v>#N/A</v>
      </c>
      <c r="AJ647" s="616" t="e">
        <f t="shared" si="631"/>
        <v>#N/A</v>
      </c>
      <c r="AK647" s="616" t="e">
        <f t="shared" si="631"/>
        <v>#N/A</v>
      </c>
      <c r="AL647" s="616" t="e">
        <f t="shared" si="631"/>
        <v>#N/A</v>
      </c>
      <c r="AM647" s="616" t="e">
        <f t="shared" si="631"/>
        <v>#N/A</v>
      </c>
      <c r="AN647" s="616" t="e">
        <f t="shared" si="631"/>
        <v>#N/A</v>
      </c>
      <c r="AO647" s="616" t="e">
        <f t="shared" si="631"/>
        <v>#N/A</v>
      </c>
      <c r="AP647" s="616" t="e">
        <f t="shared" si="631"/>
        <v>#N/A</v>
      </c>
      <c r="AQ647" s="616" t="e">
        <f t="shared" si="631"/>
        <v>#N/A</v>
      </c>
      <c r="AR647" s="616" t="e">
        <f t="shared" si="631"/>
        <v>#N/A</v>
      </c>
      <c r="AS647" s="616" t="e">
        <f t="shared" ref="AS647:BD647" si="632">AS642*N$430</f>
        <v>#N/A</v>
      </c>
      <c r="AT647" s="616" t="e">
        <f t="shared" si="632"/>
        <v>#N/A</v>
      </c>
      <c r="AU647" s="616" t="e">
        <f t="shared" si="632"/>
        <v>#N/A</v>
      </c>
      <c r="AV647" s="616" t="e">
        <f t="shared" si="632"/>
        <v>#N/A</v>
      </c>
      <c r="AW647" s="616" t="e">
        <f t="shared" si="632"/>
        <v>#N/A</v>
      </c>
      <c r="AX647" s="616" t="e">
        <f t="shared" si="632"/>
        <v>#N/A</v>
      </c>
      <c r="AY647" s="616" t="e">
        <f t="shared" si="632"/>
        <v>#N/A</v>
      </c>
      <c r="AZ647" s="616" t="e">
        <f t="shared" si="632"/>
        <v>#N/A</v>
      </c>
      <c r="BA647" s="616" t="e">
        <f t="shared" si="632"/>
        <v>#N/A</v>
      </c>
      <c r="BB647" s="616" t="e">
        <f t="shared" si="632"/>
        <v>#N/A</v>
      </c>
      <c r="BC647" s="616" t="e">
        <f t="shared" si="632"/>
        <v>#N/A</v>
      </c>
      <c r="BD647" s="616" t="e">
        <f t="shared" si="632"/>
        <v>#N/A</v>
      </c>
      <c r="BE647" s="616" t="e">
        <f t="shared" ref="BE647:BP647" si="633">BE642*N$430</f>
        <v>#N/A</v>
      </c>
      <c r="BF647" s="616" t="e">
        <f t="shared" si="633"/>
        <v>#N/A</v>
      </c>
      <c r="BG647" s="616" t="e">
        <f t="shared" si="633"/>
        <v>#N/A</v>
      </c>
      <c r="BH647" s="616" t="e">
        <f t="shared" si="633"/>
        <v>#N/A</v>
      </c>
      <c r="BI647" s="616" t="e">
        <f t="shared" si="633"/>
        <v>#N/A</v>
      </c>
      <c r="BJ647" s="616" t="e">
        <f t="shared" si="633"/>
        <v>#N/A</v>
      </c>
      <c r="BK647" s="616" t="e">
        <f t="shared" si="633"/>
        <v>#N/A</v>
      </c>
      <c r="BL647" s="616" t="e">
        <f t="shared" si="633"/>
        <v>#N/A</v>
      </c>
      <c r="BM647" s="616" t="e">
        <f t="shared" si="633"/>
        <v>#N/A</v>
      </c>
      <c r="BN647" s="616" t="e">
        <f t="shared" si="633"/>
        <v>#N/A</v>
      </c>
      <c r="BO647" s="616" t="e">
        <f t="shared" si="633"/>
        <v>#N/A</v>
      </c>
      <c r="BP647" s="616" t="e">
        <f t="shared" si="633"/>
        <v>#N/A</v>
      </c>
      <c r="BQ647" s="616" t="e">
        <f t="shared" ref="BQ647:CB647" si="634">BQ642*N$430</f>
        <v>#N/A</v>
      </c>
      <c r="BR647" s="616" t="e">
        <f t="shared" si="634"/>
        <v>#N/A</v>
      </c>
      <c r="BS647" s="616" t="e">
        <f t="shared" si="634"/>
        <v>#N/A</v>
      </c>
      <c r="BT647" s="616" t="e">
        <f t="shared" si="634"/>
        <v>#N/A</v>
      </c>
      <c r="BU647" s="616" t="e">
        <f t="shared" si="634"/>
        <v>#N/A</v>
      </c>
      <c r="BV647" s="616" t="e">
        <f t="shared" si="634"/>
        <v>#N/A</v>
      </c>
      <c r="BW647" s="616" t="e">
        <f t="shared" si="634"/>
        <v>#N/A</v>
      </c>
      <c r="BX647" s="616" t="e">
        <f t="shared" si="634"/>
        <v>#N/A</v>
      </c>
      <c r="BY647" s="616" t="e">
        <f t="shared" si="634"/>
        <v>#N/A</v>
      </c>
      <c r="BZ647" s="616" t="e">
        <f t="shared" si="634"/>
        <v>#N/A</v>
      </c>
      <c r="CA647" s="616" t="e">
        <f t="shared" si="634"/>
        <v>#N/A</v>
      </c>
      <c r="CB647" s="616" t="e">
        <f t="shared" si="634"/>
        <v>#N/A</v>
      </c>
      <c r="CC647" s="616" t="e">
        <f t="shared" ref="CC647:CN647" si="635">CC642*N$430</f>
        <v>#N/A</v>
      </c>
      <c r="CD647" s="616" t="e">
        <f t="shared" si="635"/>
        <v>#N/A</v>
      </c>
      <c r="CE647" s="616" t="e">
        <f t="shared" si="635"/>
        <v>#N/A</v>
      </c>
      <c r="CF647" s="616" t="e">
        <f t="shared" si="635"/>
        <v>#N/A</v>
      </c>
      <c r="CG647" s="616" t="e">
        <f t="shared" si="635"/>
        <v>#N/A</v>
      </c>
      <c r="CH647" s="616" t="e">
        <f t="shared" si="635"/>
        <v>#N/A</v>
      </c>
      <c r="CI647" s="616" t="e">
        <f t="shared" si="635"/>
        <v>#N/A</v>
      </c>
      <c r="CJ647" s="616" t="e">
        <f t="shared" si="635"/>
        <v>#N/A</v>
      </c>
      <c r="CK647" s="616" t="e">
        <f t="shared" si="635"/>
        <v>#N/A</v>
      </c>
      <c r="CL647" s="616" t="e">
        <f t="shared" si="635"/>
        <v>#N/A</v>
      </c>
      <c r="CM647" s="616" t="e">
        <f t="shared" si="635"/>
        <v>#N/A</v>
      </c>
      <c r="CN647" s="616" t="e">
        <f t="shared" si="635"/>
        <v>#N/A</v>
      </c>
    </row>
    <row r="648" spans="8:92">
      <c r="H648" s="602" t="s">
        <v>940</v>
      </c>
      <c r="L648" s="618"/>
      <c r="M648" s="600"/>
      <c r="N648" s="615"/>
      <c r="O648" s="615"/>
      <c r="P648" s="615"/>
      <c r="Q648" s="615"/>
      <c r="R648" s="615"/>
      <c r="S648" s="615"/>
      <c r="U648" s="616"/>
      <c r="V648" s="616"/>
      <c r="W648" s="616"/>
      <c r="X648" s="616"/>
      <c r="Y648" s="616"/>
      <c r="Z648" s="616"/>
      <c r="AA648" s="616"/>
      <c r="AB648" s="616"/>
      <c r="AC648" s="616"/>
      <c r="AD648" s="616"/>
      <c r="AE648" s="616"/>
      <c r="AF648" s="616"/>
      <c r="AG648" s="616"/>
      <c r="AH648" s="616"/>
      <c r="AI648" s="616"/>
      <c r="AJ648" s="616"/>
      <c r="AK648" s="616"/>
      <c r="AL648" s="616"/>
      <c r="AM648" s="616"/>
      <c r="AN648" s="616"/>
      <c r="AO648" s="616"/>
      <c r="AP648" s="616"/>
      <c r="AQ648" s="616"/>
      <c r="AR648" s="616"/>
      <c r="AS648" s="616"/>
      <c r="AT648" s="616"/>
      <c r="AU648" s="616"/>
      <c r="AV648" s="616"/>
      <c r="AW648" s="616"/>
      <c r="AX648" s="616"/>
      <c r="AY648" s="616"/>
      <c r="AZ648" s="616"/>
      <c r="BA648" s="616"/>
      <c r="BB648" s="616"/>
      <c r="BC648" s="616"/>
      <c r="BD648" s="616"/>
      <c r="BE648" s="616"/>
      <c r="BF648" s="616"/>
      <c r="BG648" s="616"/>
      <c r="BH648" s="616"/>
      <c r="BI648" s="616"/>
      <c r="BJ648" s="616"/>
      <c r="BK648" s="616"/>
      <c r="BL648" s="616"/>
      <c r="BM648" s="616"/>
      <c r="BN648" s="616"/>
      <c r="BO648" s="616"/>
      <c r="BP648" s="616"/>
      <c r="BQ648" s="616"/>
      <c r="BR648" s="616"/>
      <c r="BS648" s="616"/>
      <c r="BT648" s="616"/>
      <c r="BU648" s="616"/>
      <c r="BV648" s="616"/>
      <c r="BW648" s="616"/>
      <c r="BX648" s="616"/>
      <c r="BY648" s="616"/>
      <c r="BZ648" s="616"/>
      <c r="CA648" s="616"/>
      <c r="CB648" s="616"/>
      <c r="CC648" s="616"/>
      <c r="CD648" s="616"/>
      <c r="CE648" s="616"/>
      <c r="CF648" s="616"/>
      <c r="CG648" s="616"/>
      <c r="CH648" s="616"/>
      <c r="CI648" s="616"/>
      <c r="CJ648" s="616"/>
      <c r="CK648" s="616"/>
      <c r="CL648" s="616"/>
      <c r="CM648" s="616"/>
      <c r="CN648" s="616"/>
    </row>
    <row r="649" spans="8:92">
      <c r="H649" s="602" t="s">
        <v>940</v>
      </c>
      <c r="L649" s="618" t="s">
        <v>1247</v>
      </c>
      <c r="M649" s="600" t="s">
        <v>974</v>
      </c>
      <c r="N649" s="615">
        <f>SUM(U649:AF649)</f>
        <v>0</v>
      </c>
      <c r="O649" s="615">
        <f>SUM(AG649:AR649)</f>
        <v>0</v>
      </c>
      <c r="P649" s="615">
        <f>SUM(AS649:BD649)</f>
        <v>0</v>
      </c>
      <c r="Q649" s="615">
        <f>SUM(BE649:BP649)</f>
        <v>0</v>
      </c>
      <c r="R649" s="615">
        <f>SUM(BQ649:CB649)</f>
        <v>0</v>
      </c>
      <c r="S649" s="615">
        <f>SUM(CC649:CN649)</f>
        <v>0</v>
      </c>
      <c r="U649" s="616">
        <f t="shared" ref="U649:AF649" si="636">N$418</f>
        <v>0</v>
      </c>
      <c r="V649" s="616">
        <f t="shared" si="636"/>
        <v>0</v>
      </c>
      <c r="W649" s="616">
        <f t="shared" si="636"/>
        <v>0</v>
      </c>
      <c r="X649" s="616">
        <f t="shared" si="636"/>
        <v>0</v>
      </c>
      <c r="Y649" s="616">
        <f t="shared" si="636"/>
        <v>0</v>
      </c>
      <c r="Z649" s="616">
        <f t="shared" si="636"/>
        <v>0</v>
      </c>
      <c r="AA649" s="616">
        <f t="shared" si="636"/>
        <v>0</v>
      </c>
      <c r="AB649" s="616">
        <f t="shared" si="636"/>
        <v>0</v>
      </c>
      <c r="AC649" s="616">
        <f t="shared" si="636"/>
        <v>0</v>
      </c>
      <c r="AD649" s="616">
        <f t="shared" si="636"/>
        <v>0</v>
      </c>
      <c r="AE649" s="616">
        <f t="shared" si="636"/>
        <v>0</v>
      </c>
      <c r="AF649" s="616">
        <f t="shared" si="636"/>
        <v>0</v>
      </c>
      <c r="AG649" s="616">
        <f t="shared" ref="AG649:AR649" si="637">N$418</f>
        <v>0</v>
      </c>
      <c r="AH649" s="616">
        <f t="shared" si="637"/>
        <v>0</v>
      </c>
      <c r="AI649" s="616">
        <f t="shared" si="637"/>
        <v>0</v>
      </c>
      <c r="AJ649" s="616">
        <f t="shared" si="637"/>
        <v>0</v>
      </c>
      <c r="AK649" s="616">
        <f t="shared" si="637"/>
        <v>0</v>
      </c>
      <c r="AL649" s="616">
        <f t="shared" si="637"/>
        <v>0</v>
      </c>
      <c r="AM649" s="616">
        <f t="shared" si="637"/>
        <v>0</v>
      </c>
      <c r="AN649" s="616">
        <f t="shared" si="637"/>
        <v>0</v>
      </c>
      <c r="AO649" s="616">
        <f t="shared" si="637"/>
        <v>0</v>
      </c>
      <c r="AP649" s="616">
        <f t="shared" si="637"/>
        <v>0</v>
      </c>
      <c r="AQ649" s="616">
        <f t="shared" si="637"/>
        <v>0</v>
      </c>
      <c r="AR649" s="616">
        <f t="shared" si="637"/>
        <v>0</v>
      </c>
      <c r="AS649" s="616">
        <f t="shared" ref="AS649:BD649" si="638">N$418</f>
        <v>0</v>
      </c>
      <c r="AT649" s="616">
        <f t="shared" si="638"/>
        <v>0</v>
      </c>
      <c r="AU649" s="616">
        <f t="shared" si="638"/>
        <v>0</v>
      </c>
      <c r="AV649" s="616">
        <f t="shared" si="638"/>
        <v>0</v>
      </c>
      <c r="AW649" s="616">
        <f t="shared" si="638"/>
        <v>0</v>
      </c>
      <c r="AX649" s="616">
        <f t="shared" si="638"/>
        <v>0</v>
      </c>
      <c r="AY649" s="616">
        <f t="shared" si="638"/>
        <v>0</v>
      </c>
      <c r="AZ649" s="616">
        <f t="shared" si="638"/>
        <v>0</v>
      </c>
      <c r="BA649" s="616">
        <f t="shared" si="638"/>
        <v>0</v>
      </c>
      <c r="BB649" s="616">
        <f t="shared" si="638"/>
        <v>0</v>
      </c>
      <c r="BC649" s="616">
        <f t="shared" si="638"/>
        <v>0</v>
      </c>
      <c r="BD649" s="616">
        <f t="shared" si="638"/>
        <v>0</v>
      </c>
      <c r="BE649" s="616">
        <f t="shared" ref="BE649:BP649" si="639">N$418</f>
        <v>0</v>
      </c>
      <c r="BF649" s="616">
        <f t="shared" si="639"/>
        <v>0</v>
      </c>
      <c r="BG649" s="616">
        <f t="shared" si="639"/>
        <v>0</v>
      </c>
      <c r="BH649" s="616">
        <f t="shared" si="639"/>
        <v>0</v>
      </c>
      <c r="BI649" s="616">
        <f t="shared" si="639"/>
        <v>0</v>
      </c>
      <c r="BJ649" s="616">
        <f t="shared" si="639"/>
        <v>0</v>
      </c>
      <c r="BK649" s="616">
        <f t="shared" si="639"/>
        <v>0</v>
      </c>
      <c r="BL649" s="616">
        <f t="shared" si="639"/>
        <v>0</v>
      </c>
      <c r="BM649" s="616">
        <f t="shared" si="639"/>
        <v>0</v>
      </c>
      <c r="BN649" s="616">
        <f t="shared" si="639"/>
        <v>0</v>
      </c>
      <c r="BO649" s="616">
        <f t="shared" si="639"/>
        <v>0</v>
      </c>
      <c r="BP649" s="616">
        <f t="shared" si="639"/>
        <v>0</v>
      </c>
      <c r="BQ649" s="616">
        <f t="shared" ref="BQ649:CB649" si="640">N$418</f>
        <v>0</v>
      </c>
      <c r="BR649" s="616">
        <f t="shared" si="640"/>
        <v>0</v>
      </c>
      <c r="BS649" s="616">
        <f t="shared" si="640"/>
        <v>0</v>
      </c>
      <c r="BT649" s="616">
        <f t="shared" si="640"/>
        <v>0</v>
      </c>
      <c r="BU649" s="616">
        <f t="shared" si="640"/>
        <v>0</v>
      </c>
      <c r="BV649" s="616">
        <f t="shared" si="640"/>
        <v>0</v>
      </c>
      <c r="BW649" s="616">
        <f t="shared" si="640"/>
        <v>0</v>
      </c>
      <c r="BX649" s="616">
        <f t="shared" si="640"/>
        <v>0</v>
      </c>
      <c r="BY649" s="616">
        <f t="shared" si="640"/>
        <v>0</v>
      </c>
      <c r="BZ649" s="616">
        <f t="shared" si="640"/>
        <v>0</v>
      </c>
      <c r="CA649" s="616">
        <f t="shared" si="640"/>
        <v>0</v>
      </c>
      <c r="CB649" s="616">
        <f t="shared" si="640"/>
        <v>0</v>
      </c>
      <c r="CC649" s="616">
        <f t="shared" ref="CC649:CN649" si="641">N$418</f>
        <v>0</v>
      </c>
      <c r="CD649" s="616">
        <f t="shared" si="641"/>
        <v>0</v>
      </c>
      <c r="CE649" s="616">
        <f t="shared" si="641"/>
        <v>0</v>
      </c>
      <c r="CF649" s="616">
        <f t="shared" si="641"/>
        <v>0</v>
      </c>
      <c r="CG649" s="616">
        <f t="shared" si="641"/>
        <v>0</v>
      </c>
      <c r="CH649" s="616">
        <f t="shared" si="641"/>
        <v>0</v>
      </c>
      <c r="CI649" s="616">
        <f t="shared" si="641"/>
        <v>0</v>
      </c>
      <c r="CJ649" s="616">
        <f t="shared" si="641"/>
        <v>0</v>
      </c>
      <c r="CK649" s="616">
        <f t="shared" si="641"/>
        <v>0</v>
      </c>
      <c r="CL649" s="616">
        <f t="shared" si="641"/>
        <v>0</v>
      </c>
      <c r="CM649" s="616">
        <f t="shared" si="641"/>
        <v>0</v>
      </c>
      <c r="CN649" s="616">
        <f t="shared" si="641"/>
        <v>0</v>
      </c>
    </row>
    <row r="650" spans="8:92">
      <c r="H650" s="602" t="s">
        <v>940</v>
      </c>
      <c r="L650" s="618" t="s">
        <v>908</v>
      </c>
      <c r="M650" s="600" t="s">
        <v>974</v>
      </c>
      <c r="N650" s="615" t="e">
        <f>SUM(U650:AF650)</f>
        <v>#N/A</v>
      </c>
      <c r="O650" s="615" t="e">
        <f>SUM(AG650:AR650)</f>
        <v>#N/A</v>
      </c>
      <c r="P650" s="615" t="e">
        <f>SUM(AS650:BD650)</f>
        <v>#N/A</v>
      </c>
      <c r="Q650" s="615" t="e">
        <f>SUM(BE650:BP650)</f>
        <v>#N/A</v>
      </c>
      <c r="R650" s="615" t="e">
        <f>SUM(BQ650:CB650)</f>
        <v>#N/A</v>
      </c>
      <c r="S650" s="615" t="e">
        <f>SUM(CC650:CN650)</f>
        <v>#N/A</v>
      </c>
      <c r="U650" s="616" t="e">
        <f t="shared" ref="U650:AF650" si="642">U637*N$419</f>
        <v>#N/A</v>
      </c>
      <c r="V650" s="616" t="e">
        <f t="shared" si="642"/>
        <v>#N/A</v>
      </c>
      <c r="W650" s="616" t="e">
        <f t="shared" si="642"/>
        <v>#N/A</v>
      </c>
      <c r="X650" s="616" t="e">
        <f t="shared" si="642"/>
        <v>#N/A</v>
      </c>
      <c r="Y650" s="616" t="e">
        <f t="shared" si="642"/>
        <v>#N/A</v>
      </c>
      <c r="Z650" s="616" t="e">
        <f t="shared" si="642"/>
        <v>#N/A</v>
      </c>
      <c r="AA650" s="616" t="e">
        <f t="shared" si="642"/>
        <v>#N/A</v>
      </c>
      <c r="AB650" s="616" t="e">
        <f t="shared" si="642"/>
        <v>#N/A</v>
      </c>
      <c r="AC650" s="616" t="e">
        <f t="shared" si="642"/>
        <v>#N/A</v>
      </c>
      <c r="AD650" s="616" t="e">
        <f t="shared" si="642"/>
        <v>#N/A</v>
      </c>
      <c r="AE650" s="616" t="e">
        <f t="shared" si="642"/>
        <v>#N/A</v>
      </c>
      <c r="AF650" s="616" t="e">
        <f t="shared" si="642"/>
        <v>#N/A</v>
      </c>
      <c r="AG650" s="616" t="e">
        <f t="shared" ref="AG650:AR650" si="643">AG637*N$419</f>
        <v>#N/A</v>
      </c>
      <c r="AH650" s="616" t="e">
        <f t="shared" si="643"/>
        <v>#N/A</v>
      </c>
      <c r="AI650" s="616" t="e">
        <f t="shared" si="643"/>
        <v>#N/A</v>
      </c>
      <c r="AJ650" s="616" t="e">
        <f t="shared" si="643"/>
        <v>#N/A</v>
      </c>
      <c r="AK650" s="616" t="e">
        <f t="shared" si="643"/>
        <v>#N/A</v>
      </c>
      <c r="AL650" s="616" t="e">
        <f t="shared" si="643"/>
        <v>#N/A</v>
      </c>
      <c r="AM650" s="616" t="e">
        <f t="shared" si="643"/>
        <v>#N/A</v>
      </c>
      <c r="AN650" s="616" t="e">
        <f t="shared" si="643"/>
        <v>#N/A</v>
      </c>
      <c r="AO650" s="616" t="e">
        <f t="shared" si="643"/>
        <v>#N/A</v>
      </c>
      <c r="AP650" s="616" t="e">
        <f t="shared" si="643"/>
        <v>#N/A</v>
      </c>
      <c r="AQ650" s="616" t="e">
        <f t="shared" si="643"/>
        <v>#N/A</v>
      </c>
      <c r="AR650" s="616" t="e">
        <f t="shared" si="643"/>
        <v>#N/A</v>
      </c>
      <c r="AS650" s="616" t="e">
        <f t="shared" ref="AS650:BD650" si="644">AS637*N$419</f>
        <v>#N/A</v>
      </c>
      <c r="AT650" s="616" t="e">
        <f t="shared" si="644"/>
        <v>#N/A</v>
      </c>
      <c r="AU650" s="616" t="e">
        <f t="shared" si="644"/>
        <v>#N/A</v>
      </c>
      <c r="AV650" s="616" t="e">
        <f t="shared" si="644"/>
        <v>#N/A</v>
      </c>
      <c r="AW650" s="616" t="e">
        <f t="shared" si="644"/>
        <v>#N/A</v>
      </c>
      <c r="AX650" s="616" t="e">
        <f t="shared" si="644"/>
        <v>#N/A</v>
      </c>
      <c r="AY650" s="616" t="e">
        <f t="shared" si="644"/>
        <v>#N/A</v>
      </c>
      <c r="AZ650" s="616" t="e">
        <f t="shared" si="644"/>
        <v>#N/A</v>
      </c>
      <c r="BA650" s="616" t="e">
        <f t="shared" si="644"/>
        <v>#N/A</v>
      </c>
      <c r="BB650" s="616" t="e">
        <f t="shared" si="644"/>
        <v>#N/A</v>
      </c>
      <c r="BC650" s="616" t="e">
        <f t="shared" si="644"/>
        <v>#N/A</v>
      </c>
      <c r="BD650" s="616" t="e">
        <f t="shared" si="644"/>
        <v>#N/A</v>
      </c>
      <c r="BE650" s="616" t="e">
        <f t="shared" ref="BE650:BP650" si="645">BE637*N$419</f>
        <v>#N/A</v>
      </c>
      <c r="BF650" s="616" t="e">
        <f t="shared" si="645"/>
        <v>#N/A</v>
      </c>
      <c r="BG650" s="616" t="e">
        <f t="shared" si="645"/>
        <v>#N/A</v>
      </c>
      <c r="BH650" s="616" t="e">
        <f t="shared" si="645"/>
        <v>#N/A</v>
      </c>
      <c r="BI650" s="616" t="e">
        <f t="shared" si="645"/>
        <v>#N/A</v>
      </c>
      <c r="BJ650" s="616" t="e">
        <f t="shared" si="645"/>
        <v>#N/A</v>
      </c>
      <c r="BK650" s="616" t="e">
        <f t="shared" si="645"/>
        <v>#N/A</v>
      </c>
      <c r="BL650" s="616" t="e">
        <f t="shared" si="645"/>
        <v>#N/A</v>
      </c>
      <c r="BM650" s="616" t="e">
        <f t="shared" si="645"/>
        <v>#N/A</v>
      </c>
      <c r="BN650" s="616" t="e">
        <f t="shared" si="645"/>
        <v>#N/A</v>
      </c>
      <c r="BO650" s="616" t="e">
        <f t="shared" si="645"/>
        <v>#N/A</v>
      </c>
      <c r="BP650" s="616" t="e">
        <f t="shared" si="645"/>
        <v>#N/A</v>
      </c>
      <c r="BQ650" s="616" t="e">
        <f t="shared" ref="BQ650:CB650" si="646">BQ637*N$419</f>
        <v>#N/A</v>
      </c>
      <c r="BR650" s="616" t="e">
        <f t="shared" si="646"/>
        <v>#N/A</v>
      </c>
      <c r="BS650" s="616" t="e">
        <f t="shared" si="646"/>
        <v>#N/A</v>
      </c>
      <c r="BT650" s="616" t="e">
        <f t="shared" si="646"/>
        <v>#N/A</v>
      </c>
      <c r="BU650" s="616" t="e">
        <f t="shared" si="646"/>
        <v>#N/A</v>
      </c>
      <c r="BV650" s="616" t="e">
        <f t="shared" si="646"/>
        <v>#N/A</v>
      </c>
      <c r="BW650" s="616" t="e">
        <f t="shared" si="646"/>
        <v>#N/A</v>
      </c>
      <c r="BX650" s="616" t="e">
        <f t="shared" si="646"/>
        <v>#N/A</v>
      </c>
      <c r="BY650" s="616" t="e">
        <f t="shared" si="646"/>
        <v>#N/A</v>
      </c>
      <c r="BZ650" s="616" t="e">
        <f t="shared" si="646"/>
        <v>#N/A</v>
      </c>
      <c r="CA650" s="616" t="e">
        <f t="shared" si="646"/>
        <v>#N/A</v>
      </c>
      <c r="CB650" s="616" t="e">
        <f t="shared" si="646"/>
        <v>#N/A</v>
      </c>
      <c r="CC650" s="616" t="e">
        <f t="shared" ref="CC650:CN650" si="647">CC637*N$419</f>
        <v>#N/A</v>
      </c>
      <c r="CD650" s="616" t="e">
        <f t="shared" si="647"/>
        <v>#N/A</v>
      </c>
      <c r="CE650" s="616" t="e">
        <f t="shared" si="647"/>
        <v>#N/A</v>
      </c>
      <c r="CF650" s="616" t="e">
        <f t="shared" si="647"/>
        <v>#N/A</v>
      </c>
      <c r="CG650" s="616" t="e">
        <f t="shared" si="647"/>
        <v>#N/A</v>
      </c>
      <c r="CH650" s="616" t="e">
        <f t="shared" si="647"/>
        <v>#N/A</v>
      </c>
      <c r="CI650" s="616" t="e">
        <f t="shared" si="647"/>
        <v>#N/A</v>
      </c>
      <c r="CJ650" s="616" t="e">
        <f t="shared" si="647"/>
        <v>#N/A</v>
      </c>
      <c r="CK650" s="616" t="e">
        <f t="shared" si="647"/>
        <v>#N/A</v>
      </c>
      <c r="CL650" s="616" t="e">
        <f t="shared" si="647"/>
        <v>#N/A</v>
      </c>
      <c r="CM650" s="616" t="e">
        <f t="shared" si="647"/>
        <v>#N/A</v>
      </c>
      <c r="CN650" s="616" t="e">
        <f t="shared" si="647"/>
        <v>#N/A</v>
      </c>
    </row>
    <row r="651" spans="8:92">
      <c r="H651" s="602" t="s">
        <v>940</v>
      </c>
      <c r="L651" s="618" t="s">
        <v>1304</v>
      </c>
      <c r="M651" s="600" t="s">
        <v>974</v>
      </c>
      <c r="N651" s="615" t="e">
        <f>SUM(U651:AF651)</f>
        <v>#N/A</v>
      </c>
      <c r="O651" s="615" t="e">
        <f>SUM(AG651:AR651)</f>
        <v>#N/A</v>
      </c>
      <c r="P651" s="615" t="e">
        <f>SUM(AS651:BD651)</f>
        <v>#N/A</v>
      </c>
      <c r="Q651" s="615" t="e">
        <f>SUM(BE651:BP651)</f>
        <v>#N/A</v>
      </c>
      <c r="R651" s="615" t="e">
        <f>SUM(BQ651:CB651)</f>
        <v>#N/A</v>
      </c>
      <c r="S651" s="615" t="e">
        <f>SUM(CC651:CN651)</f>
        <v>#N/A</v>
      </c>
      <c r="U651" s="616" t="e">
        <f t="shared" ref="U651:CF651" si="648">SUM(U644:U647,U649:U650)</f>
        <v>#N/A</v>
      </c>
      <c r="V651" s="616" t="e">
        <f t="shared" si="648"/>
        <v>#N/A</v>
      </c>
      <c r="W651" s="616" t="e">
        <f t="shared" si="648"/>
        <v>#N/A</v>
      </c>
      <c r="X651" s="616" t="e">
        <f t="shared" si="648"/>
        <v>#N/A</v>
      </c>
      <c r="Y651" s="616" t="e">
        <f t="shared" si="648"/>
        <v>#N/A</v>
      </c>
      <c r="Z651" s="616" t="e">
        <f t="shared" si="648"/>
        <v>#N/A</v>
      </c>
      <c r="AA651" s="616" t="e">
        <f t="shared" si="648"/>
        <v>#N/A</v>
      </c>
      <c r="AB651" s="616" t="e">
        <f t="shared" si="648"/>
        <v>#N/A</v>
      </c>
      <c r="AC651" s="616" t="e">
        <f t="shared" si="648"/>
        <v>#N/A</v>
      </c>
      <c r="AD651" s="616" t="e">
        <f t="shared" si="648"/>
        <v>#N/A</v>
      </c>
      <c r="AE651" s="616" t="e">
        <f t="shared" si="648"/>
        <v>#N/A</v>
      </c>
      <c r="AF651" s="616" t="e">
        <f t="shared" si="648"/>
        <v>#N/A</v>
      </c>
      <c r="AG651" s="616" t="e">
        <f t="shared" si="648"/>
        <v>#N/A</v>
      </c>
      <c r="AH651" s="616" t="e">
        <f t="shared" si="648"/>
        <v>#N/A</v>
      </c>
      <c r="AI651" s="616" t="e">
        <f t="shared" si="648"/>
        <v>#N/A</v>
      </c>
      <c r="AJ651" s="616" t="e">
        <f t="shared" si="648"/>
        <v>#N/A</v>
      </c>
      <c r="AK651" s="616" t="e">
        <f t="shared" si="648"/>
        <v>#N/A</v>
      </c>
      <c r="AL651" s="616" t="e">
        <f t="shared" si="648"/>
        <v>#N/A</v>
      </c>
      <c r="AM651" s="616" t="e">
        <f t="shared" si="648"/>
        <v>#N/A</v>
      </c>
      <c r="AN651" s="616" t="e">
        <f t="shared" si="648"/>
        <v>#N/A</v>
      </c>
      <c r="AO651" s="616" t="e">
        <f t="shared" si="648"/>
        <v>#N/A</v>
      </c>
      <c r="AP651" s="616" t="e">
        <f t="shared" si="648"/>
        <v>#N/A</v>
      </c>
      <c r="AQ651" s="616" t="e">
        <f t="shared" si="648"/>
        <v>#N/A</v>
      </c>
      <c r="AR651" s="616" t="e">
        <f t="shared" si="648"/>
        <v>#N/A</v>
      </c>
      <c r="AS651" s="616" t="e">
        <f t="shared" si="648"/>
        <v>#N/A</v>
      </c>
      <c r="AT651" s="616" t="e">
        <f t="shared" si="648"/>
        <v>#N/A</v>
      </c>
      <c r="AU651" s="616" t="e">
        <f t="shared" si="648"/>
        <v>#N/A</v>
      </c>
      <c r="AV651" s="616" t="e">
        <f t="shared" si="648"/>
        <v>#N/A</v>
      </c>
      <c r="AW651" s="616" t="e">
        <f t="shared" si="648"/>
        <v>#N/A</v>
      </c>
      <c r="AX651" s="616" t="e">
        <f t="shared" si="648"/>
        <v>#N/A</v>
      </c>
      <c r="AY651" s="616" t="e">
        <f t="shared" si="648"/>
        <v>#N/A</v>
      </c>
      <c r="AZ651" s="616" t="e">
        <f t="shared" si="648"/>
        <v>#N/A</v>
      </c>
      <c r="BA651" s="616" t="e">
        <f t="shared" si="648"/>
        <v>#N/A</v>
      </c>
      <c r="BB651" s="616" t="e">
        <f t="shared" si="648"/>
        <v>#N/A</v>
      </c>
      <c r="BC651" s="616" t="e">
        <f t="shared" si="648"/>
        <v>#N/A</v>
      </c>
      <c r="BD651" s="616" t="e">
        <f t="shared" si="648"/>
        <v>#N/A</v>
      </c>
      <c r="BE651" s="616" t="e">
        <f t="shared" si="648"/>
        <v>#N/A</v>
      </c>
      <c r="BF651" s="616" t="e">
        <f t="shared" si="648"/>
        <v>#N/A</v>
      </c>
      <c r="BG651" s="616" t="e">
        <f t="shared" si="648"/>
        <v>#N/A</v>
      </c>
      <c r="BH651" s="616" t="e">
        <f t="shared" si="648"/>
        <v>#N/A</v>
      </c>
      <c r="BI651" s="616" t="e">
        <f t="shared" si="648"/>
        <v>#N/A</v>
      </c>
      <c r="BJ651" s="616" t="e">
        <f t="shared" si="648"/>
        <v>#N/A</v>
      </c>
      <c r="BK651" s="616" t="e">
        <f t="shared" si="648"/>
        <v>#N/A</v>
      </c>
      <c r="BL651" s="616" t="e">
        <f t="shared" si="648"/>
        <v>#N/A</v>
      </c>
      <c r="BM651" s="616" t="e">
        <f t="shared" si="648"/>
        <v>#N/A</v>
      </c>
      <c r="BN651" s="616" t="e">
        <f t="shared" si="648"/>
        <v>#N/A</v>
      </c>
      <c r="BO651" s="616" t="e">
        <f t="shared" si="648"/>
        <v>#N/A</v>
      </c>
      <c r="BP651" s="616" t="e">
        <f t="shared" si="648"/>
        <v>#N/A</v>
      </c>
      <c r="BQ651" s="616" t="e">
        <f t="shared" si="648"/>
        <v>#N/A</v>
      </c>
      <c r="BR651" s="616" t="e">
        <f t="shared" si="648"/>
        <v>#N/A</v>
      </c>
      <c r="BS651" s="616" t="e">
        <f t="shared" si="648"/>
        <v>#N/A</v>
      </c>
      <c r="BT651" s="616" t="e">
        <f t="shared" si="648"/>
        <v>#N/A</v>
      </c>
      <c r="BU651" s="616" t="e">
        <f t="shared" si="648"/>
        <v>#N/A</v>
      </c>
      <c r="BV651" s="616" t="e">
        <f t="shared" si="648"/>
        <v>#N/A</v>
      </c>
      <c r="BW651" s="616" t="e">
        <f t="shared" si="648"/>
        <v>#N/A</v>
      </c>
      <c r="BX651" s="616" t="e">
        <f t="shared" si="648"/>
        <v>#N/A</v>
      </c>
      <c r="BY651" s="616" t="e">
        <f t="shared" si="648"/>
        <v>#N/A</v>
      </c>
      <c r="BZ651" s="616" t="e">
        <f t="shared" si="648"/>
        <v>#N/A</v>
      </c>
      <c r="CA651" s="616" t="e">
        <f t="shared" si="648"/>
        <v>#N/A</v>
      </c>
      <c r="CB651" s="616" t="e">
        <f t="shared" si="648"/>
        <v>#N/A</v>
      </c>
      <c r="CC651" s="616" t="e">
        <f t="shared" si="648"/>
        <v>#N/A</v>
      </c>
      <c r="CD651" s="616" t="e">
        <f t="shared" si="648"/>
        <v>#N/A</v>
      </c>
      <c r="CE651" s="616" t="e">
        <f t="shared" si="648"/>
        <v>#N/A</v>
      </c>
      <c r="CF651" s="616" t="e">
        <f t="shared" si="648"/>
        <v>#N/A</v>
      </c>
      <c r="CG651" s="616" t="e">
        <f t="shared" ref="CG651:CN651" si="649">SUM(CG644:CG647,CG649:CG650)</f>
        <v>#N/A</v>
      </c>
      <c r="CH651" s="616" t="e">
        <f t="shared" si="649"/>
        <v>#N/A</v>
      </c>
      <c r="CI651" s="616" t="e">
        <f t="shared" si="649"/>
        <v>#N/A</v>
      </c>
      <c r="CJ651" s="616" t="e">
        <f t="shared" si="649"/>
        <v>#N/A</v>
      </c>
      <c r="CK651" s="616" t="e">
        <f t="shared" si="649"/>
        <v>#N/A</v>
      </c>
      <c r="CL651" s="616" t="e">
        <f t="shared" si="649"/>
        <v>#N/A</v>
      </c>
      <c r="CM651" s="616" t="e">
        <f t="shared" si="649"/>
        <v>#N/A</v>
      </c>
      <c r="CN651" s="616" t="e">
        <f t="shared" si="649"/>
        <v>#N/A</v>
      </c>
    </row>
    <row r="652" spans="8:92">
      <c r="H652" s="602" t="s">
        <v>940</v>
      </c>
      <c r="L652" s="618" t="s">
        <v>909</v>
      </c>
      <c r="M652" s="600" t="s">
        <v>974</v>
      </c>
      <c r="N652" s="615" t="e">
        <f>SUM(U652:AF652)</f>
        <v>#N/A</v>
      </c>
      <c r="O652" s="615" t="e">
        <f>SUM(AG652:AR652)</f>
        <v>#N/A</v>
      </c>
      <c r="P652" s="615" t="e">
        <f>SUM(AS652:BD652)</f>
        <v>#N/A</v>
      </c>
      <c r="Q652" s="615" t="e">
        <f>SUM(BE652:BP652)</f>
        <v>#N/A</v>
      </c>
      <c r="R652" s="615" t="e">
        <f>SUM(BQ652:CB652)</f>
        <v>#N/A</v>
      </c>
      <c r="S652" s="615" t="e">
        <f>SUM(CC652:CN652)</f>
        <v>#N/A</v>
      </c>
      <c r="U652" s="616" t="e">
        <f t="shared" ref="U652:AF652" si="650">U651*N$420/100</f>
        <v>#N/A</v>
      </c>
      <c r="V652" s="616" t="e">
        <f t="shared" si="650"/>
        <v>#N/A</v>
      </c>
      <c r="W652" s="616" t="e">
        <f t="shared" si="650"/>
        <v>#N/A</v>
      </c>
      <c r="X652" s="616" t="e">
        <f t="shared" si="650"/>
        <v>#N/A</v>
      </c>
      <c r="Y652" s="616" t="e">
        <f t="shared" si="650"/>
        <v>#N/A</v>
      </c>
      <c r="Z652" s="616" t="e">
        <f t="shared" si="650"/>
        <v>#N/A</v>
      </c>
      <c r="AA652" s="616" t="e">
        <f t="shared" si="650"/>
        <v>#N/A</v>
      </c>
      <c r="AB652" s="616" t="e">
        <f t="shared" si="650"/>
        <v>#N/A</v>
      </c>
      <c r="AC652" s="616" t="e">
        <f t="shared" si="650"/>
        <v>#N/A</v>
      </c>
      <c r="AD652" s="616" t="e">
        <f t="shared" si="650"/>
        <v>#N/A</v>
      </c>
      <c r="AE652" s="616" t="e">
        <f t="shared" si="650"/>
        <v>#N/A</v>
      </c>
      <c r="AF652" s="616" t="e">
        <f t="shared" si="650"/>
        <v>#N/A</v>
      </c>
      <c r="AG652" s="616" t="e">
        <f t="shared" ref="AG652:AR652" si="651">AG651*N$420/100</f>
        <v>#N/A</v>
      </c>
      <c r="AH652" s="616" t="e">
        <f t="shared" si="651"/>
        <v>#N/A</v>
      </c>
      <c r="AI652" s="616" t="e">
        <f t="shared" si="651"/>
        <v>#N/A</v>
      </c>
      <c r="AJ652" s="616" t="e">
        <f t="shared" si="651"/>
        <v>#N/A</v>
      </c>
      <c r="AK652" s="616" t="e">
        <f t="shared" si="651"/>
        <v>#N/A</v>
      </c>
      <c r="AL652" s="616" t="e">
        <f t="shared" si="651"/>
        <v>#N/A</v>
      </c>
      <c r="AM652" s="616" t="e">
        <f t="shared" si="651"/>
        <v>#N/A</v>
      </c>
      <c r="AN652" s="616" t="e">
        <f t="shared" si="651"/>
        <v>#N/A</v>
      </c>
      <c r="AO652" s="616" t="e">
        <f t="shared" si="651"/>
        <v>#N/A</v>
      </c>
      <c r="AP652" s="616" t="e">
        <f t="shared" si="651"/>
        <v>#N/A</v>
      </c>
      <c r="AQ652" s="616" t="e">
        <f t="shared" si="651"/>
        <v>#N/A</v>
      </c>
      <c r="AR652" s="616" t="e">
        <f t="shared" si="651"/>
        <v>#N/A</v>
      </c>
      <c r="AS652" s="616" t="e">
        <f t="shared" ref="AS652:BD652" si="652">AS651*N$420/100</f>
        <v>#N/A</v>
      </c>
      <c r="AT652" s="616" t="e">
        <f t="shared" si="652"/>
        <v>#N/A</v>
      </c>
      <c r="AU652" s="616" t="e">
        <f t="shared" si="652"/>
        <v>#N/A</v>
      </c>
      <c r="AV652" s="616" t="e">
        <f t="shared" si="652"/>
        <v>#N/A</v>
      </c>
      <c r="AW652" s="616" t="e">
        <f t="shared" si="652"/>
        <v>#N/A</v>
      </c>
      <c r="AX652" s="616" t="e">
        <f t="shared" si="652"/>
        <v>#N/A</v>
      </c>
      <c r="AY652" s="616" t="e">
        <f t="shared" si="652"/>
        <v>#N/A</v>
      </c>
      <c r="AZ652" s="616" t="e">
        <f t="shared" si="652"/>
        <v>#N/A</v>
      </c>
      <c r="BA652" s="616" t="e">
        <f t="shared" si="652"/>
        <v>#N/A</v>
      </c>
      <c r="BB652" s="616" t="e">
        <f t="shared" si="652"/>
        <v>#N/A</v>
      </c>
      <c r="BC652" s="616" t="e">
        <f t="shared" si="652"/>
        <v>#N/A</v>
      </c>
      <c r="BD652" s="616" t="e">
        <f t="shared" si="652"/>
        <v>#N/A</v>
      </c>
      <c r="BE652" s="616" t="e">
        <f t="shared" ref="BE652:BP652" si="653">BE651*N$420/100</f>
        <v>#N/A</v>
      </c>
      <c r="BF652" s="616" t="e">
        <f t="shared" si="653"/>
        <v>#N/A</v>
      </c>
      <c r="BG652" s="616" t="e">
        <f t="shared" si="653"/>
        <v>#N/A</v>
      </c>
      <c r="BH652" s="616" t="e">
        <f t="shared" si="653"/>
        <v>#N/A</v>
      </c>
      <c r="BI652" s="616" t="e">
        <f t="shared" si="653"/>
        <v>#N/A</v>
      </c>
      <c r="BJ652" s="616" t="e">
        <f t="shared" si="653"/>
        <v>#N/A</v>
      </c>
      <c r="BK652" s="616" t="e">
        <f t="shared" si="653"/>
        <v>#N/A</v>
      </c>
      <c r="BL652" s="616" t="e">
        <f t="shared" si="653"/>
        <v>#N/A</v>
      </c>
      <c r="BM652" s="616" t="e">
        <f t="shared" si="653"/>
        <v>#N/A</v>
      </c>
      <c r="BN652" s="616" t="e">
        <f t="shared" si="653"/>
        <v>#N/A</v>
      </c>
      <c r="BO652" s="616" t="e">
        <f t="shared" si="653"/>
        <v>#N/A</v>
      </c>
      <c r="BP652" s="616" t="e">
        <f t="shared" si="653"/>
        <v>#N/A</v>
      </c>
      <c r="BQ652" s="616" t="e">
        <f t="shared" ref="BQ652:CB652" si="654">BQ651*N$420/100</f>
        <v>#N/A</v>
      </c>
      <c r="BR652" s="616" t="e">
        <f t="shared" si="654"/>
        <v>#N/A</v>
      </c>
      <c r="BS652" s="616" t="e">
        <f t="shared" si="654"/>
        <v>#N/A</v>
      </c>
      <c r="BT652" s="616" t="e">
        <f t="shared" si="654"/>
        <v>#N/A</v>
      </c>
      <c r="BU652" s="616" t="e">
        <f t="shared" si="654"/>
        <v>#N/A</v>
      </c>
      <c r="BV652" s="616" t="e">
        <f t="shared" si="654"/>
        <v>#N/A</v>
      </c>
      <c r="BW652" s="616" t="e">
        <f t="shared" si="654"/>
        <v>#N/A</v>
      </c>
      <c r="BX652" s="616" t="e">
        <f t="shared" si="654"/>
        <v>#N/A</v>
      </c>
      <c r="BY652" s="616" t="e">
        <f t="shared" si="654"/>
        <v>#N/A</v>
      </c>
      <c r="BZ652" s="616" t="e">
        <f t="shared" si="654"/>
        <v>#N/A</v>
      </c>
      <c r="CA652" s="616" t="e">
        <f t="shared" si="654"/>
        <v>#N/A</v>
      </c>
      <c r="CB652" s="616" t="e">
        <f t="shared" si="654"/>
        <v>#N/A</v>
      </c>
      <c r="CC652" s="616" t="e">
        <f t="shared" ref="CC652:CN652" si="655">CC651*N$420/100</f>
        <v>#N/A</v>
      </c>
      <c r="CD652" s="616" t="e">
        <f t="shared" si="655"/>
        <v>#N/A</v>
      </c>
      <c r="CE652" s="616" t="e">
        <f t="shared" si="655"/>
        <v>#N/A</v>
      </c>
      <c r="CF652" s="616" t="e">
        <f t="shared" si="655"/>
        <v>#N/A</v>
      </c>
      <c r="CG652" s="616" t="e">
        <f t="shared" si="655"/>
        <v>#N/A</v>
      </c>
      <c r="CH652" s="616" t="e">
        <f t="shared" si="655"/>
        <v>#N/A</v>
      </c>
      <c r="CI652" s="616" t="e">
        <f t="shared" si="655"/>
        <v>#N/A</v>
      </c>
      <c r="CJ652" s="616" t="e">
        <f t="shared" si="655"/>
        <v>#N/A</v>
      </c>
      <c r="CK652" s="616" t="e">
        <f t="shared" si="655"/>
        <v>#N/A</v>
      </c>
      <c r="CL652" s="616" t="e">
        <f t="shared" si="655"/>
        <v>#N/A</v>
      </c>
      <c r="CM652" s="616" t="e">
        <f t="shared" si="655"/>
        <v>#N/A</v>
      </c>
      <c r="CN652" s="616" t="e">
        <f t="shared" si="655"/>
        <v>#N/A</v>
      </c>
    </row>
    <row r="653" spans="8:92">
      <c r="H653" s="602" t="s">
        <v>940</v>
      </c>
      <c r="L653" s="618"/>
      <c r="M653" s="600"/>
      <c r="N653" s="615"/>
      <c r="O653" s="615"/>
      <c r="P653" s="615"/>
      <c r="Q653" s="615"/>
      <c r="R653" s="615"/>
      <c r="S653" s="615"/>
      <c r="U653" s="616"/>
      <c r="V653" s="616"/>
      <c r="W653" s="616"/>
      <c r="X653" s="616"/>
      <c r="Y653" s="616"/>
      <c r="Z653" s="616"/>
      <c r="AA653" s="616"/>
      <c r="AB653" s="616"/>
      <c r="AC653" s="616"/>
      <c r="AD653" s="616"/>
      <c r="AE653" s="616"/>
      <c r="AF653" s="616"/>
      <c r="AG653" s="616"/>
      <c r="AH653" s="616"/>
      <c r="AI653" s="616"/>
      <c r="AJ653" s="616"/>
      <c r="AK653" s="616"/>
      <c r="AL653" s="616"/>
      <c r="AM653" s="616"/>
      <c r="AN653" s="616"/>
      <c r="AO653" s="616"/>
      <c r="AP653" s="616"/>
      <c r="AQ653" s="616"/>
      <c r="AR653" s="616"/>
      <c r="AS653" s="616"/>
      <c r="AT653" s="616"/>
      <c r="AU653" s="616"/>
      <c r="AV653" s="616"/>
      <c r="AW653" s="616"/>
      <c r="AX653" s="616"/>
      <c r="AY653" s="616"/>
      <c r="AZ653" s="616"/>
      <c r="BA653" s="616"/>
      <c r="BB653" s="616"/>
      <c r="BC653" s="616"/>
      <c r="BD653" s="616"/>
      <c r="BE653" s="616"/>
      <c r="BF653" s="616"/>
      <c r="BG653" s="616"/>
      <c r="BH653" s="616"/>
      <c r="BI653" s="616"/>
      <c r="BJ653" s="616"/>
      <c r="BK653" s="616"/>
      <c r="BL653" s="616"/>
      <c r="BM653" s="616"/>
      <c r="BN653" s="616"/>
      <c r="BO653" s="616"/>
      <c r="BP653" s="616"/>
      <c r="BQ653" s="616"/>
      <c r="BR653" s="616"/>
      <c r="BS653" s="616"/>
      <c r="BT653" s="616"/>
      <c r="BU653" s="616"/>
      <c r="BV653" s="616"/>
      <c r="BW653" s="616"/>
      <c r="BX653" s="616"/>
      <c r="BY653" s="616"/>
      <c r="BZ653" s="616"/>
      <c r="CA653" s="616"/>
      <c r="CB653" s="616"/>
      <c r="CC653" s="616"/>
      <c r="CD653" s="616"/>
      <c r="CE653" s="616"/>
      <c r="CF653" s="616"/>
      <c r="CG653" s="616"/>
      <c r="CH653" s="616"/>
      <c r="CI653" s="616"/>
      <c r="CJ653" s="616"/>
      <c r="CK653" s="616"/>
      <c r="CL653" s="616"/>
      <c r="CM653" s="616"/>
      <c r="CN653" s="616"/>
    </row>
    <row r="654" spans="8:92">
      <c r="H654" s="602" t="s">
        <v>940</v>
      </c>
      <c r="L654" s="618" t="s">
        <v>1305</v>
      </c>
      <c r="M654" s="600" t="s">
        <v>974</v>
      </c>
      <c r="N654" s="615" t="e">
        <f>SUM(U654:AF654)</f>
        <v>#N/A</v>
      </c>
      <c r="O654" s="615" t="e">
        <f>SUM(AG654:AR654)</f>
        <v>#N/A</v>
      </c>
      <c r="P654" s="615" t="e">
        <f>SUM(AS654:BD654)</f>
        <v>#N/A</v>
      </c>
      <c r="Q654" s="615" t="e">
        <f>SUM(BE654:BP654)</f>
        <v>#N/A</v>
      </c>
      <c r="R654" s="615" t="e">
        <f>SUM(BQ654:CB654)</f>
        <v>#N/A</v>
      </c>
      <c r="S654" s="615" t="e">
        <f>SUM(CC654:CN654)</f>
        <v>#N/A</v>
      </c>
      <c r="U654" s="616" t="e">
        <f>SUM(U651:U652)</f>
        <v>#N/A</v>
      </c>
      <c r="V654" s="616" t="e">
        <f t="shared" ref="V654:CG654" si="656">SUM(V651:V652)</f>
        <v>#N/A</v>
      </c>
      <c r="W654" s="616" t="e">
        <f t="shared" si="656"/>
        <v>#N/A</v>
      </c>
      <c r="X654" s="616" t="e">
        <f t="shared" si="656"/>
        <v>#N/A</v>
      </c>
      <c r="Y654" s="616" t="e">
        <f t="shared" si="656"/>
        <v>#N/A</v>
      </c>
      <c r="Z654" s="616" t="e">
        <f t="shared" si="656"/>
        <v>#N/A</v>
      </c>
      <c r="AA654" s="616" t="e">
        <f t="shared" si="656"/>
        <v>#N/A</v>
      </c>
      <c r="AB654" s="616" t="e">
        <f t="shared" si="656"/>
        <v>#N/A</v>
      </c>
      <c r="AC654" s="616" t="e">
        <f t="shared" si="656"/>
        <v>#N/A</v>
      </c>
      <c r="AD654" s="616" t="e">
        <f t="shared" si="656"/>
        <v>#N/A</v>
      </c>
      <c r="AE654" s="616" t="e">
        <f t="shared" si="656"/>
        <v>#N/A</v>
      </c>
      <c r="AF654" s="616" t="e">
        <f t="shared" si="656"/>
        <v>#N/A</v>
      </c>
      <c r="AG654" s="616" t="e">
        <f t="shared" si="656"/>
        <v>#N/A</v>
      </c>
      <c r="AH654" s="616" t="e">
        <f t="shared" si="656"/>
        <v>#N/A</v>
      </c>
      <c r="AI654" s="616" t="e">
        <f t="shared" si="656"/>
        <v>#N/A</v>
      </c>
      <c r="AJ654" s="616" t="e">
        <f t="shared" si="656"/>
        <v>#N/A</v>
      </c>
      <c r="AK654" s="616" t="e">
        <f t="shared" si="656"/>
        <v>#N/A</v>
      </c>
      <c r="AL654" s="616" t="e">
        <f t="shared" si="656"/>
        <v>#N/A</v>
      </c>
      <c r="AM654" s="616" t="e">
        <f t="shared" si="656"/>
        <v>#N/A</v>
      </c>
      <c r="AN654" s="616" t="e">
        <f t="shared" si="656"/>
        <v>#N/A</v>
      </c>
      <c r="AO654" s="616" t="e">
        <f t="shared" si="656"/>
        <v>#N/A</v>
      </c>
      <c r="AP654" s="616" t="e">
        <f t="shared" si="656"/>
        <v>#N/A</v>
      </c>
      <c r="AQ654" s="616" t="e">
        <f t="shared" si="656"/>
        <v>#N/A</v>
      </c>
      <c r="AR654" s="616" t="e">
        <f t="shared" si="656"/>
        <v>#N/A</v>
      </c>
      <c r="AS654" s="616" t="e">
        <f t="shared" si="656"/>
        <v>#N/A</v>
      </c>
      <c r="AT654" s="616" t="e">
        <f t="shared" si="656"/>
        <v>#N/A</v>
      </c>
      <c r="AU654" s="616" t="e">
        <f t="shared" si="656"/>
        <v>#N/A</v>
      </c>
      <c r="AV654" s="616" t="e">
        <f t="shared" si="656"/>
        <v>#N/A</v>
      </c>
      <c r="AW654" s="616" t="e">
        <f t="shared" si="656"/>
        <v>#N/A</v>
      </c>
      <c r="AX654" s="616" t="e">
        <f t="shared" si="656"/>
        <v>#N/A</v>
      </c>
      <c r="AY654" s="616" t="e">
        <f t="shared" si="656"/>
        <v>#N/A</v>
      </c>
      <c r="AZ654" s="616" t="e">
        <f t="shared" si="656"/>
        <v>#N/A</v>
      </c>
      <c r="BA654" s="616" t="e">
        <f t="shared" si="656"/>
        <v>#N/A</v>
      </c>
      <c r="BB654" s="616" t="e">
        <f t="shared" si="656"/>
        <v>#N/A</v>
      </c>
      <c r="BC654" s="616" t="e">
        <f t="shared" si="656"/>
        <v>#N/A</v>
      </c>
      <c r="BD654" s="616" t="e">
        <f t="shared" si="656"/>
        <v>#N/A</v>
      </c>
      <c r="BE654" s="616" t="e">
        <f t="shared" si="656"/>
        <v>#N/A</v>
      </c>
      <c r="BF654" s="616" t="e">
        <f t="shared" si="656"/>
        <v>#N/A</v>
      </c>
      <c r="BG654" s="616" t="e">
        <f t="shared" si="656"/>
        <v>#N/A</v>
      </c>
      <c r="BH654" s="616" t="e">
        <f t="shared" si="656"/>
        <v>#N/A</v>
      </c>
      <c r="BI654" s="616" t="e">
        <f t="shared" si="656"/>
        <v>#N/A</v>
      </c>
      <c r="BJ654" s="616" t="e">
        <f t="shared" si="656"/>
        <v>#N/A</v>
      </c>
      <c r="BK654" s="616" t="e">
        <f t="shared" si="656"/>
        <v>#N/A</v>
      </c>
      <c r="BL654" s="616" t="e">
        <f t="shared" si="656"/>
        <v>#N/A</v>
      </c>
      <c r="BM654" s="616" t="e">
        <f t="shared" si="656"/>
        <v>#N/A</v>
      </c>
      <c r="BN654" s="616" t="e">
        <f t="shared" si="656"/>
        <v>#N/A</v>
      </c>
      <c r="BO654" s="616" t="e">
        <f t="shared" si="656"/>
        <v>#N/A</v>
      </c>
      <c r="BP654" s="616" t="e">
        <f t="shared" si="656"/>
        <v>#N/A</v>
      </c>
      <c r="BQ654" s="616" t="e">
        <f t="shared" si="656"/>
        <v>#N/A</v>
      </c>
      <c r="BR654" s="616" t="e">
        <f t="shared" si="656"/>
        <v>#N/A</v>
      </c>
      <c r="BS654" s="616" t="e">
        <f t="shared" si="656"/>
        <v>#N/A</v>
      </c>
      <c r="BT654" s="616" t="e">
        <f t="shared" si="656"/>
        <v>#N/A</v>
      </c>
      <c r="BU654" s="616" t="e">
        <f t="shared" si="656"/>
        <v>#N/A</v>
      </c>
      <c r="BV654" s="616" t="e">
        <f t="shared" si="656"/>
        <v>#N/A</v>
      </c>
      <c r="BW654" s="616" t="e">
        <f t="shared" si="656"/>
        <v>#N/A</v>
      </c>
      <c r="BX654" s="616" t="e">
        <f t="shared" si="656"/>
        <v>#N/A</v>
      </c>
      <c r="BY654" s="616" t="e">
        <f t="shared" si="656"/>
        <v>#N/A</v>
      </c>
      <c r="BZ654" s="616" t="e">
        <f t="shared" si="656"/>
        <v>#N/A</v>
      </c>
      <c r="CA654" s="616" t="e">
        <f t="shared" si="656"/>
        <v>#N/A</v>
      </c>
      <c r="CB654" s="616" t="e">
        <f t="shared" si="656"/>
        <v>#N/A</v>
      </c>
      <c r="CC654" s="616" t="e">
        <f t="shared" si="656"/>
        <v>#N/A</v>
      </c>
      <c r="CD654" s="616" t="e">
        <f t="shared" si="656"/>
        <v>#N/A</v>
      </c>
      <c r="CE654" s="616" t="e">
        <f t="shared" si="656"/>
        <v>#N/A</v>
      </c>
      <c r="CF654" s="616" t="e">
        <f t="shared" si="656"/>
        <v>#N/A</v>
      </c>
      <c r="CG654" s="616" t="e">
        <f t="shared" si="656"/>
        <v>#N/A</v>
      </c>
      <c r="CH654" s="616" t="e">
        <f t="shared" ref="CH654:CN654" si="657">SUM(CH651:CH652)</f>
        <v>#N/A</v>
      </c>
      <c r="CI654" s="616" t="e">
        <f t="shared" si="657"/>
        <v>#N/A</v>
      </c>
      <c r="CJ654" s="616" t="e">
        <f t="shared" si="657"/>
        <v>#N/A</v>
      </c>
      <c r="CK654" s="616" t="e">
        <f t="shared" si="657"/>
        <v>#N/A</v>
      </c>
      <c r="CL654" s="616" t="e">
        <f t="shared" si="657"/>
        <v>#N/A</v>
      </c>
      <c r="CM654" s="616" t="e">
        <f t="shared" si="657"/>
        <v>#N/A</v>
      </c>
      <c r="CN654" s="616" t="e">
        <f t="shared" si="657"/>
        <v>#N/A</v>
      </c>
    </row>
    <row r="655" spans="8:92">
      <c r="H655" s="602" t="s">
        <v>940</v>
      </c>
      <c r="L655" s="618" t="s">
        <v>1307</v>
      </c>
      <c r="M655" s="600" t="s">
        <v>974</v>
      </c>
      <c r="N655" s="615" t="e">
        <f>SUM(U655:AF655)</f>
        <v>#N/A</v>
      </c>
      <c r="O655" s="615" t="e">
        <f>SUM(AG655:AR655)</f>
        <v>#N/A</v>
      </c>
      <c r="P655" s="615" t="e">
        <f>SUM(AS655:BD655)</f>
        <v>#N/A</v>
      </c>
      <c r="Q655" s="615" t="e">
        <f>SUM(BE655:BP655)</f>
        <v>#N/A</v>
      </c>
      <c r="R655" s="615" t="e">
        <f>SUM(BQ655:CB655)</f>
        <v>#N/A</v>
      </c>
      <c r="S655" s="615" t="e">
        <f>SUM(CC655:CN655)</f>
        <v>#N/A</v>
      </c>
      <c r="U655" s="616" t="e">
        <f>U654-U582</f>
        <v>#N/A</v>
      </c>
      <c r="V655" s="616" t="e">
        <f t="shared" ref="V655:CG655" si="658">V654-V582</f>
        <v>#N/A</v>
      </c>
      <c r="W655" s="616" t="e">
        <f t="shared" si="658"/>
        <v>#N/A</v>
      </c>
      <c r="X655" s="616" t="e">
        <f t="shared" si="658"/>
        <v>#N/A</v>
      </c>
      <c r="Y655" s="616" t="e">
        <f t="shared" si="658"/>
        <v>#N/A</v>
      </c>
      <c r="Z655" s="616" t="e">
        <f t="shared" si="658"/>
        <v>#N/A</v>
      </c>
      <c r="AA655" s="616" t="e">
        <f t="shared" si="658"/>
        <v>#N/A</v>
      </c>
      <c r="AB655" s="616" t="e">
        <f t="shared" si="658"/>
        <v>#N/A</v>
      </c>
      <c r="AC655" s="616" t="e">
        <f t="shared" si="658"/>
        <v>#N/A</v>
      </c>
      <c r="AD655" s="616" t="e">
        <f t="shared" si="658"/>
        <v>#N/A</v>
      </c>
      <c r="AE655" s="616" t="e">
        <f t="shared" si="658"/>
        <v>#N/A</v>
      </c>
      <c r="AF655" s="616" t="e">
        <f t="shared" si="658"/>
        <v>#N/A</v>
      </c>
      <c r="AG655" s="616" t="e">
        <f t="shared" si="658"/>
        <v>#N/A</v>
      </c>
      <c r="AH655" s="616" t="e">
        <f t="shared" si="658"/>
        <v>#N/A</v>
      </c>
      <c r="AI655" s="616" t="e">
        <f t="shared" si="658"/>
        <v>#N/A</v>
      </c>
      <c r="AJ655" s="616" t="e">
        <f t="shared" si="658"/>
        <v>#N/A</v>
      </c>
      <c r="AK655" s="616" t="e">
        <f t="shared" si="658"/>
        <v>#N/A</v>
      </c>
      <c r="AL655" s="616" t="e">
        <f t="shared" si="658"/>
        <v>#N/A</v>
      </c>
      <c r="AM655" s="616" t="e">
        <f t="shared" si="658"/>
        <v>#N/A</v>
      </c>
      <c r="AN655" s="616" t="e">
        <f t="shared" si="658"/>
        <v>#N/A</v>
      </c>
      <c r="AO655" s="616" t="e">
        <f t="shared" si="658"/>
        <v>#N/A</v>
      </c>
      <c r="AP655" s="616" t="e">
        <f t="shared" si="658"/>
        <v>#N/A</v>
      </c>
      <c r="AQ655" s="616" t="e">
        <f t="shared" si="658"/>
        <v>#N/A</v>
      </c>
      <c r="AR655" s="616" t="e">
        <f t="shared" si="658"/>
        <v>#N/A</v>
      </c>
      <c r="AS655" s="616" t="e">
        <f t="shared" si="658"/>
        <v>#N/A</v>
      </c>
      <c r="AT655" s="616" t="e">
        <f t="shared" si="658"/>
        <v>#N/A</v>
      </c>
      <c r="AU655" s="616" t="e">
        <f t="shared" si="658"/>
        <v>#N/A</v>
      </c>
      <c r="AV655" s="616" t="e">
        <f t="shared" si="658"/>
        <v>#N/A</v>
      </c>
      <c r="AW655" s="616" t="e">
        <f t="shared" si="658"/>
        <v>#N/A</v>
      </c>
      <c r="AX655" s="616" t="e">
        <f t="shared" si="658"/>
        <v>#N/A</v>
      </c>
      <c r="AY655" s="616" t="e">
        <f t="shared" si="658"/>
        <v>#N/A</v>
      </c>
      <c r="AZ655" s="616" t="e">
        <f t="shared" si="658"/>
        <v>#N/A</v>
      </c>
      <c r="BA655" s="616" t="e">
        <f t="shared" si="658"/>
        <v>#N/A</v>
      </c>
      <c r="BB655" s="616" t="e">
        <f t="shared" si="658"/>
        <v>#N/A</v>
      </c>
      <c r="BC655" s="616" t="e">
        <f t="shared" si="658"/>
        <v>#N/A</v>
      </c>
      <c r="BD655" s="616" t="e">
        <f t="shared" si="658"/>
        <v>#N/A</v>
      </c>
      <c r="BE655" s="616" t="e">
        <f t="shared" si="658"/>
        <v>#N/A</v>
      </c>
      <c r="BF655" s="616" t="e">
        <f t="shared" si="658"/>
        <v>#N/A</v>
      </c>
      <c r="BG655" s="616" t="e">
        <f t="shared" si="658"/>
        <v>#N/A</v>
      </c>
      <c r="BH655" s="616" t="e">
        <f t="shared" si="658"/>
        <v>#N/A</v>
      </c>
      <c r="BI655" s="616" t="e">
        <f t="shared" si="658"/>
        <v>#N/A</v>
      </c>
      <c r="BJ655" s="616" t="e">
        <f t="shared" si="658"/>
        <v>#N/A</v>
      </c>
      <c r="BK655" s="616" t="e">
        <f t="shared" si="658"/>
        <v>#N/A</v>
      </c>
      <c r="BL655" s="616" t="e">
        <f t="shared" si="658"/>
        <v>#N/A</v>
      </c>
      <c r="BM655" s="616" t="e">
        <f t="shared" si="658"/>
        <v>#N/A</v>
      </c>
      <c r="BN655" s="616" t="e">
        <f t="shared" si="658"/>
        <v>#N/A</v>
      </c>
      <c r="BO655" s="616" t="e">
        <f t="shared" si="658"/>
        <v>#N/A</v>
      </c>
      <c r="BP655" s="616" t="e">
        <f t="shared" si="658"/>
        <v>#N/A</v>
      </c>
      <c r="BQ655" s="616" t="e">
        <f t="shared" si="658"/>
        <v>#N/A</v>
      </c>
      <c r="BR655" s="616" t="e">
        <f t="shared" si="658"/>
        <v>#N/A</v>
      </c>
      <c r="BS655" s="616" t="e">
        <f t="shared" si="658"/>
        <v>#N/A</v>
      </c>
      <c r="BT655" s="616" t="e">
        <f t="shared" si="658"/>
        <v>#N/A</v>
      </c>
      <c r="BU655" s="616" t="e">
        <f t="shared" si="658"/>
        <v>#N/A</v>
      </c>
      <c r="BV655" s="616" t="e">
        <f t="shared" si="658"/>
        <v>#N/A</v>
      </c>
      <c r="BW655" s="616" t="e">
        <f t="shared" si="658"/>
        <v>#N/A</v>
      </c>
      <c r="BX655" s="616" t="e">
        <f t="shared" si="658"/>
        <v>#N/A</v>
      </c>
      <c r="BY655" s="616" t="e">
        <f t="shared" si="658"/>
        <v>#N/A</v>
      </c>
      <c r="BZ655" s="616" t="e">
        <f t="shared" si="658"/>
        <v>#N/A</v>
      </c>
      <c r="CA655" s="616" t="e">
        <f t="shared" si="658"/>
        <v>#N/A</v>
      </c>
      <c r="CB655" s="616" t="e">
        <f t="shared" si="658"/>
        <v>#N/A</v>
      </c>
      <c r="CC655" s="616" t="e">
        <f t="shared" si="658"/>
        <v>#N/A</v>
      </c>
      <c r="CD655" s="616" t="e">
        <f t="shared" si="658"/>
        <v>#N/A</v>
      </c>
      <c r="CE655" s="616" t="e">
        <f t="shared" si="658"/>
        <v>#N/A</v>
      </c>
      <c r="CF655" s="616" t="e">
        <f t="shared" si="658"/>
        <v>#N/A</v>
      </c>
      <c r="CG655" s="616" t="e">
        <f t="shared" si="658"/>
        <v>#N/A</v>
      </c>
      <c r="CH655" s="616" t="e">
        <f t="shared" ref="CH655:CN655" si="659">CH654-CH582</f>
        <v>#N/A</v>
      </c>
      <c r="CI655" s="616" t="e">
        <f t="shared" si="659"/>
        <v>#N/A</v>
      </c>
      <c r="CJ655" s="616" t="e">
        <f t="shared" si="659"/>
        <v>#N/A</v>
      </c>
      <c r="CK655" s="616" t="e">
        <f t="shared" si="659"/>
        <v>#N/A</v>
      </c>
      <c r="CL655" s="616" t="e">
        <f t="shared" si="659"/>
        <v>#N/A</v>
      </c>
      <c r="CM655" s="616" t="e">
        <f t="shared" si="659"/>
        <v>#N/A</v>
      </c>
      <c r="CN655" s="616" t="e">
        <f t="shared" si="659"/>
        <v>#N/A</v>
      </c>
    </row>
    <row r="656" spans="8:92" ht="13.5" thickBot="1">
      <c r="H656" s="602" t="s">
        <v>940</v>
      </c>
    </row>
    <row r="657" spans="8:92" ht="13.5" thickTop="1">
      <c r="H657" s="602" t="s">
        <v>940</v>
      </c>
      <c r="L657" s="757" t="s">
        <v>1312</v>
      </c>
      <c r="M657" s="758"/>
      <c r="N657" s="758"/>
      <c r="O657" s="758"/>
      <c r="P657" s="758"/>
      <c r="Q657" s="758"/>
      <c r="R657" s="758"/>
      <c r="S657" s="758"/>
      <c r="T657" s="758"/>
      <c r="U657" s="758"/>
      <c r="V657" s="758"/>
      <c r="W657" s="758"/>
      <c r="X657" s="758"/>
      <c r="Y657" s="758"/>
      <c r="Z657" s="758"/>
      <c r="AA657" s="758"/>
      <c r="AB657" s="758"/>
      <c r="AC657" s="758"/>
      <c r="AD657" s="758"/>
      <c r="AE657" s="758"/>
      <c r="AF657" s="758"/>
      <c r="AG657" s="758"/>
      <c r="AH657" s="758"/>
      <c r="AI657" s="758"/>
      <c r="AJ657" s="758"/>
      <c r="AK657" s="758"/>
      <c r="AL657" s="758"/>
      <c r="AM657" s="758"/>
      <c r="AN657" s="758"/>
      <c r="AO657" s="758"/>
      <c r="AP657" s="758"/>
      <c r="AQ657" s="758"/>
      <c r="AR657" s="758"/>
      <c r="AS657" s="758"/>
      <c r="AT657" s="758"/>
      <c r="AU657" s="758"/>
      <c r="AV657" s="758"/>
      <c r="AW657" s="758"/>
      <c r="AX657" s="758"/>
      <c r="AY657" s="758"/>
      <c r="AZ657" s="758"/>
      <c r="BA657" s="758"/>
      <c r="BB657" s="758"/>
      <c r="BC657" s="758"/>
      <c r="BD657" s="758"/>
      <c r="BE657" s="758"/>
      <c r="BF657" s="758"/>
      <c r="BG657" s="758"/>
      <c r="BH657" s="758"/>
      <c r="BI657" s="758"/>
      <c r="BJ657" s="758"/>
      <c r="BK657" s="758"/>
      <c r="BL657" s="758"/>
      <c r="BM657" s="758"/>
      <c r="BN657" s="758"/>
      <c r="BO657" s="758"/>
      <c r="BP657" s="758"/>
      <c r="BQ657" s="758"/>
      <c r="BR657" s="758"/>
      <c r="BS657" s="758"/>
      <c r="BT657" s="758"/>
      <c r="BU657" s="758"/>
      <c r="BV657" s="758"/>
      <c r="BW657" s="758"/>
      <c r="BX657" s="758"/>
      <c r="BY657" s="758"/>
      <c r="BZ657" s="758"/>
      <c r="CA657" s="758"/>
      <c r="CB657" s="758"/>
      <c r="CC657" s="758"/>
      <c r="CD657" s="758"/>
      <c r="CE657" s="758"/>
      <c r="CF657" s="758"/>
      <c r="CG657" s="758"/>
      <c r="CH657" s="758"/>
      <c r="CI657" s="758"/>
      <c r="CJ657" s="758"/>
      <c r="CK657" s="758"/>
      <c r="CL657" s="758"/>
      <c r="CM657" s="758"/>
      <c r="CN657" s="758"/>
    </row>
    <row r="658" spans="8:92">
      <c r="H658" s="602" t="s">
        <v>940</v>
      </c>
      <c r="L658" s="609"/>
      <c r="M658" s="609" t="s">
        <v>359</v>
      </c>
      <c r="N658" s="704" t="s">
        <v>929</v>
      </c>
      <c r="O658" s="704" t="s">
        <v>1193</v>
      </c>
      <c r="P658" s="704" t="s">
        <v>1194</v>
      </c>
      <c r="Q658" s="704" t="s">
        <v>1195</v>
      </c>
      <c r="R658" s="704" t="s">
        <v>1196</v>
      </c>
      <c r="S658" s="704" t="s">
        <v>1197</v>
      </c>
      <c r="T658" s="753"/>
      <c r="U658" s="692" t="s">
        <v>929</v>
      </c>
      <c r="AF658" s="753"/>
      <c r="AG658" s="704" t="s">
        <v>1193</v>
      </c>
      <c r="AR658" s="753"/>
      <c r="AS658" s="704" t="s">
        <v>1194</v>
      </c>
      <c r="BD658" s="753"/>
      <c r="BE658" s="704" t="s">
        <v>1195</v>
      </c>
      <c r="BP658" s="753"/>
      <c r="BQ658" s="704" t="s">
        <v>1196</v>
      </c>
      <c r="CB658" s="753"/>
      <c r="CC658" s="704" t="s">
        <v>1197</v>
      </c>
    </row>
    <row r="659" spans="8:92">
      <c r="H659" s="602" t="s">
        <v>940</v>
      </c>
      <c r="L659" s="611"/>
      <c r="M659" s="611"/>
      <c r="N659" s="754" t="s">
        <v>405</v>
      </c>
      <c r="O659" s="754" t="s">
        <v>405</v>
      </c>
      <c r="P659" s="754" t="s">
        <v>405</v>
      </c>
      <c r="Q659" s="754" t="s">
        <v>405</v>
      </c>
      <c r="R659" s="754" t="s">
        <v>405</v>
      </c>
      <c r="S659" s="754" t="s">
        <v>405</v>
      </c>
      <c r="T659" s="755"/>
      <c r="U659" s="754" t="s">
        <v>1259</v>
      </c>
      <c r="V659" s="754" t="s">
        <v>1260</v>
      </c>
      <c r="W659" s="754" t="s">
        <v>1261</v>
      </c>
      <c r="X659" s="754" t="s">
        <v>1262</v>
      </c>
      <c r="Y659" s="754" t="s">
        <v>947</v>
      </c>
      <c r="Z659" s="754" t="s">
        <v>1263</v>
      </c>
      <c r="AA659" s="754" t="s">
        <v>1264</v>
      </c>
      <c r="AB659" s="754" t="s">
        <v>1265</v>
      </c>
      <c r="AC659" s="754" t="s">
        <v>1266</v>
      </c>
      <c r="AD659" s="754" t="s">
        <v>1267</v>
      </c>
      <c r="AE659" s="754" t="s">
        <v>1268</v>
      </c>
      <c r="AF659" s="756" t="s">
        <v>1269</v>
      </c>
      <c r="AG659" s="754" t="s">
        <v>1259</v>
      </c>
      <c r="AH659" s="754" t="s">
        <v>1260</v>
      </c>
      <c r="AI659" s="754" t="s">
        <v>1261</v>
      </c>
      <c r="AJ659" s="754" t="s">
        <v>1262</v>
      </c>
      <c r="AK659" s="754" t="s">
        <v>947</v>
      </c>
      <c r="AL659" s="754" t="s">
        <v>1263</v>
      </c>
      <c r="AM659" s="754" t="s">
        <v>1264</v>
      </c>
      <c r="AN659" s="754" t="s">
        <v>1265</v>
      </c>
      <c r="AO659" s="754" t="s">
        <v>1266</v>
      </c>
      <c r="AP659" s="754" t="s">
        <v>1267</v>
      </c>
      <c r="AQ659" s="754" t="s">
        <v>1268</v>
      </c>
      <c r="AR659" s="756" t="s">
        <v>1269</v>
      </c>
      <c r="AS659" s="754" t="s">
        <v>1259</v>
      </c>
      <c r="AT659" s="754" t="s">
        <v>1260</v>
      </c>
      <c r="AU659" s="754" t="s">
        <v>1261</v>
      </c>
      <c r="AV659" s="754" t="s">
        <v>1262</v>
      </c>
      <c r="AW659" s="754" t="s">
        <v>947</v>
      </c>
      <c r="AX659" s="754" t="s">
        <v>1263</v>
      </c>
      <c r="AY659" s="754" t="s">
        <v>1264</v>
      </c>
      <c r="AZ659" s="754" t="s">
        <v>1265</v>
      </c>
      <c r="BA659" s="754" t="s">
        <v>1266</v>
      </c>
      <c r="BB659" s="754" t="s">
        <v>1267</v>
      </c>
      <c r="BC659" s="754" t="s">
        <v>1268</v>
      </c>
      <c r="BD659" s="756" t="s">
        <v>1269</v>
      </c>
      <c r="BE659" s="754" t="s">
        <v>1259</v>
      </c>
      <c r="BF659" s="754" t="s">
        <v>1260</v>
      </c>
      <c r="BG659" s="754" t="s">
        <v>1261</v>
      </c>
      <c r="BH659" s="754" t="s">
        <v>1262</v>
      </c>
      <c r="BI659" s="754" t="s">
        <v>947</v>
      </c>
      <c r="BJ659" s="754" t="s">
        <v>1263</v>
      </c>
      <c r="BK659" s="754" t="s">
        <v>1264</v>
      </c>
      <c r="BL659" s="754" t="s">
        <v>1265</v>
      </c>
      <c r="BM659" s="754" t="s">
        <v>1266</v>
      </c>
      <c r="BN659" s="754" t="s">
        <v>1267</v>
      </c>
      <c r="BO659" s="754" t="s">
        <v>1268</v>
      </c>
      <c r="BP659" s="756" t="s">
        <v>1269</v>
      </c>
      <c r="BQ659" s="754" t="s">
        <v>1259</v>
      </c>
      <c r="BR659" s="754" t="s">
        <v>1260</v>
      </c>
      <c r="BS659" s="754" t="s">
        <v>1261</v>
      </c>
      <c r="BT659" s="754" t="s">
        <v>1262</v>
      </c>
      <c r="BU659" s="754" t="s">
        <v>947</v>
      </c>
      <c r="BV659" s="754" t="s">
        <v>1263</v>
      </c>
      <c r="BW659" s="754" t="s">
        <v>1264</v>
      </c>
      <c r="BX659" s="754" t="s">
        <v>1265</v>
      </c>
      <c r="BY659" s="754" t="s">
        <v>1266</v>
      </c>
      <c r="BZ659" s="754" t="s">
        <v>1267</v>
      </c>
      <c r="CA659" s="754" t="s">
        <v>1268</v>
      </c>
      <c r="CB659" s="756" t="s">
        <v>1269</v>
      </c>
      <c r="CC659" s="754" t="s">
        <v>1259</v>
      </c>
      <c r="CD659" s="754" t="s">
        <v>1260</v>
      </c>
      <c r="CE659" s="754" t="s">
        <v>1261</v>
      </c>
      <c r="CF659" s="754" t="s">
        <v>1262</v>
      </c>
      <c r="CG659" s="754" t="s">
        <v>947</v>
      </c>
      <c r="CH659" s="754" t="s">
        <v>1263</v>
      </c>
      <c r="CI659" s="754" t="s">
        <v>1264</v>
      </c>
      <c r="CJ659" s="754" t="s">
        <v>1265</v>
      </c>
      <c r="CK659" s="754" t="s">
        <v>1266</v>
      </c>
      <c r="CL659" s="754" t="s">
        <v>1267</v>
      </c>
      <c r="CM659" s="754" t="s">
        <v>1268</v>
      </c>
      <c r="CN659" s="754" t="s">
        <v>1269</v>
      </c>
    </row>
    <row r="660" spans="8:92">
      <c r="H660" s="602" t="s">
        <v>940</v>
      </c>
      <c r="L660" s="609"/>
    </row>
    <row r="661" spans="8:92">
      <c r="H661" s="602" t="s">
        <v>940</v>
      </c>
      <c r="L661" s="618" t="s">
        <v>1290</v>
      </c>
      <c r="M661" s="600" t="s">
        <v>898</v>
      </c>
      <c r="N661" s="615" t="e">
        <f>SUM(U661:AF661)</f>
        <v>#N/A</v>
      </c>
      <c r="O661" s="615" t="e">
        <f>SUM(AG661:AR661)</f>
        <v>#N/A</v>
      </c>
      <c r="P661" s="615" t="e">
        <f>SUM(AS661:BD661)</f>
        <v>#N/A</v>
      </c>
      <c r="Q661" s="615" t="e">
        <f>SUM(BE661:BP661)</f>
        <v>#N/A</v>
      </c>
      <c r="R661" s="615" t="e">
        <f>SUM(BQ661:CB661)</f>
        <v>#N/A</v>
      </c>
      <c r="S661" s="615" t="e">
        <f>SUM(CC661:CN661)</f>
        <v>#N/A</v>
      </c>
      <c r="U661" s="615" t="e">
        <f>U493</f>
        <v>#N/A</v>
      </c>
      <c r="V661" s="615" t="e">
        <f t="shared" ref="V661:CG661" si="660">V493</f>
        <v>#N/A</v>
      </c>
      <c r="W661" s="615" t="e">
        <f t="shared" si="660"/>
        <v>#N/A</v>
      </c>
      <c r="X661" s="615" t="e">
        <f t="shared" si="660"/>
        <v>#N/A</v>
      </c>
      <c r="Y661" s="615" t="e">
        <f t="shared" si="660"/>
        <v>#N/A</v>
      </c>
      <c r="Z661" s="615" t="e">
        <f t="shared" si="660"/>
        <v>#N/A</v>
      </c>
      <c r="AA661" s="615" t="e">
        <f t="shared" si="660"/>
        <v>#N/A</v>
      </c>
      <c r="AB661" s="615" t="e">
        <f t="shared" si="660"/>
        <v>#N/A</v>
      </c>
      <c r="AC661" s="615" t="e">
        <f t="shared" si="660"/>
        <v>#N/A</v>
      </c>
      <c r="AD661" s="615" t="e">
        <f t="shared" si="660"/>
        <v>#N/A</v>
      </c>
      <c r="AE661" s="615" t="e">
        <f t="shared" si="660"/>
        <v>#N/A</v>
      </c>
      <c r="AF661" s="615" t="e">
        <f t="shared" si="660"/>
        <v>#N/A</v>
      </c>
      <c r="AG661" s="615" t="e">
        <f t="shared" si="660"/>
        <v>#N/A</v>
      </c>
      <c r="AH661" s="615" t="e">
        <f t="shared" si="660"/>
        <v>#N/A</v>
      </c>
      <c r="AI661" s="615" t="e">
        <f t="shared" si="660"/>
        <v>#N/A</v>
      </c>
      <c r="AJ661" s="615" t="e">
        <f t="shared" si="660"/>
        <v>#N/A</v>
      </c>
      <c r="AK661" s="615" t="e">
        <f t="shared" si="660"/>
        <v>#N/A</v>
      </c>
      <c r="AL661" s="615" t="e">
        <f t="shared" si="660"/>
        <v>#N/A</v>
      </c>
      <c r="AM661" s="615" t="e">
        <f t="shared" si="660"/>
        <v>#N/A</v>
      </c>
      <c r="AN661" s="615" t="e">
        <f t="shared" si="660"/>
        <v>#N/A</v>
      </c>
      <c r="AO661" s="615" t="e">
        <f t="shared" si="660"/>
        <v>#N/A</v>
      </c>
      <c r="AP661" s="615" t="e">
        <f t="shared" si="660"/>
        <v>#N/A</v>
      </c>
      <c r="AQ661" s="615" t="e">
        <f t="shared" si="660"/>
        <v>#N/A</v>
      </c>
      <c r="AR661" s="615" t="e">
        <f t="shared" si="660"/>
        <v>#N/A</v>
      </c>
      <c r="AS661" s="615" t="e">
        <f t="shared" si="660"/>
        <v>#N/A</v>
      </c>
      <c r="AT661" s="615" t="e">
        <f t="shared" si="660"/>
        <v>#N/A</v>
      </c>
      <c r="AU661" s="615" t="e">
        <f t="shared" si="660"/>
        <v>#N/A</v>
      </c>
      <c r="AV661" s="615" t="e">
        <f t="shared" si="660"/>
        <v>#N/A</v>
      </c>
      <c r="AW661" s="615" t="e">
        <f t="shared" si="660"/>
        <v>#N/A</v>
      </c>
      <c r="AX661" s="615" t="e">
        <f t="shared" si="660"/>
        <v>#N/A</v>
      </c>
      <c r="AY661" s="615" t="e">
        <f t="shared" si="660"/>
        <v>#N/A</v>
      </c>
      <c r="AZ661" s="615" t="e">
        <f t="shared" si="660"/>
        <v>#N/A</v>
      </c>
      <c r="BA661" s="615" t="e">
        <f t="shared" si="660"/>
        <v>#N/A</v>
      </c>
      <c r="BB661" s="615" t="e">
        <f t="shared" si="660"/>
        <v>#N/A</v>
      </c>
      <c r="BC661" s="615" t="e">
        <f t="shared" si="660"/>
        <v>#N/A</v>
      </c>
      <c r="BD661" s="615" t="e">
        <f t="shared" si="660"/>
        <v>#N/A</v>
      </c>
      <c r="BE661" s="615" t="e">
        <f t="shared" si="660"/>
        <v>#N/A</v>
      </c>
      <c r="BF661" s="615" t="e">
        <f t="shared" si="660"/>
        <v>#N/A</v>
      </c>
      <c r="BG661" s="615" t="e">
        <f t="shared" si="660"/>
        <v>#N/A</v>
      </c>
      <c r="BH661" s="615" t="e">
        <f t="shared" si="660"/>
        <v>#N/A</v>
      </c>
      <c r="BI661" s="615" t="e">
        <f t="shared" si="660"/>
        <v>#N/A</v>
      </c>
      <c r="BJ661" s="615" t="e">
        <f t="shared" si="660"/>
        <v>#N/A</v>
      </c>
      <c r="BK661" s="615" t="e">
        <f t="shared" si="660"/>
        <v>#N/A</v>
      </c>
      <c r="BL661" s="615" t="e">
        <f t="shared" si="660"/>
        <v>#N/A</v>
      </c>
      <c r="BM661" s="615" t="e">
        <f t="shared" si="660"/>
        <v>#N/A</v>
      </c>
      <c r="BN661" s="615" t="e">
        <f t="shared" si="660"/>
        <v>#N/A</v>
      </c>
      <c r="BO661" s="615" t="e">
        <f t="shared" si="660"/>
        <v>#N/A</v>
      </c>
      <c r="BP661" s="615" t="e">
        <f t="shared" si="660"/>
        <v>#N/A</v>
      </c>
      <c r="BQ661" s="615" t="e">
        <f t="shared" si="660"/>
        <v>#N/A</v>
      </c>
      <c r="BR661" s="615" t="e">
        <f t="shared" si="660"/>
        <v>#N/A</v>
      </c>
      <c r="BS661" s="615" t="e">
        <f t="shared" si="660"/>
        <v>#N/A</v>
      </c>
      <c r="BT661" s="615" t="e">
        <f t="shared" si="660"/>
        <v>#N/A</v>
      </c>
      <c r="BU661" s="615" t="e">
        <f t="shared" si="660"/>
        <v>#N/A</v>
      </c>
      <c r="BV661" s="615" t="e">
        <f t="shared" si="660"/>
        <v>#N/A</v>
      </c>
      <c r="BW661" s="615" t="e">
        <f t="shared" si="660"/>
        <v>#N/A</v>
      </c>
      <c r="BX661" s="615" t="e">
        <f t="shared" si="660"/>
        <v>#N/A</v>
      </c>
      <c r="BY661" s="615" t="e">
        <f t="shared" si="660"/>
        <v>#N/A</v>
      </c>
      <c r="BZ661" s="615" t="e">
        <f t="shared" si="660"/>
        <v>#N/A</v>
      </c>
      <c r="CA661" s="615" t="e">
        <f t="shared" si="660"/>
        <v>#N/A</v>
      </c>
      <c r="CB661" s="615" t="e">
        <f t="shared" si="660"/>
        <v>#N/A</v>
      </c>
      <c r="CC661" s="615" t="e">
        <f t="shared" si="660"/>
        <v>#N/A</v>
      </c>
      <c r="CD661" s="615" t="e">
        <f t="shared" si="660"/>
        <v>#N/A</v>
      </c>
      <c r="CE661" s="615" t="e">
        <f t="shared" si="660"/>
        <v>#N/A</v>
      </c>
      <c r="CF661" s="615" t="e">
        <f t="shared" si="660"/>
        <v>#N/A</v>
      </c>
      <c r="CG661" s="615" t="e">
        <f t="shared" si="660"/>
        <v>#N/A</v>
      </c>
      <c r="CH661" s="615" t="e">
        <f t="shared" ref="CH661:CN661" si="661">CH493</f>
        <v>#N/A</v>
      </c>
      <c r="CI661" s="615" t="e">
        <f t="shared" si="661"/>
        <v>#N/A</v>
      </c>
      <c r="CJ661" s="615" t="e">
        <f t="shared" si="661"/>
        <v>#N/A</v>
      </c>
      <c r="CK661" s="615" t="e">
        <f t="shared" si="661"/>
        <v>#N/A</v>
      </c>
      <c r="CL661" s="615" t="e">
        <f t="shared" si="661"/>
        <v>#N/A</v>
      </c>
      <c r="CM661" s="615" t="e">
        <f t="shared" si="661"/>
        <v>#N/A</v>
      </c>
      <c r="CN661" s="615" t="e">
        <f t="shared" si="661"/>
        <v>#N/A</v>
      </c>
    </row>
    <row r="662" spans="8:92">
      <c r="H662" s="602" t="s">
        <v>940</v>
      </c>
      <c r="L662" s="609"/>
      <c r="N662" s="615"/>
      <c r="O662" s="615"/>
      <c r="P662" s="615"/>
      <c r="Q662" s="615"/>
      <c r="R662" s="615"/>
      <c r="S662" s="615"/>
    </row>
    <row r="663" spans="8:92">
      <c r="H663" s="602" t="s">
        <v>940</v>
      </c>
      <c r="L663" s="618" t="s">
        <v>1296</v>
      </c>
      <c r="M663" s="600" t="s">
        <v>898</v>
      </c>
      <c r="N663" s="615" t="e">
        <f>SUM(U663:AF663)</f>
        <v>#N/A</v>
      </c>
      <c r="O663" s="615" t="e">
        <f>SUM(AG663:AR663)</f>
        <v>#N/A</v>
      </c>
      <c r="P663" s="615" t="e">
        <f>SUM(AS663:BD663)</f>
        <v>#N/A</v>
      </c>
      <c r="Q663" s="615" t="e">
        <f>SUM(BE663:BP663)</f>
        <v>#N/A</v>
      </c>
      <c r="R663" s="615" t="e">
        <f>SUM(BQ663:CB663)</f>
        <v>#N/A</v>
      </c>
      <c r="S663" s="615" t="e">
        <f>SUM(CC663:CN663)</f>
        <v>#N/A</v>
      </c>
      <c r="U663" s="615" t="e">
        <f t="shared" ref="U663:AF663" si="662">MIN(U661,N$422)</f>
        <v>#N/A</v>
      </c>
      <c r="V663" s="615" t="e">
        <f t="shared" si="662"/>
        <v>#N/A</v>
      </c>
      <c r="W663" s="615" t="e">
        <f t="shared" si="662"/>
        <v>#N/A</v>
      </c>
      <c r="X663" s="615" t="e">
        <f t="shared" si="662"/>
        <v>#N/A</v>
      </c>
      <c r="Y663" s="615" t="e">
        <f t="shared" si="662"/>
        <v>#N/A</v>
      </c>
      <c r="Z663" s="615" t="e">
        <f t="shared" si="662"/>
        <v>#N/A</v>
      </c>
      <c r="AA663" s="615" t="e">
        <f t="shared" si="662"/>
        <v>#N/A</v>
      </c>
      <c r="AB663" s="615" t="e">
        <f t="shared" si="662"/>
        <v>#N/A</v>
      </c>
      <c r="AC663" s="615" t="e">
        <f t="shared" si="662"/>
        <v>#N/A</v>
      </c>
      <c r="AD663" s="615" t="e">
        <f t="shared" si="662"/>
        <v>#N/A</v>
      </c>
      <c r="AE663" s="615" t="e">
        <f t="shared" si="662"/>
        <v>#N/A</v>
      </c>
      <c r="AF663" s="615" t="e">
        <f t="shared" si="662"/>
        <v>#N/A</v>
      </c>
      <c r="AG663" s="615" t="e">
        <f t="shared" ref="AG663:AR663" si="663">MIN(AG661,N$422)</f>
        <v>#N/A</v>
      </c>
      <c r="AH663" s="615" t="e">
        <f t="shared" si="663"/>
        <v>#N/A</v>
      </c>
      <c r="AI663" s="615" t="e">
        <f t="shared" si="663"/>
        <v>#N/A</v>
      </c>
      <c r="AJ663" s="615" t="e">
        <f t="shared" si="663"/>
        <v>#N/A</v>
      </c>
      <c r="AK663" s="615" t="e">
        <f t="shared" si="663"/>
        <v>#N/A</v>
      </c>
      <c r="AL663" s="615" t="e">
        <f t="shared" si="663"/>
        <v>#N/A</v>
      </c>
      <c r="AM663" s="615" t="e">
        <f t="shared" si="663"/>
        <v>#N/A</v>
      </c>
      <c r="AN663" s="615" t="e">
        <f t="shared" si="663"/>
        <v>#N/A</v>
      </c>
      <c r="AO663" s="615" t="e">
        <f t="shared" si="663"/>
        <v>#N/A</v>
      </c>
      <c r="AP663" s="615" t="e">
        <f t="shared" si="663"/>
        <v>#N/A</v>
      </c>
      <c r="AQ663" s="615" t="e">
        <f t="shared" si="663"/>
        <v>#N/A</v>
      </c>
      <c r="AR663" s="615" t="e">
        <f t="shared" si="663"/>
        <v>#N/A</v>
      </c>
      <c r="AS663" s="615" t="e">
        <f t="shared" ref="AS663:BD663" si="664">MIN(AS661,N$422)</f>
        <v>#N/A</v>
      </c>
      <c r="AT663" s="615" t="e">
        <f t="shared" si="664"/>
        <v>#N/A</v>
      </c>
      <c r="AU663" s="615" t="e">
        <f t="shared" si="664"/>
        <v>#N/A</v>
      </c>
      <c r="AV663" s="615" t="e">
        <f t="shared" si="664"/>
        <v>#N/A</v>
      </c>
      <c r="AW663" s="615" t="e">
        <f t="shared" si="664"/>
        <v>#N/A</v>
      </c>
      <c r="AX663" s="615" t="e">
        <f t="shared" si="664"/>
        <v>#N/A</v>
      </c>
      <c r="AY663" s="615" t="e">
        <f t="shared" si="664"/>
        <v>#N/A</v>
      </c>
      <c r="AZ663" s="615" t="e">
        <f t="shared" si="664"/>
        <v>#N/A</v>
      </c>
      <c r="BA663" s="615" t="e">
        <f t="shared" si="664"/>
        <v>#N/A</v>
      </c>
      <c r="BB663" s="615" t="e">
        <f t="shared" si="664"/>
        <v>#N/A</v>
      </c>
      <c r="BC663" s="615" t="e">
        <f t="shared" si="664"/>
        <v>#N/A</v>
      </c>
      <c r="BD663" s="615" t="e">
        <f t="shared" si="664"/>
        <v>#N/A</v>
      </c>
      <c r="BE663" s="615" t="e">
        <f t="shared" ref="BE663:BP663" si="665">MIN(BE661,N$422)</f>
        <v>#N/A</v>
      </c>
      <c r="BF663" s="615" t="e">
        <f t="shared" si="665"/>
        <v>#N/A</v>
      </c>
      <c r="BG663" s="615" t="e">
        <f t="shared" si="665"/>
        <v>#N/A</v>
      </c>
      <c r="BH663" s="615" t="e">
        <f t="shared" si="665"/>
        <v>#N/A</v>
      </c>
      <c r="BI663" s="615" t="e">
        <f t="shared" si="665"/>
        <v>#N/A</v>
      </c>
      <c r="BJ663" s="615" t="e">
        <f t="shared" si="665"/>
        <v>#N/A</v>
      </c>
      <c r="BK663" s="615" t="e">
        <f t="shared" si="665"/>
        <v>#N/A</v>
      </c>
      <c r="BL663" s="615" t="e">
        <f t="shared" si="665"/>
        <v>#N/A</v>
      </c>
      <c r="BM663" s="615" t="e">
        <f t="shared" si="665"/>
        <v>#N/A</v>
      </c>
      <c r="BN663" s="615" t="e">
        <f t="shared" si="665"/>
        <v>#N/A</v>
      </c>
      <c r="BO663" s="615" t="e">
        <f t="shared" si="665"/>
        <v>#N/A</v>
      </c>
      <c r="BP663" s="615" t="e">
        <f t="shared" si="665"/>
        <v>#N/A</v>
      </c>
      <c r="BQ663" s="615" t="e">
        <f t="shared" ref="BQ663:CB663" si="666">MIN(BQ661,N$422)</f>
        <v>#N/A</v>
      </c>
      <c r="BR663" s="615" t="e">
        <f t="shared" si="666"/>
        <v>#N/A</v>
      </c>
      <c r="BS663" s="615" t="e">
        <f t="shared" si="666"/>
        <v>#N/A</v>
      </c>
      <c r="BT663" s="615" t="e">
        <f t="shared" si="666"/>
        <v>#N/A</v>
      </c>
      <c r="BU663" s="615" t="e">
        <f t="shared" si="666"/>
        <v>#N/A</v>
      </c>
      <c r="BV663" s="615" t="e">
        <f t="shared" si="666"/>
        <v>#N/A</v>
      </c>
      <c r="BW663" s="615" t="e">
        <f t="shared" si="666"/>
        <v>#N/A</v>
      </c>
      <c r="BX663" s="615" t="e">
        <f t="shared" si="666"/>
        <v>#N/A</v>
      </c>
      <c r="BY663" s="615" t="e">
        <f t="shared" si="666"/>
        <v>#N/A</v>
      </c>
      <c r="BZ663" s="615" t="e">
        <f t="shared" si="666"/>
        <v>#N/A</v>
      </c>
      <c r="CA663" s="615" t="e">
        <f t="shared" si="666"/>
        <v>#N/A</v>
      </c>
      <c r="CB663" s="615" t="e">
        <f t="shared" si="666"/>
        <v>#N/A</v>
      </c>
      <c r="CC663" s="615" t="e">
        <f t="shared" ref="CC663:CN663" si="667">MIN(CC661,N$422)</f>
        <v>#N/A</v>
      </c>
      <c r="CD663" s="615" t="e">
        <f t="shared" si="667"/>
        <v>#N/A</v>
      </c>
      <c r="CE663" s="615" t="e">
        <f t="shared" si="667"/>
        <v>#N/A</v>
      </c>
      <c r="CF663" s="615" t="e">
        <f t="shared" si="667"/>
        <v>#N/A</v>
      </c>
      <c r="CG663" s="615" t="e">
        <f t="shared" si="667"/>
        <v>#N/A</v>
      </c>
      <c r="CH663" s="615" t="e">
        <f t="shared" si="667"/>
        <v>#N/A</v>
      </c>
      <c r="CI663" s="615" t="e">
        <f t="shared" si="667"/>
        <v>#N/A</v>
      </c>
      <c r="CJ663" s="615" t="e">
        <f t="shared" si="667"/>
        <v>#N/A</v>
      </c>
      <c r="CK663" s="615" t="e">
        <f t="shared" si="667"/>
        <v>#N/A</v>
      </c>
      <c r="CL663" s="615" t="e">
        <f t="shared" si="667"/>
        <v>#N/A</v>
      </c>
      <c r="CM663" s="615" t="e">
        <f t="shared" si="667"/>
        <v>#N/A</v>
      </c>
      <c r="CN663" s="615" t="e">
        <f t="shared" si="667"/>
        <v>#N/A</v>
      </c>
    </row>
    <row r="664" spans="8:92">
      <c r="H664" s="602" t="s">
        <v>940</v>
      </c>
      <c r="L664" s="618" t="s">
        <v>1297</v>
      </c>
      <c r="M664" s="600" t="s">
        <v>898</v>
      </c>
      <c r="N664" s="615" t="e">
        <f>SUM(U664:AF664)</f>
        <v>#N/A</v>
      </c>
      <c r="O664" s="615" t="e">
        <f>SUM(AG664:AR664)</f>
        <v>#N/A</v>
      </c>
      <c r="P664" s="615" t="e">
        <f>SUM(AS664:BD664)</f>
        <v>#N/A</v>
      </c>
      <c r="Q664" s="615" t="e">
        <f>SUM(BE664:BP664)</f>
        <v>#N/A</v>
      </c>
      <c r="R664" s="615" t="e">
        <f>SUM(BQ664:CB664)</f>
        <v>#N/A</v>
      </c>
      <c r="S664" s="615" t="e">
        <f>SUM(CC664:CN664)</f>
        <v>#N/A</v>
      </c>
      <c r="U664" s="615" t="e">
        <f t="shared" ref="U664:AF664" si="668">MIN(U661-U663,N$423)</f>
        <v>#N/A</v>
      </c>
      <c r="V664" s="615" t="e">
        <f t="shared" si="668"/>
        <v>#N/A</v>
      </c>
      <c r="W664" s="615" t="e">
        <f t="shared" si="668"/>
        <v>#N/A</v>
      </c>
      <c r="X664" s="615" t="e">
        <f t="shared" si="668"/>
        <v>#N/A</v>
      </c>
      <c r="Y664" s="615" t="e">
        <f t="shared" si="668"/>
        <v>#N/A</v>
      </c>
      <c r="Z664" s="615" t="e">
        <f t="shared" si="668"/>
        <v>#N/A</v>
      </c>
      <c r="AA664" s="615" t="e">
        <f t="shared" si="668"/>
        <v>#N/A</v>
      </c>
      <c r="AB664" s="615" t="e">
        <f t="shared" si="668"/>
        <v>#N/A</v>
      </c>
      <c r="AC664" s="615" t="e">
        <f t="shared" si="668"/>
        <v>#N/A</v>
      </c>
      <c r="AD664" s="615" t="e">
        <f t="shared" si="668"/>
        <v>#N/A</v>
      </c>
      <c r="AE664" s="615" t="e">
        <f t="shared" si="668"/>
        <v>#N/A</v>
      </c>
      <c r="AF664" s="615" t="e">
        <f t="shared" si="668"/>
        <v>#N/A</v>
      </c>
      <c r="AG664" s="615" t="e">
        <f t="shared" ref="AG664:AR664" si="669">MIN(AG661-AG663,N$423)</f>
        <v>#N/A</v>
      </c>
      <c r="AH664" s="615" t="e">
        <f t="shared" si="669"/>
        <v>#N/A</v>
      </c>
      <c r="AI664" s="615" t="e">
        <f t="shared" si="669"/>
        <v>#N/A</v>
      </c>
      <c r="AJ664" s="615" t="e">
        <f t="shared" si="669"/>
        <v>#N/A</v>
      </c>
      <c r="AK664" s="615" t="e">
        <f t="shared" si="669"/>
        <v>#N/A</v>
      </c>
      <c r="AL664" s="615" t="e">
        <f t="shared" si="669"/>
        <v>#N/A</v>
      </c>
      <c r="AM664" s="615" t="e">
        <f t="shared" si="669"/>
        <v>#N/A</v>
      </c>
      <c r="AN664" s="615" t="e">
        <f t="shared" si="669"/>
        <v>#N/A</v>
      </c>
      <c r="AO664" s="615" t="e">
        <f t="shared" si="669"/>
        <v>#N/A</v>
      </c>
      <c r="AP664" s="615" t="e">
        <f t="shared" si="669"/>
        <v>#N/A</v>
      </c>
      <c r="AQ664" s="615" t="e">
        <f t="shared" si="669"/>
        <v>#N/A</v>
      </c>
      <c r="AR664" s="615" t="e">
        <f t="shared" si="669"/>
        <v>#N/A</v>
      </c>
      <c r="AS664" s="615" t="e">
        <f t="shared" ref="AS664:BD664" si="670">MIN(AS661-AS663,N$423)</f>
        <v>#N/A</v>
      </c>
      <c r="AT664" s="615" t="e">
        <f t="shared" si="670"/>
        <v>#N/A</v>
      </c>
      <c r="AU664" s="615" t="e">
        <f t="shared" si="670"/>
        <v>#N/A</v>
      </c>
      <c r="AV664" s="615" t="e">
        <f t="shared" si="670"/>
        <v>#N/A</v>
      </c>
      <c r="AW664" s="615" t="e">
        <f t="shared" si="670"/>
        <v>#N/A</v>
      </c>
      <c r="AX664" s="615" t="e">
        <f t="shared" si="670"/>
        <v>#N/A</v>
      </c>
      <c r="AY664" s="615" t="e">
        <f t="shared" si="670"/>
        <v>#N/A</v>
      </c>
      <c r="AZ664" s="615" t="e">
        <f t="shared" si="670"/>
        <v>#N/A</v>
      </c>
      <c r="BA664" s="615" t="e">
        <f t="shared" si="670"/>
        <v>#N/A</v>
      </c>
      <c r="BB664" s="615" t="e">
        <f t="shared" si="670"/>
        <v>#N/A</v>
      </c>
      <c r="BC664" s="615" t="e">
        <f t="shared" si="670"/>
        <v>#N/A</v>
      </c>
      <c r="BD664" s="615" t="e">
        <f t="shared" si="670"/>
        <v>#N/A</v>
      </c>
      <c r="BE664" s="615" t="e">
        <f t="shared" ref="BE664:BP664" si="671">MIN(BE661-BE663,N$423)</f>
        <v>#N/A</v>
      </c>
      <c r="BF664" s="615" t="e">
        <f t="shared" si="671"/>
        <v>#N/A</v>
      </c>
      <c r="BG664" s="615" t="e">
        <f t="shared" si="671"/>
        <v>#N/A</v>
      </c>
      <c r="BH664" s="615" t="e">
        <f t="shared" si="671"/>
        <v>#N/A</v>
      </c>
      <c r="BI664" s="615" t="e">
        <f t="shared" si="671"/>
        <v>#N/A</v>
      </c>
      <c r="BJ664" s="615" t="e">
        <f t="shared" si="671"/>
        <v>#N/A</v>
      </c>
      <c r="BK664" s="615" t="e">
        <f t="shared" si="671"/>
        <v>#N/A</v>
      </c>
      <c r="BL664" s="615" t="e">
        <f t="shared" si="671"/>
        <v>#N/A</v>
      </c>
      <c r="BM664" s="615" t="e">
        <f t="shared" si="671"/>
        <v>#N/A</v>
      </c>
      <c r="BN664" s="615" t="e">
        <f t="shared" si="671"/>
        <v>#N/A</v>
      </c>
      <c r="BO664" s="615" t="e">
        <f t="shared" si="671"/>
        <v>#N/A</v>
      </c>
      <c r="BP664" s="615" t="e">
        <f t="shared" si="671"/>
        <v>#N/A</v>
      </c>
      <c r="BQ664" s="615" t="e">
        <f t="shared" ref="BQ664:CB664" si="672">MIN(BQ661-BQ663,N$423)</f>
        <v>#N/A</v>
      </c>
      <c r="BR664" s="615" t="e">
        <f t="shared" si="672"/>
        <v>#N/A</v>
      </c>
      <c r="BS664" s="615" t="e">
        <f t="shared" si="672"/>
        <v>#N/A</v>
      </c>
      <c r="BT664" s="615" t="e">
        <f t="shared" si="672"/>
        <v>#N/A</v>
      </c>
      <c r="BU664" s="615" t="e">
        <f t="shared" si="672"/>
        <v>#N/A</v>
      </c>
      <c r="BV664" s="615" t="e">
        <f t="shared" si="672"/>
        <v>#N/A</v>
      </c>
      <c r="BW664" s="615" t="e">
        <f t="shared" si="672"/>
        <v>#N/A</v>
      </c>
      <c r="BX664" s="615" t="e">
        <f t="shared" si="672"/>
        <v>#N/A</v>
      </c>
      <c r="BY664" s="615" t="e">
        <f t="shared" si="672"/>
        <v>#N/A</v>
      </c>
      <c r="BZ664" s="615" t="e">
        <f t="shared" si="672"/>
        <v>#N/A</v>
      </c>
      <c r="CA664" s="615" t="e">
        <f t="shared" si="672"/>
        <v>#N/A</v>
      </c>
      <c r="CB664" s="615" t="e">
        <f t="shared" si="672"/>
        <v>#N/A</v>
      </c>
      <c r="CC664" s="615" t="e">
        <f t="shared" ref="CC664:CN664" si="673">MIN(CC661-CC663,N$423)</f>
        <v>#N/A</v>
      </c>
      <c r="CD664" s="615" t="e">
        <f t="shared" si="673"/>
        <v>#N/A</v>
      </c>
      <c r="CE664" s="615" t="e">
        <f t="shared" si="673"/>
        <v>#N/A</v>
      </c>
      <c r="CF664" s="615" t="e">
        <f t="shared" si="673"/>
        <v>#N/A</v>
      </c>
      <c r="CG664" s="615" t="e">
        <f t="shared" si="673"/>
        <v>#N/A</v>
      </c>
      <c r="CH664" s="615" t="e">
        <f t="shared" si="673"/>
        <v>#N/A</v>
      </c>
      <c r="CI664" s="615" t="e">
        <f t="shared" si="673"/>
        <v>#N/A</v>
      </c>
      <c r="CJ664" s="615" t="e">
        <f t="shared" si="673"/>
        <v>#N/A</v>
      </c>
      <c r="CK664" s="615" t="e">
        <f t="shared" si="673"/>
        <v>#N/A</v>
      </c>
      <c r="CL664" s="615" t="e">
        <f t="shared" si="673"/>
        <v>#N/A</v>
      </c>
      <c r="CM664" s="615" t="e">
        <f t="shared" si="673"/>
        <v>#N/A</v>
      </c>
      <c r="CN664" s="615" t="e">
        <f t="shared" si="673"/>
        <v>#N/A</v>
      </c>
    </row>
    <row r="665" spans="8:92">
      <c r="H665" s="602" t="s">
        <v>940</v>
      </c>
      <c r="L665" s="618" t="s">
        <v>1298</v>
      </c>
      <c r="M665" s="600" t="s">
        <v>898</v>
      </c>
      <c r="N665" s="615" t="e">
        <f>SUM(U665:AF665)</f>
        <v>#N/A</v>
      </c>
      <c r="O665" s="615" t="e">
        <f>SUM(AG665:AR665)</f>
        <v>#N/A</v>
      </c>
      <c r="P665" s="615" t="e">
        <f>SUM(AS665:BD665)</f>
        <v>#N/A</v>
      </c>
      <c r="Q665" s="615" t="e">
        <f>SUM(BE665:BP665)</f>
        <v>#N/A</v>
      </c>
      <c r="R665" s="615" t="e">
        <f>SUM(BQ665:CB665)</f>
        <v>#N/A</v>
      </c>
      <c r="S665" s="615" t="e">
        <f>SUM(CC665:CN665)</f>
        <v>#N/A</v>
      </c>
      <c r="U665" s="615" t="e">
        <f t="shared" ref="U665:AF665" si="674">MIN(U661-(U663+U664),N$424)</f>
        <v>#N/A</v>
      </c>
      <c r="V665" s="615" t="e">
        <f t="shared" si="674"/>
        <v>#N/A</v>
      </c>
      <c r="W665" s="615" t="e">
        <f t="shared" si="674"/>
        <v>#N/A</v>
      </c>
      <c r="X665" s="615" t="e">
        <f t="shared" si="674"/>
        <v>#N/A</v>
      </c>
      <c r="Y665" s="615" t="e">
        <f t="shared" si="674"/>
        <v>#N/A</v>
      </c>
      <c r="Z665" s="615" t="e">
        <f t="shared" si="674"/>
        <v>#N/A</v>
      </c>
      <c r="AA665" s="615" t="e">
        <f t="shared" si="674"/>
        <v>#N/A</v>
      </c>
      <c r="AB665" s="615" t="e">
        <f t="shared" si="674"/>
        <v>#N/A</v>
      </c>
      <c r="AC665" s="615" t="e">
        <f t="shared" si="674"/>
        <v>#N/A</v>
      </c>
      <c r="AD665" s="615" t="e">
        <f t="shared" si="674"/>
        <v>#N/A</v>
      </c>
      <c r="AE665" s="615" t="e">
        <f t="shared" si="674"/>
        <v>#N/A</v>
      </c>
      <c r="AF665" s="615" t="e">
        <f t="shared" si="674"/>
        <v>#N/A</v>
      </c>
      <c r="AG665" s="615" t="e">
        <f t="shared" ref="AG665:AR665" si="675">MIN(AG661-(AG663+AG664),N$424)</f>
        <v>#N/A</v>
      </c>
      <c r="AH665" s="615" t="e">
        <f t="shared" si="675"/>
        <v>#N/A</v>
      </c>
      <c r="AI665" s="615" t="e">
        <f t="shared" si="675"/>
        <v>#N/A</v>
      </c>
      <c r="AJ665" s="615" t="e">
        <f t="shared" si="675"/>
        <v>#N/A</v>
      </c>
      <c r="AK665" s="615" t="e">
        <f t="shared" si="675"/>
        <v>#N/A</v>
      </c>
      <c r="AL665" s="615" t="e">
        <f t="shared" si="675"/>
        <v>#N/A</v>
      </c>
      <c r="AM665" s="615" t="e">
        <f t="shared" si="675"/>
        <v>#N/A</v>
      </c>
      <c r="AN665" s="615" t="e">
        <f t="shared" si="675"/>
        <v>#N/A</v>
      </c>
      <c r="AO665" s="615" t="e">
        <f t="shared" si="675"/>
        <v>#N/A</v>
      </c>
      <c r="AP665" s="615" t="e">
        <f t="shared" si="675"/>
        <v>#N/A</v>
      </c>
      <c r="AQ665" s="615" t="e">
        <f t="shared" si="675"/>
        <v>#N/A</v>
      </c>
      <c r="AR665" s="615" t="e">
        <f t="shared" si="675"/>
        <v>#N/A</v>
      </c>
      <c r="AS665" s="615" t="e">
        <f t="shared" ref="AS665:BD665" si="676">MIN(AS661-(AS663+AS664),N$424)</f>
        <v>#N/A</v>
      </c>
      <c r="AT665" s="615" t="e">
        <f t="shared" si="676"/>
        <v>#N/A</v>
      </c>
      <c r="AU665" s="615" t="e">
        <f t="shared" si="676"/>
        <v>#N/A</v>
      </c>
      <c r="AV665" s="615" t="e">
        <f t="shared" si="676"/>
        <v>#N/A</v>
      </c>
      <c r="AW665" s="615" t="e">
        <f t="shared" si="676"/>
        <v>#N/A</v>
      </c>
      <c r="AX665" s="615" t="e">
        <f t="shared" si="676"/>
        <v>#N/A</v>
      </c>
      <c r="AY665" s="615" t="e">
        <f t="shared" si="676"/>
        <v>#N/A</v>
      </c>
      <c r="AZ665" s="615" t="e">
        <f t="shared" si="676"/>
        <v>#N/A</v>
      </c>
      <c r="BA665" s="615" t="e">
        <f t="shared" si="676"/>
        <v>#N/A</v>
      </c>
      <c r="BB665" s="615" t="e">
        <f t="shared" si="676"/>
        <v>#N/A</v>
      </c>
      <c r="BC665" s="615" t="e">
        <f t="shared" si="676"/>
        <v>#N/A</v>
      </c>
      <c r="BD665" s="615" t="e">
        <f t="shared" si="676"/>
        <v>#N/A</v>
      </c>
      <c r="BE665" s="615" t="e">
        <f t="shared" ref="BE665:BP665" si="677">MIN(BE661-(BE663+BE664),N$424)</f>
        <v>#N/A</v>
      </c>
      <c r="BF665" s="615" t="e">
        <f t="shared" si="677"/>
        <v>#N/A</v>
      </c>
      <c r="BG665" s="615" t="e">
        <f t="shared" si="677"/>
        <v>#N/A</v>
      </c>
      <c r="BH665" s="615" t="e">
        <f t="shared" si="677"/>
        <v>#N/A</v>
      </c>
      <c r="BI665" s="615" t="e">
        <f t="shared" si="677"/>
        <v>#N/A</v>
      </c>
      <c r="BJ665" s="615" t="e">
        <f t="shared" si="677"/>
        <v>#N/A</v>
      </c>
      <c r="BK665" s="615" t="e">
        <f t="shared" si="677"/>
        <v>#N/A</v>
      </c>
      <c r="BL665" s="615" t="e">
        <f t="shared" si="677"/>
        <v>#N/A</v>
      </c>
      <c r="BM665" s="615" t="e">
        <f t="shared" si="677"/>
        <v>#N/A</v>
      </c>
      <c r="BN665" s="615" t="e">
        <f t="shared" si="677"/>
        <v>#N/A</v>
      </c>
      <c r="BO665" s="615" t="e">
        <f t="shared" si="677"/>
        <v>#N/A</v>
      </c>
      <c r="BP665" s="615" t="e">
        <f t="shared" si="677"/>
        <v>#N/A</v>
      </c>
      <c r="BQ665" s="615" t="e">
        <f t="shared" ref="BQ665:CB665" si="678">MIN(BQ661-(BQ663+BQ664),N$424)</f>
        <v>#N/A</v>
      </c>
      <c r="BR665" s="615" t="e">
        <f t="shared" si="678"/>
        <v>#N/A</v>
      </c>
      <c r="BS665" s="615" t="e">
        <f t="shared" si="678"/>
        <v>#N/A</v>
      </c>
      <c r="BT665" s="615" t="e">
        <f t="shared" si="678"/>
        <v>#N/A</v>
      </c>
      <c r="BU665" s="615" t="e">
        <f t="shared" si="678"/>
        <v>#N/A</v>
      </c>
      <c r="BV665" s="615" t="e">
        <f t="shared" si="678"/>
        <v>#N/A</v>
      </c>
      <c r="BW665" s="615" t="e">
        <f t="shared" si="678"/>
        <v>#N/A</v>
      </c>
      <c r="BX665" s="615" t="e">
        <f t="shared" si="678"/>
        <v>#N/A</v>
      </c>
      <c r="BY665" s="615" t="e">
        <f t="shared" si="678"/>
        <v>#N/A</v>
      </c>
      <c r="BZ665" s="615" t="e">
        <f t="shared" si="678"/>
        <v>#N/A</v>
      </c>
      <c r="CA665" s="615" t="e">
        <f t="shared" si="678"/>
        <v>#N/A</v>
      </c>
      <c r="CB665" s="615" t="e">
        <f t="shared" si="678"/>
        <v>#N/A</v>
      </c>
      <c r="CC665" s="615" t="e">
        <f t="shared" ref="CC665:CN665" si="679">MIN(CC661-(CC663+CC664),N$424)</f>
        <v>#N/A</v>
      </c>
      <c r="CD665" s="615" t="e">
        <f t="shared" si="679"/>
        <v>#N/A</v>
      </c>
      <c r="CE665" s="615" t="e">
        <f t="shared" si="679"/>
        <v>#N/A</v>
      </c>
      <c r="CF665" s="615" t="e">
        <f t="shared" si="679"/>
        <v>#N/A</v>
      </c>
      <c r="CG665" s="615" t="e">
        <f t="shared" si="679"/>
        <v>#N/A</v>
      </c>
      <c r="CH665" s="615" t="e">
        <f t="shared" si="679"/>
        <v>#N/A</v>
      </c>
      <c r="CI665" s="615" t="e">
        <f t="shared" si="679"/>
        <v>#N/A</v>
      </c>
      <c r="CJ665" s="615" t="e">
        <f t="shared" si="679"/>
        <v>#N/A</v>
      </c>
      <c r="CK665" s="615" t="e">
        <f t="shared" si="679"/>
        <v>#N/A</v>
      </c>
      <c r="CL665" s="615" t="e">
        <f t="shared" si="679"/>
        <v>#N/A</v>
      </c>
      <c r="CM665" s="615" t="e">
        <f t="shared" si="679"/>
        <v>#N/A</v>
      </c>
      <c r="CN665" s="615" t="e">
        <f t="shared" si="679"/>
        <v>#N/A</v>
      </c>
    </row>
    <row r="666" spans="8:92">
      <c r="H666" s="602" t="s">
        <v>940</v>
      </c>
      <c r="L666" s="618" t="s">
        <v>1299</v>
      </c>
      <c r="M666" s="600" t="s">
        <v>898</v>
      </c>
      <c r="N666" s="615" t="e">
        <f>SUM(U666:AF666)</f>
        <v>#N/A</v>
      </c>
      <c r="O666" s="615" t="e">
        <f>SUM(AG666:AR666)</f>
        <v>#N/A</v>
      </c>
      <c r="P666" s="615" t="e">
        <f>SUM(AS666:BD666)</f>
        <v>#N/A</v>
      </c>
      <c r="Q666" s="615" t="e">
        <f>SUM(BE666:BP666)</f>
        <v>#N/A</v>
      </c>
      <c r="R666" s="615" t="e">
        <f>SUM(BQ666:CB666)</f>
        <v>#N/A</v>
      </c>
      <c r="S666" s="615" t="e">
        <f>SUM(CC666:CN666)</f>
        <v>#N/A</v>
      </c>
      <c r="U666" s="615" t="e">
        <f t="shared" ref="U666:AF666" si="680">MIN(U661-(U663+U664+U665),N$425)</f>
        <v>#N/A</v>
      </c>
      <c r="V666" s="615" t="e">
        <f t="shared" si="680"/>
        <v>#N/A</v>
      </c>
      <c r="W666" s="615" t="e">
        <f t="shared" si="680"/>
        <v>#N/A</v>
      </c>
      <c r="X666" s="615" t="e">
        <f t="shared" si="680"/>
        <v>#N/A</v>
      </c>
      <c r="Y666" s="615" t="e">
        <f t="shared" si="680"/>
        <v>#N/A</v>
      </c>
      <c r="Z666" s="615" t="e">
        <f t="shared" si="680"/>
        <v>#N/A</v>
      </c>
      <c r="AA666" s="615" t="e">
        <f t="shared" si="680"/>
        <v>#N/A</v>
      </c>
      <c r="AB666" s="615" t="e">
        <f t="shared" si="680"/>
        <v>#N/A</v>
      </c>
      <c r="AC666" s="615" t="e">
        <f t="shared" si="680"/>
        <v>#N/A</v>
      </c>
      <c r="AD666" s="615" t="e">
        <f t="shared" si="680"/>
        <v>#N/A</v>
      </c>
      <c r="AE666" s="615" t="e">
        <f t="shared" si="680"/>
        <v>#N/A</v>
      </c>
      <c r="AF666" s="615" t="e">
        <f t="shared" si="680"/>
        <v>#N/A</v>
      </c>
      <c r="AG666" s="615" t="e">
        <f t="shared" ref="AG666:AR666" si="681">MIN(AG661-(AG663+AG664+AG665),N$425)</f>
        <v>#N/A</v>
      </c>
      <c r="AH666" s="615" t="e">
        <f t="shared" si="681"/>
        <v>#N/A</v>
      </c>
      <c r="AI666" s="615" t="e">
        <f t="shared" si="681"/>
        <v>#N/A</v>
      </c>
      <c r="AJ666" s="615" t="e">
        <f t="shared" si="681"/>
        <v>#N/A</v>
      </c>
      <c r="AK666" s="615" t="e">
        <f t="shared" si="681"/>
        <v>#N/A</v>
      </c>
      <c r="AL666" s="615" t="e">
        <f t="shared" si="681"/>
        <v>#N/A</v>
      </c>
      <c r="AM666" s="615" t="e">
        <f t="shared" si="681"/>
        <v>#N/A</v>
      </c>
      <c r="AN666" s="615" t="e">
        <f t="shared" si="681"/>
        <v>#N/A</v>
      </c>
      <c r="AO666" s="615" t="e">
        <f t="shared" si="681"/>
        <v>#N/A</v>
      </c>
      <c r="AP666" s="615" t="e">
        <f t="shared" si="681"/>
        <v>#N/A</v>
      </c>
      <c r="AQ666" s="615" t="e">
        <f t="shared" si="681"/>
        <v>#N/A</v>
      </c>
      <c r="AR666" s="615" t="e">
        <f t="shared" si="681"/>
        <v>#N/A</v>
      </c>
      <c r="AS666" s="615" t="e">
        <f t="shared" ref="AS666:BD666" si="682">MIN(AS661-(AS663+AS664+AS665),N$425)</f>
        <v>#N/A</v>
      </c>
      <c r="AT666" s="615" t="e">
        <f t="shared" si="682"/>
        <v>#N/A</v>
      </c>
      <c r="AU666" s="615" t="e">
        <f t="shared" si="682"/>
        <v>#N/A</v>
      </c>
      <c r="AV666" s="615" t="e">
        <f t="shared" si="682"/>
        <v>#N/A</v>
      </c>
      <c r="AW666" s="615" t="e">
        <f t="shared" si="682"/>
        <v>#N/A</v>
      </c>
      <c r="AX666" s="615" t="e">
        <f t="shared" si="682"/>
        <v>#N/A</v>
      </c>
      <c r="AY666" s="615" t="e">
        <f t="shared" si="682"/>
        <v>#N/A</v>
      </c>
      <c r="AZ666" s="615" t="e">
        <f t="shared" si="682"/>
        <v>#N/A</v>
      </c>
      <c r="BA666" s="615" t="e">
        <f t="shared" si="682"/>
        <v>#N/A</v>
      </c>
      <c r="BB666" s="615" t="e">
        <f t="shared" si="682"/>
        <v>#N/A</v>
      </c>
      <c r="BC666" s="615" t="e">
        <f t="shared" si="682"/>
        <v>#N/A</v>
      </c>
      <c r="BD666" s="615" t="e">
        <f t="shared" si="682"/>
        <v>#N/A</v>
      </c>
      <c r="BE666" s="615" t="e">
        <f t="shared" ref="BE666:BP666" si="683">MIN(BE661-(BE663+BE664+BE665),N$425)</f>
        <v>#N/A</v>
      </c>
      <c r="BF666" s="615" t="e">
        <f t="shared" si="683"/>
        <v>#N/A</v>
      </c>
      <c r="BG666" s="615" t="e">
        <f t="shared" si="683"/>
        <v>#N/A</v>
      </c>
      <c r="BH666" s="615" t="e">
        <f t="shared" si="683"/>
        <v>#N/A</v>
      </c>
      <c r="BI666" s="615" t="e">
        <f t="shared" si="683"/>
        <v>#N/A</v>
      </c>
      <c r="BJ666" s="615" t="e">
        <f t="shared" si="683"/>
        <v>#N/A</v>
      </c>
      <c r="BK666" s="615" t="e">
        <f t="shared" si="683"/>
        <v>#N/A</v>
      </c>
      <c r="BL666" s="615" t="e">
        <f t="shared" si="683"/>
        <v>#N/A</v>
      </c>
      <c r="BM666" s="615" t="e">
        <f t="shared" si="683"/>
        <v>#N/A</v>
      </c>
      <c r="BN666" s="615" t="e">
        <f t="shared" si="683"/>
        <v>#N/A</v>
      </c>
      <c r="BO666" s="615" t="e">
        <f t="shared" si="683"/>
        <v>#N/A</v>
      </c>
      <c r="BP666" s="615" t="e">
        <f t="shared" si="683"/>
        <v>#N/A</v>
      </c>
      <c r="BQ666" s="615" t="e">
        <f t="shared" ref="BQ666:CB666" si="684">MIN(BQ661-(BQ663+BQ664+BQ665),N$425)</f>
        <v>#N/A</v>
      </c>
      <c r="BR666" s="615" t="e">
        <f t="shared" si="684"/>
        <v>#N/A</v>
      </c>
      <c r="BS666" s="615" t="e">
        <f t="shared" si="684"/>
        <v>#N/A</v>
      </c>
      <c r="BT666" s="615" t="e">
        <f t="shared" si="684"/>
        <v>#N/A</v>
      </c>
      <c r="BU666" s="615" t="e">
        <f t="shared" si="684"/>
        <v>#N/A</v>
      </c>
      <c r="BV666" s="615" t="e">
        <f t="shared" si="684"/>
        <v>#N/A</v>
      </c>
      <c r="BW666" s="615" t="e">
        <f t="shared" si="684"/>
        <v>#N/A</v>
      </c>
      <c r="BX666" s="615" t="e">
        <f t="shared" si="684"/>
        <v>#N/A</v>
      </c>
      <c r="BY666" s="615" t="e">
        <f t="shared" si="684"/>
        <v>#N/A</v>
      </c>
      <c r="BZ666" s="615" t="e">
        <f t="shared" si="684"/>
        <v>#N/A</v>
      </c>
      <c r="CA666" s="615" t="e">
        <f t="shared" si="684"/>
        <v>#N/A</v>
      </c>
      <c r="CB666" s="615" t="e">
        <f t="shared" si="684"/>
        <v>#N/A</v>
      </c>
      <c r="CC666" s="615" t="e">
        <f t="shared" ref="CC666:CN666" si="685">MIN(CC661-(CC663+CC664+CC665),N$425)</f>
        <v>#N/A</v>
      </c>
      <c r="CD666" s="615" t="e">
        <f t="shared" si="685"/>
        <v>#N/A</v>
      </c>
      <c r="CE666" s="615" t="e">
        <f t="shared" si="685"/>
        <v>#N/A</v>
      </c>
      <c r="CF666" s="615" t="e">
        <f t="shared" si="685"/>
        <v>#N/A</v>
      </c>
      <c r="CG666" s="615" t="e">
        <f t="shared" si="685"/>
        <v>#N/A</v>
      </c>
      <c r="CH666" s="615" t="e">
        <f t="shared" si="685"/>
        <v>#N/A</v>
      </c>
      <c r="CI666" s="615" t="e">
        <f t="shared" si="685"/>
        <v>#N/A</v>
      </c>
      <c r="CJ666" s="615" t="e">
        <f t="shared" si="685"/>
        <v>#N/A</v>
      </c>
      <c r="CK666" s="615" t="e">
        <f t="shared" si="685"/>
        <v>#N/A</v>
      </c>
      <c r="CL666" s="615" t="e">
        <f t="shared" si="685"/>
        <v>#N/A</v>
      </c>
      <c r="CM666" s="615" t="e">
        <f t="shared" si="685"/>
        <v>#N/A</v>
      </c>
      <c r="CN666" s="615" t="e">
        <f t="shared" si="685"/>
        <v>#N/A</v>
      </c>
    </row>
    <row r="667" spans="8:92">
      <c r="H667" s="602" t="s">
        <v>940</v>
      </c>
      <c r="L667" s="618"/>
      <c r="M667" s="600"/>
      <c r="N667" s="615"/>
      <c r="O667" s="615"/>
      <c r="P667" s="615"/>
      <c r="Q667" s="615"/>
      <c r="R667" s="615"/>
      <c r="S667" s="615"/>
    </row>
    <row r="668" spans="8:92">
      <c r="H668" s="602" t="s">
        <v>940</v>
      </c>
      <c r="L668" s="618" t="s">
        <v>1300</v>
      </c>
      <c r="M668" s="600" t="s">
        <v>974</v>
      </c>
      <c r="N668" s="615" t="e">
        <f>SUM(U668:AF668)</f>
        <v>#N/A</v>
      </c>
      <c r="O668" s="615" t="e">
        <f>SUM(AG668:AR668)</f>
        <v>#N/A</v>
      </c>
      <c r="P668" s="615" t="e">
        <f>SUM(AS668:BD668)</f>
        <v>#N/A</v>
      </c>
      <c r="Q668" s="615" t="e">
        <f>SUM(BE668:BP668)</f>
        <v>#N/A</v>
      </c>
      <c r="R668" s="615" t="e">
        <f>SUM(BQ668:CB668)</f>
        <v>#N/A</v>
      </c>
      <c r="S668" s="615" t="e">
        <f>SUM(CC668:CN668)</f>
        <v>#N/A</v>
      </c>
      <c r="U668" s="616" t="e">
        <f t="shared" ref="U668:AF668" si="686">U663*N$427</f>
        <v>#N/A</v>
      </c>
      <c r="V668" s="616" t="e">
        <f t="shared" si="686"/>
        <v>#N/A</v>
      </c>
      <c r="W668" s="616" t="e">
        <f t="shared" si="686"/>
        <v>#N/A</v>
      </c>
      <c r="X668" s="616" t="e">
        <f t="shared" si="686"/>
        <v>#N/A</v>
      </c>
      <c r="Y668" s="616" t="e">
        <f t="shared" si="686"/>
        <v>#N/A</v>
      </c>
      <c r="Z668" s="616" t="e">
        <f t="shared" si="686"/>
        <v>#N/A</v>
      </c>
      <c r="AA668" s="616" t="e">
        <f t="shared" si="686"/>
        <v>#N/A</v>
      </c>
      <c r="AB668" s="616" t="e">
        <f t="shared" si="686"/>
        <v>#N/A</v>
      </c>
      <c r="AC668" s="616" t="e">
        <f t="shared" si="686"/>
        <v>#N/A</v>
      </c>
      <c r="AD668" s="616" t="e">
        <f t="shared" si="686"/>
        <v>#N/A</v>
      </c>
      <c r="AE668" s="616" t="e">
        <f t="shared" si="686"/>
        <v>#N/A</v>
      </c>
      <c r="AF668" s="616" t="e">
        <f t="shared" si="686"/>
        <v>#N/A</v>
      </c>
      <c r="AG668" s="616" t="e">
        <f t="shared" ref="AG668:AR668" si="687">AG663*N$427</f>
        <v>#N/A</v>
      </c>
      <c r="AH668" s="616" t="e">
        <f t="shared" si="687"/>
        <v>#N/A</v>
      </c>
      <c r="AI668" s="616" t="e">
        <f t="shared" si="687"/>
        <v>#N/A</v>
      </c>
      <c r="AJ668" s="616" t="e">
        <f t="shared" si="687"/>
        <v>#N/A</v>
      </c>
      <c r="AK668" s="616" t="e">
        <f t="shared" si="687"/>
        <v>#N/A</v>
      </c>
      <c r="AL668" s="616" t="e">
        <f t="shared" si="687"/>
        <v>#N/A</v>
      </c>
      <c r="AM668" s="616" t="e">
        <f t="shared" si="687"/>
        <v>#N/A</v>
      </c>
      <c r="AN668" s="616" t="e">
        <f t="shared" si="687"/>
        <v>#N/A</v>
      </c>
      <c r="AO668" s="616" t="e">
        <f t="shared" si="687"/>
        <v>#N/A</v>
      </c>
      <c r="AP668" s="616" t="e">
        <f t="shared" si="687"/>
        <v>#N/A</v>
      </c>
      <c r="AQ668" s="616" t="e">
        <f t="shared" si="687"/>
        <v>#N/A</v>
      </c>
      <c r="AR668" s="616" t="e">
        <f t="shared" si="687"/>
        <v>#N/A</v>
      </c>
      <c r="AS668" s="616" t="e">
        <f t="shared" ref="AS668:BD668" si="688">AS663*N$427</f>
        <v>#N/A</v>
      </c>
      <c r="AT668" s="616" t="e">
        <f t="shared" si="688"/>
        <v>#N/A</v>
      </c>
      <c r="AU668" s="616" t="e">
        <f t="shared" si="688"/>
        <v>#N/A</v>
      </c>
      <c r="AV668" s="616" t="e">
        <f t="shared" si="688"/>
        <v>#N/A</v>
      </c>
      <c r="AW668" s="616" t="e">
        <f t="shared" si="688"/>
        <v>#N/A</v>
      </c>
      <c r="AX668" s="616" t="e">
        <f t="shared" si="688"/>
        <v>#N/A</v>
      </c>
      <c r="AY668" s="616" t="e">
        <f t="shared" si="688"/>
        <v>#N/A</v>
      </c>
      <c r="AZ668" s="616" t="e">
        <f t="shared" si="688"/>
        <v>#N/A</v>
      </c>
      <c r="BA668" s="616" t="e">
        <f t="shared" si="688"/>
        <v>#N/A</v>
      </c>
      <c r="BB668" s="616" t="e">
        <f t="shared" si="688"/>
        <v>#N/A</v>
      </c>
      <c r="BC668" s="616" t="e">
        <f t="shared" si="688"/>
        <v>#N/A</v>
      </c>
      <c r="BD668" s="616" t="e">
        <f t="shared" si="688"/>
        <v>#N/A</v>
      </c>
      <c r="BE668" s="616" t="e">
        <f t="shared" ref="BE668:BP668" si="689">BE663*N$427</f>
        <v>#N/A</v>
      </c>
      <c r="BF668" s="616" t="e">
        <f t="shared" si="689"/>
        <v>#N/A</v>
      </c>
      <c r="BG668" s="616" t="e">
        <f t="shared" si="689"/>
        <v>#N/A</v>
      </c>
      <c r="BH668" s="616" t="e">
        <f t="shared" si="689"/>
        <v>#N/A</v>
      </c>
      <c r="BI668" s="616" t="e">
        <f t="shared" si="689"/>
        <v>#N/A</v>
      </c>
      <c r="BJ668" s="616" t="e">
        <f t="shared" si="689"/>
        <v>#N/A</v>
      </c>
      <c r="BK668" s="616" t="e">
        <f t="shared" si="689"/>
        <v>#N/A</v>
      </c>
      <c r="BL668" s="616" t="e">
        <f t="shared" si="689"/>
        <v>#N/A</v>
      </c>
      <c r="BM668" s="616" t="e">
        <f t="shared" si="689"/>
        <v>#N/A</v>
      </c>
      <c r="BN668" s="616" t="e">
        <f t="shared" si="689"/>
        <v>#N/A</v>
      </c>
      <c r="BO668" s="616" t="e">
        <f t="shared" si="689"/>
        <v>#N/A</v>
      </c>
      <c r="BP668" s="616" t="e">
        <f t="shared" si="689"/>
        <v>#N/A</v>
      </c>
      <c r="BQ668" s="616" t="e">
        <f t="shared" ref="BQ668:CB668" si="690">BQ663*N$427</f>
        <v>#N/A</v>
      </c>
      <c r="BR668" s="616" t="e">
        <f t="shared" si="690"/>
        <v>#N/A</v>
      </c>
      <c r="BS668" s="616" t="e">
        <f t="shared" si="690"/>
        <v>#N/A</v>
      </c>
      <c r="BT668" s="616" t="e">
        <f t="shared" si="690"/>
        <v>#N/A</v>
      </c>
      <c r="BU668" s="616" t="e">
        <f t="shared" si="690"/>
        <v>#N/A</v>
      </c>
      <c r="BV668" s="616" t="e">
        <f t="shared" si="690"/>
        <v>#N/A</v>
      </c>
      <c r="BW668" s="616" t="e">
        <f t="shared" si="690"/>
        <v>#N/A</v>
      </c>
      <c r="BX668" s="616" t="e">
        <f t="shared" si="690"/>
        <v>#N/A</v>
      </c>
      <c r="BY668" s="616" t="e">
        <f t="shared" si="690"/>
        <v>#N/A</v>
      </c>
      <c r="BZ668" s="616" t="e">
        <f t="shared" si="690"/>
        <v>#N/A</v>
      </c>
      <c r="CA668" s="616" t="e">
        <f t="shared" si="690"/>
        <v>#N/A</v>
      </c>
      <c r="CB668" s="616" t="e">
        <f t="shared" si="690"/>
        <v>#N/A</v>
      </c>
      <c r="CC668" s="616" t="e">
        <f t="shared" ref="CC668:CN668" si="691">CC663*N$427</f>
        <v>#N/A</v>
      </c>
      <c r="CD668" s="616" t="e">
        <f t="shared" si="691"/>
        <v>#N/A</v>
      </c>
      <c r="CE668" s="616" t="e">
        <f t="shared" si="691"/>
        <v>#N/A</v>
      </c>
      <c r="CF668" s="616" t="e">
        <f t="shared" si="691"/>
        <v>#N/A</v>
      </c>
      <c r="CG668" s="616" t="e">
        <f t="shared" si="691"/>
        <v>#N/A</v>
      </c>
      <c r="CH668" s="616" t="e">
        <f t="shared" si="691"/>
        <v>#N/A</v>
      </c>
      <c r="CI668" s="616" t="e">
        <f t="shared" si="691"/>
        <v>#N/A</v>
      </c>
      <c r="CJ668" s="616" t="e">
        <f t="shared" si="691"/>
        <v>#N/A</v>
      </c>
      <c r="CK668" s="616" t="e">
        <f t="shared" si="691"/>
        <v>#N/A</v>
      </c>
      <c r="CL668" s="616" t="e">
        <f t="shared" si="691"/>
        <v>#N/A</v>
      </c>
      <c r="CM668" s="616" t="e">
        <f t="shared" si="691"/>
        <v>#N/A</v>
      </c>
      <c r="CN668" s="616" t="e">
        <f t="shared" si="691"/>
        <v>#N/A</v>
      </c>
    </row>
    <row r="669" spans="8:92">
      <c r="H669" s="602" t="s">
        <v>940</v>
      </c>
      <c r="L669" s="618" t="s">
        <v>1301</v>
      </c>
      <c r="M669" s="600" t="s">
        <v>974</v>
      </c>
      <c r="N669" s="615" t="e">
        <f>SUM(U669:AF669)</f>
        <v>#N/A</v>
      </c>
      <c r="O669" s="615" t="e">
        <f>SUM(AG669:AR669)</f>
        <v>#N/A</v>
      </c>
      <c r="P669" s="615" t="e">
        <f>SUM(AS669:BD669)</f>
        <v>#N/A</v>
      </c>
      <c r="Q669" s="615" t="e">
        <f>SUM(BE669:BP669)</f>
        <v>#N/A</v>
      </c>
      <c r="R669" s="615" t="e">
        <f>SUM(BQ669:CB669)</f>
        <v>#N/A</v>
      </c>
      <c r="S669" s="615" t="e">
        <f>SUM(CC669:CN669)</f>
        <v>#N/A</v>
      </c>
      <c r="U669" s="616" t="e">
        <f t="shared" ref="U669:AF669" si="692">U664*N$428</f>
        <v>#N/A</v>
      </c>
      <c r="V669" s="616" t="e">
        <f t="shared" si="692"/>
        <v>#N/A</v>
      </c>
      <c r="W669" s="616" t="e">
        <f t="shared" si="692"/>
        <v>#N/A</v>
      </c>
      <c r="X669" s="616" t="e">
        <f t="shared" si="692"/>
        <v>#N/A</v>
      </c>
      <c r="Y669" s="616" t="e">
        <f t="shared" si="692"/>
        <v>#N/A</v>
      </c>
      <c r="Z669" s="616" t="e">
        <f t="shared" si="692"/>
        <v>#N/A</v>
      </c>
      <c r="AA669" s="616" t="e">
        <f t="shared" si="692"/>
        <v>#N/A</v>
      </c>
      <c r="AB669" s="616" t="e">
        <f t="shared" si="692"/>
        <v>#N/A</v>
      </c>
      <c r="AC669" s="616" t="e">
        <f t="shared" si="692"/>
        <v>#N/A</v>
      </c>
      <c r="AD669" s="616" t="e">
        <f t="shared" si="692"/>
        <v>#N/A</v>
      </c>
      <c r="AE669" s="616" t="e">
        <f t="shared" si="692"/>
        <v>#N/A</v>
      </c>
      <c r="AF669" s="616" t="e">
        <f t="shared" si="692"/>
        <v>#N/A</v>
      </c>
      <c r="AG669" s="616" t="e">
        <f t="shared" ref="AG669:AR669" si="693">AG664*N$428</f>
        <v>#N/A</v>
      </c>
      <c r="AH669" s="616" t="e">
        <f t="shared" si="693"/>
        <v>#N/A</v>
      </c>
      <c r="AI669" s="616" t="e">
        <f t="shared" si="693"/>
        <v>#N/A</v>
      </c>
      <c r="AJ669" s="616" t="e">
        <f t="shared" si="693"/>
        <v>#N/A</v>
      </c>
      <c r="AK669" s="616" t="e">
        <f t="shared" si="693"/>
        <v>#N/A</v>
      </c>
      <c r="AL669" s="616" t="e">
        <f t="shared" si="693"/>
        <v>#N/A</v>
      </c>
      <c r="AM669" s="616" t="e">
        <f t="shared" si="693"/>
        <v>#N/A</v>
      </c>
      <c r="AN669" s="616" t="e">
        <f t="shared" si="693"/>
        <v>#N/A</v>
      </c>
      <c r="AO669" s="616" t="e">
        <f t="shared" si="693"/>
        <v>#N/A</v>
      </c>
      <c r="AP669" s="616" t="e">
        <f t="shared" si="693"/>
        <v>#N/A</v>
      </c>
      <c r="AQ669" s="616" t="e">
        <f t="shared" si="693"/>
        <v>#N/A</v>
      </c>
      <c r="AR669" s="616" t="e">
        <f t="shared" si="693"/>
        <v>#N/A</v>
      </c>
      <c r="AS669" s="616" t="e">
        <f t="shared" ref="AS669:BD669" si="694">AS664*N$428</f>
        <v>#N/A</v>
      </c>
      <c r="AT669" s="616" t="e">
        <f t="shared" si="694"/>
        <v>#N/A</v>
      </c>
      <c r="AU669" s="616" t="e">
        <f t="shared" si="694"/>
        <v>#N/A</v>
      </c>
      <c r="AV669" s="616" t="e">
        <f t="shared" si="694"/>
        <v>#N/A</v>
      </c>
      <c r="AW669" s="616" t="e">
        <f t="shared" si="694"/>
        <v>#N/A</v>
      </c>
      <c r="AX669" s="616" t="e">
        <f t="shared" si="694"/>
        <v>#N/A</v>
      </c>
      <c r="AY669" s="616" t="e">
        <f t="shared" si="694"/>
        <v>#N/A</v>
      </c>
      <c r="AZ669" s="616" t="e">
        <f t="shared" si="694"/>
        <v>#N/A</v>
      </c>
      <c r="BA669" s="616" t="e">
        <f t="shared" si="694"/>
        <v>#N/A</v>
      </c>
      <c r="BB669" s="616" t="e">
        <f t="shared" si="694"/>
        <v>#N/A</v>
      </c>
      <c r="BC669" s="616" t="e">
        <f t="shared" si="694"/>
        <v>#N/A</v>
      </c>
      <c r="BD669" s="616" t="e">
        <f t="shared" si="694"/>
        <v>#N/A</v>
      </c>
      <c r="BE669" s="616" t="e">
        <f t="shared" ref="BE669:BP669" si="695">BE664*N$428</f>
        <v>#N/A</v>
      </c>
      <c r="BF669" s="616" t="e">
        <f t="shared" si="695"/>
        <v>#N/A</v>
      </c>
      <c r="BG669" s="616" t="e">
        <f t="shared" si="695"/>
        <v>#N/A</v>
      </c>
      <c r="BH669" s="616" t="e">
        <f t="shared" si="695"/>
        <v>#N/A</v>
      </c>
      <c r="BI669" s="616" t="e">
        <f t="shared" si="695"/>
        <v>#N/A</v>
      </c>
      <c r="BJ669" s="616" t="e">
        <f t="shared" si="695"/>
        <v>#N/A</v>
      </c>
      <c r="BK669" s="616" t="e">
        <f t="shared" si="695"/>
        <v>#N/A</v>
      </c>
      <c r="BL669" s="616" t="e">
        <f t="shared" si="695"/>
        <v>#N/A</v>
      </c>
      <c r="BM669" s="616" t="e">
        <f t="shared" si="695"/>
        <v>#N/A</v>
      </c>
      <c r="BN669" s="616" t="e">
        <f t="shared" si="695"/>
        <v>#N/A</v>
      </c>
      <c r="BO669" s="616" t="e">
        <f t="shared" si="695"/>
        <v>#N/A</v>
      </c>
      <c r="BP669" s="616" t="e">
        <f t="shared" si="695"/>
        <v>#N/A</v>
      </c>
      <c r="BQ669" s="616" t="e">
        <f t="shared" ref="BQ669:CB669" si="696">BQ664*N$428</f>
        <v>#N/A</v>
      </c>
      <c r="BR669" s="616" t="e">
        <f t="shared" si="696"/>
        <v>#N/A</v>
      </c>
      <c r="BS669" s="616" t="e">
        <f t="shared" si="696"/>
        <v>#N/A</v>
      </c>
      <c r="BT669" s="616" t="e">
        <f t="shared" si="696"/>
        <v>#N/A</v>
      </c>
      <c r="BU669" s="616" t="e">
        <f t="shared" si="696"/>
        <v>#N/A</v>
      </c>
      <c r="BV669" s="616" t="e">
        <f t="shared" si="696"/>
        <v>#N/A</v>
      </c>
      <c r="BW669" s="616" t="e">
        <f t="shared" si="696"/>
        <v>#N/A</v>
      </c>
      <c r="BX669" s="616" t="e">
        <f t="shared" si="696"/>
        <v>#N/A</v>
      </c>
      <c r="BY669" s="616" t="e">
        <f t="shared" si="696"/>
        <v>#N/A</v>
      </c>
      <c r="BZ669" s="616" t="e">
        <f t="shared" si="696"/>
        <v>#N/A</v>
      </c>
      <c r="CA669" s="616" t="e">
        <f t="shared" si="696"/>
        <v>#N/A</v>
      </c>
      <c r="CB669" s="616" t="e">
        <f t="shared" si="696"/>
        <v>#N/A</v>
      </c>
      <c r="CC669" s="616" t="e">
        <f t="shared" ref="CC669:CN669" si="697">CC664*N$428</f>
        <v>#N/A</v>
      </c>
      <c r="CD669" s="616" t="e">
        <f t="shared" si="697"/>
        <v>#N/A</v>
      </c>
      <c r="CE669" s="616" t="e">
        <f t="shared" si="697"/>
        <v>#N/A</v>
      </c>
      <c r="CF669" s="616" t="e">
        <f t="shared" si="697"/>
        <v>#N/A</v>
      </c>
      <c r="CG669" s="616" t="e">
        <f t="shared" si="697"/>
        <v>#N/A</v>
      </c>
      <c r="CH669" s="616" t="e">
        <f t="shared" si="697"/>
        <v>#N/A</v>
      </c>
      <c r="CI669" s="616" t="e">
        <f t="shared" si="697"/>
        <v>#N/A</v>
      </c>
      <c r="CJ669" s="616" t="e">
        <f t="shared" si="697"/>
        <v>#N/A</v>
      </c>
      <c r="CK669" s="616" t="e">
        <f t="shared" si="697"/>
        <v>#N/A</v>
      </c>
      <c r="CL669" s="616" t="e">
        <f t="shared" si="697"/>
        <v>#N/A</v>
      </c>
      <c r="CM669" s="616" t="e">
        <f t="shared" si="697"/>
        <v>#N/A</v>
      </c>
      <c r="CN669" s="616" t="e">
        <f t="shared" si="697"/>
        <v>#N/A</v>
      </c>
    </row>
    <row r="670" spans="8:92">
      <c r="H670" s="602" t="s">
        <v>940</v>
      </c>
      <c r="L670" s="618" t="s">
        <v>1302</v>
      </c>
      <c r="M670" s="600" t="s">
        <v>974</v>
      </c>
      <c r="N670" s="615" t="e">
        <f>SUM(U670:AF670)</f>
        <v>#N/A</v>
      </c>
      <c r="O670" s="615" t="e">
        <f>SUM(AG670:AR670)</f>
        <v>#N/A</v>
      </c>
      <c r="P670" s="615" t="e">
        <f>SUM(AS670:BD670)</f>
        <v>#N/A</v>
      </c>
      <c r="Q670" s="615" t="e">
        <f>SUM(BE670:BP670)</f>
        <v>#N/A</v>
      </c>
      <c r="R670" s="615" t="e">
        <f>SUM(BQ670:CB670)</f>
        <v>#N/A</v>
      </c>
      <c r="S670" s="615" t="e">
        <f>SUM(CC670:CN670)</f>
        <v>#N/A</v>
      </c>
      <c r="U670" s="616" t="e">
        <f t="shared" ref="U670:AF670" si="698">U665*N$429</f>
        <v>#N/A</v>
      </c>
      <c r="V670" s="616" t="e">
        <f t="shared" si="698"/>
        <v>#N/A</v>
      </c>
      <c r="W670" s="616" t="e">
        <f t="shared" si="698"/>
        <v>#N/A</v>
      </c>
      <c r="X670" s="616" t="e">
        <f t="shared" si="698"/>
        <v>#N/A</v>
      </c>
      <c r="Y670" s="616" t="e">
        <f t="shared" si="698"/>
        <v>#N/A</v>
      </c>
      <c r="Z670" s="616" t="e">
        <f t="shared" si="698"/>
        <v>#N/A</v>
      </c>
      <c r="AA670" s="616" t="e">
        <f t="shared" si="698"/>
        <v>#N/A</v>
      </c>
      <c r="AB670" s="616" t="e">
        <f t="shared" si="698"/>
        <v>#N/A</v>
      </c>
      <c r="AC670" s="616" t="e">
        <f t="shared" si="698"/>
        <v>#N/A</v>
      </c>
      <c r="AD670" s="616" t="e">
        <f t="shared" si="698"/>
        <v>#N/A</v>
      </c>
      <c r="AE670" s="616" t="e">
        <f t="shared" si="698"/>
        <v>#N/A</v>
      </c>
      <c r="AF670" s="616" t="e">
        <f t="shared" si="698"/>
        <v>#N/A</v>
      </c>
      <c r="AG670" s="616" t="e">
        <f t="shared" ref="AG670:AR670" si="699">AG665*N$429</f>
        <v>#N/A</v>
      </c>
      <c r="AH670" s="616" t="e">
        <f t="shared" si="699"/>
        <v>#N/A</v>
      </c>
      <c r="AI670" s="616" t="e">
        <f t="shared" si="699"/>
        <v>#N/A</v>
      </c>
      <c r="AJ670" s="616" t="e">
        <f t="shared" si="699"/>
        <v>#N/A</v>
      </c>
      <c r="AK670" s="616" t="e">
        <f t="shared" si="699"/>
        <v>#N/A</v>
      </c>
      <c r="AL670" s="616" t="e">
        <f t="shared" si="699"/>
        <v>#N/A</v>
      </c>
      <c r="AM670" s="616" t="e">
        <f t="shared" si="699"/>
        <v>#N/A</v>
      </c>
      <c r="AN670" s="616" t="e">
        <f t="shared" si="699"/>
        <v>#N/A</v>
      </c>
      <c r="AO670" s="616" t="e">
        <f t="shared" si="699"/>
        <v>#N/A</v>
      </c>
      <c r="AP670" s="616" t="e">
        <f t="shared" si="699"/>
        <v>#N/A</v>
      </c>
      <c r="AQ670" s="616" t="e">
        <f t="shared" si="699"/>
        <v>#N/A</v>
      </c>
      <c r="AR670" s="616" t="e">
        <f t="shared" si="699"/>
        <v>#N/A</v>
      </c>
      <c r="AS670" s="616" t="e">
        <f t="shared" ref="AS670:BD670" si="700">AS665*N$429</f>
        <v>#N/A</v>
      </c>
      <c r="AT670" s="616" t="e">
        <f t="shared" si="700"/>
        <v>#N/A</v>
      </c>
      <c r="AU670" s="616" t="e">
        <f t="shared" si="700"/>
        <v>#N/A</v>
      </c>
      <c r="AV670" s="616" t="e">
        <f t="shared" si="700"/>
        <v>#N/A</v>
      </c>
      <c r="AW670" s="616" t="e">
        <f t="shared" si="700"/>
        <v>#N/A</v>
      </c>
      <c r="AX670" s="616" t="e">
        <f t="shared" si="700"/>
        <v>#N/A</v>
      </c>
      <c r="AY670" s="616" t="e">
        <f t="shared" si="700"/>
        <v>#N/A</v>
      </c>
      <c r="AZ670" s="616" t="e">
        <f t="shared" si="700"/>
        <v>#N/A</v>
      </c>
      <c r="BA670" s="616" t="e">
        <f t="shared" si="700"/>
        <v>#N/A</v>
      </c>
      <c r="BB670" s="616" t="e">
        <f t="shared" si="700"/>
        <v>#N/A</v>
      </c>
      <c r="BC670" s="616" t="e">
        <f t="shared" si="700"/>
        <v>#N/A</v>
      </c>
      <c r="BD670" s="616" t="e">
        <f t="shared" si="700"/>
        <v>#N/A</v>
      </c>
      <c r="BE670" s="616" t="e">
        <f t="shared" ref="BE670:BP670" si="701">BE665*N$429</f>
        <v>#N/A</v>
      </c>
      <c r="BF670" s="616" t="e">
        <f t="shared" si="701"/>
        <v>#N/A</v>
      </c>
      <c r="BG670" s="616" t="e">
        <f t="shared" si="701"/>
        <v>#N/A</v>
      </c>
      <c r="BH670" s="616" t="e">
        <f t="shared" si="701"/>
        <v>#N/A</v>
      </c>
      <c r="BI670" s="616" t="e">
        <f t="shared" si="701"/>
        <v>#N/A</v>
      </c>
      <c r="BJ670" s="616" t="e">
        <f t="shared" si="701"/>
        <v>#N/A</v>
      </c>
      <c r="BK670" s="616" t="e">
        <f t="shared" si="701"/>
        <v>#N/A</v>
      </c>
      <c r="BL670" s="616" t="e">
        <f t="shared" si="701"/>
        <v>#N/A</v>
      </c>
      <c r="BM670" s="616" t="e">
        <f t="shared" si="701"/>
        <v>#N/A</v>
      </c>
      <c r="BN670" s="616" t="e">
        <f t="shared" si="701"/>
        <v>#N/A</v>
      </c>
      <c r="BO670" s="616" t="e">
        <f t="shared" si="701"/>
        <v>#N/A</v>
      </c>
      <c r="BP670" s="616" t="e">
        <f t="shared" si="701"/>
        <v>#N/A</v>
      </c>
      <c r="BQ670" s="616" t="e">
        <f t="shared" ref="BQ670:CB670" si="702">BQ665*N$429</f>
        <v>#N/A</v>
      </c>
      <c r="BR670" s="616" t="e">
        <f t="shared" si="702"/>
        <v>#N/A</v>
      </c>
      <c r="BS670" s="616" t="e">
        <f t="shared" si="702"/>
        <v>#N/A</v>
      </c>
      <c r="BT670" s="616" t="e">
        <f t="shared" si="702"/>
        <v>#N/A</v>
      </c>
      <c r="BU670" s="616" t="e">
        <f t="shared" si="702"/>
        <v>#N/A</v>
      </c>
      <c r="BV670" s="616" t="e">
        <f t="shared" si="702"/>
        <v>#N/A</v>
      </c>
      <c r="BW670" s="616" t="e">
        <f t="shared" si="702"/>
        <v>#N/A</v>
      </c>
      <c r="BX670" s="616" t="e">
        <f t="shared" si="702"/>
        <v>#N/A</v>
      </c>
      <c r="BY670" s="616" t="e">
        <f t="shared" si="702"/>
        <v>#N/A</v>
      </c>
      <c r="BZ670" s="616" t="e">
        <f t="shared" si="702"/>
        <v>#N/A</v>
      </c>
      <c r="CA670" s="616" t="e">
        <f t="shared" si="702"/>
        <v>#N/A</v>
      </c>
      <c r="CB670" s="616" t="e">
        <f t="shared" si="702"/>
        <v>#N/A</v>
      </c>
      <c r="CC670" s="616" t="e">
        <f t="shared" ref="CC670:CN670" si="703">CC665*N$429</f>
        <v>#N/A</v>
      </c>
      <c r="CD670" s="616" t="e">
        <f t="shared" si="703"/>
        <v>#N/A</v>
      </c>
      <c r="CE670" s="616" t="e">
        <f t="shared" si="703"/>
        <v>#N/A</v>
      </c>
      <c r="CF670" s="616" t="e">
        <f t="shared" si="703"/>
        <v>#N/A</v>
      </c>
      <c r="CG670" s="616" t="e">
        <f t="shared" si="703"/>
        <v>#N/A</v>
      </c>
      <c r="CH670" s="616" t="e">
        <f t="shared" si="703"/>
        <v>#N/A</v>
      </c>
      <c r="CI670" s="616" t="e">
        <f t="shared" si="703"/>
        <v>#N/A</v>
      </c>
      <c r="CJ670" s="616" t="e">
        <f t="shared" si="703"/>
        <v>#N/A</v>
      </c>
      <c r="CK670" s="616" t="e">
        <f t="shared" si="703"/>
        <v>#N/A</v>
      </c>
      <c r="CL670" s="616" t="e">
        <f t="shared" si="703"/>
        <v>#N/A</v>
      </c>
      <c r="CM670" s="616" t="e">
        <f t="shared" si="703"/>
        <v>#N/A</v>
      </c>
      <c r="CN670" s="616" t="e">
        <f t="shared" si="703"/>
        <v>#N/A</v>
      </c>
    </row>
    <row r="671" spans="8:92">
      <c r="H671" s="602" t="s">
        <v>940</v>
      </c>
      <c r="L671" s="618" t="s">
        <v>1303</v>
      </c>
      <c r="M671" s="600" t="s">
        <v>974</v>
      </c>
      <c r="N671" s="615" t="e">
        <f>SUM(U671:AF671)</f>
        <v>#N/A</v>
      </c>
      <c r="O671" s="615" t="e">
        <f>SUM(AG671:AR671)</f>
        <v>#N/A</v>
      </c>
      <c r="P671" s="615" t="e">
        <f>SUM(AS671:BD671)</f>
        <v>#N/A</v>
      </c>
      <c r="Q671" s="615" t="e">
        <f>SUM(BE671:BP671)</f>
        <v>#N/A</v>
      </c>
      <c r="R671" s="615" t="e">
        <f>SUM(BQ671:CB671)</f>
        <v>#N/A</v>
      </c>
      <c r="S671" s="615" t="e">
        <f>SUM(CC671:CN671)</f>
        <v>#N/A</v>
      </c>
      <c r="U671" s="616" t="e">
        <f t="shared" ref="U671:AF671" si="704">U666*N$430</f>
        <v>#N/A</v>
      </c>
      <c r="V671" s="616" t="e">
        <f t="shared" si="704"/>
        <v>#N/A</v>
      </c>
      <c r="W671" s="616" t="e">
        <f t="shared" si="704"/>
        <v>#N/A</v>
      </c>
      <c r="X671" s="616" t="e">
        <f t="shared" si="704"/>
        <v>#N/A</v>
      </c>
      <c r="Y671" s="616" t="e">
        <f t="shared" si="704"/>
        <v>#N/A</v>
      </c>
      <c r="Z671" s="616" t="e">
        <f t="shared" si="704"/>
        <v>#N/A</v>
      </c>
      <c r="AA671" s="616" t="e">
        <f t="shared" si="704"/>
        <v>#N/A</v>
      </c>
      <c r="AB671" s="616" t="e">
        <f t="shared" si="704"/>
        <v>#N/A</v>
      </c>
      <c r="AC671" s="616" t="e">
        <f t="shared" si="704"/>
        <v>#N/A</v>
      </c>
      <c r="AD671" s="616" t="e">
        <f t="shared" si="704"/>
        <v>#N/A</v>
      </c>
      <c r="AE671" s="616" t="e">
        <f t="shared" si="704"/>
        <v>#N/A</v>
      </c>
      <c r="AF671" s="616" t="e">
        <f t="shared" si="704"/>
        <v>#N/A</v>
      </c>
      <c r="AG671" s="616" t="e">
        <f t="shared" ref="AG671:AR671" si="705">AG666*N$430</f>
        <v>#N/A</v>
      </c>
      <c r="AH671" s="616" t="e">
        <f t="shared" si="705"/>
        <v>#N/A</v>
      </c>
      <c r="AI671" s="616" t="e">
        <f t="shared" si="705"/>
        <v>#N/A</v>
      </c>
      <c r="AJ671" s="616" t="e">
        <f t="shared" si="705"/>
        <v>#N/A</v>
      </c>
      <c r="AK671" s="616" t="e">
        <f t="shared" si="705"/>
        <v>#N/A</v>
      </c>
      <c r="AL671" s="616" t="e">
        <f t="shared" si="705"/>
        <v>#N/A</v>
      </c>
      <c r="AM671" s="616" t="e">
        <f t="shared" si="705"/>
        <v>#N/A</v>
      </c>
      <c r="AN671" s="616" t="e">
        <f t="shared" si="705"/>
        <v>#N/A</v>
      </c>
      <c r="AO671" s="616" t="e">
        <f t="shared" si="705"/>
        <v>#N/A</v>
      </c>
      <c r="AP671" s="616" t="e">
        <f t="shared" si="705"/>
        <v>#N/A</v>
      </c>
      <c r="AQ671" s="616" t="e">
        <f t="shared" si="705"/>
        <v>#N/A</v>
      </c>
      <c r="AR671" s="616" t="e">
        <f t="shared" si="705"/>
        <v>#N/A</v>
      </c>
      <c r="AS671" s="616" t="e">
        <f t="shared" ref="AS671:BD671" si="706">AS666*N$430</f>
        <v>#N/A</v>
      </c>
      <c r="AT671" s="616" t="e">
        <f t="shared" si="706"/>
        <v>#N/A</v>
      </c>
      <c r="AU671" s="616" t="e">
        <f t="shared" si="706"/>
        <v>#N/A</v>
      </c>
      <c r="AV671" s="616" t="e">
        <f t="shared" si="706"/>
        <v>#N/A</v>
      </c>
      <c r="AW671" s="616" t="e">
        <f t="shared" si="706"/>
        <v>#N/A</v>
      </c>
      <c r="AX671" s="616" t="e">
        <f t="shared" si="706"/>
        <v>#N/A</v>
      </c>
      <c r="AY671" s="616" t="e">
        <f t="shared" si="706"/>
        <v>#N/A</v>
      </c>
      <c r="AZ671" s="616" t="e">
        <f t="shared" si="706"/>
        <v>#N/A</v>
      </c>
      <c r="BA671" s="616" t="e">
        <f t="shared" si="706"/>
        <v>#N/A</v>
      </c>
      <c r="BB671" s="616" t="e">
        <f t="shared" si="706"/>
        <v>#N/A</v>
      </c>
      <c r="BC671" s="616" t="e">
        <f t="shared" si="706"/>
        <v>#N/A</v>
      </c>
      <c r="BD671" s="616" t="e">
        <f t="shared" si="706"/>
        <v>#N/A</v>
      </c>
      <c r="BE671" s="616" t="e">
        <f t="shared" ref="BE671:BP671" si="707">BE666*N$430</f>
        <v>#N/A</v>
      </c>
      <c r="BF671" s="616" t="e">
        <f t="shared" si="707"/>
        <v>#N/A</v>
      </c>
      <c r="BG671" s="616" t="e">
        <f t="shared" si="707"/>
        <v>#N/A</v>
      </c>
      <c r="BH671" s="616" t="e">
        <f t="shared" si="707"/>
        <v>#N/A</v>
      </c>
      <c r="BI671" s="616" t="e">
        <f t="shared" si="707"/>
        <v>#N/A</v>
      </c>
      <c r="BJ671" s="616" t="e">
        <f t="shared" si="707"/>
        <v>#N/A</v>
      </c>
      <c r="BK671" s="616" t="e">
        <f t="shared" si="707"/>
        <v>#N/A</v>
      </c>
      <c r="BL671" s="616" t="e">
        <f t="shared" si="707"/>
        <v>#N/A</v>
      </c>
      <c r="BM671" s="616" t="e">
        <f t="shared" si="707"/>
        <v>#N/A</v>
      </c>
      <c r="BN671" s="616" t="e">
        <f t="shared" si="707"/>
        <v>#N/A</v>
      </c>
      <c r="BO671" s="616" t="e">
        <f t="shared" si="707"/>
        <v>#N/A</v>
      </c>
      <c r="BP671" s="616" t="e">
        <f t="shared" si="707"/>
        <v>#N/A</v>
      </c>
      <c r="BQ671" s="616" t="e">
        <f t="shared" ref="BQ671:CB671" si="708">BQ666*N$430</f>
        <v>#N/A</v>
      </c>
      <c r="BR671" s="616" t="e">
        <f t="shared" si="708"/>
        <v>#N/A</v>
      </c>
      <c r="BS671" s="616" t="e">
        <f t="shared" si="708"/>
        <v>#N/A</v>
      </c>
      <c r="BT671" s="616" t="e">
        <f t="shared" si="708"/>
        <v>#N/A</v>
      </c>
      <c r="BU671" s="616" t="e">
        <f t="shared" si="708"/>
        <v>#N/A</v>
      </c>
      <c r="BV671" s="616" t="e">
        <f t="shared" si="708"/>
        <v>#N/A</v>
      </c>
      <c r="BW671" s="616" t="e">
        <f t="shared" si="708"/>
        <v>#N/A</v>
      </c>
      <c r="BX671" s="616" t="e">
        <f t="shared" si="708"/>
        <v>#N/A</v>
      </c>
      <c r="BY671" s="616" t="e">
        <f t="shared" si="708"/>
        <v>#N/A</v>
      </c>
      <c r="BZ671" s="616" t="e">
        <f t="shared" si="708"/>
        <v>#N/A</v>
      </c>
      <c r="CA671" s="616" t="e">
        <f t="shared" si="708"/>
        <v>#N/A</v>
      </c>
      <c r="CB671" s="616" t="e">
        <f t="shared" si="708"/>
        <v>#N/A</v>
      </c>
      <c r="CC671" s="616" t="e">
        <f t="shared" ref="CC671:CN671" si="709">CC666*N$430</f>
        <v>#N/A</v>
      </c>
      <c r="CD671" s="616" t="e">
        <f t="shared" si="709"/>
        <v>#N/A</v>
      </c>
      <c r="CE671" s="616" t="e">
        <f t="shared" si="709"/>
        <v>#N/A</v>
      </c>
      <c r="CF671" s="616" t="e">
        <f t="shared" si="709"/>
        <v>#N/A</v>
      </c>
      <c r="CG671" s="616" t="e">
        <f t="shared" si="709"/>
        <v>#N/A</v>
      </c>
      <c r="CH671" s="616" t="e">
        <f t="shared" si="709"/>
        <v>#N/A</v>
      </c>
      <c r="CI671" s="616" t="e">
        <f t="shared" si="709"/>
        <v>#N/A</v>
      </c>
      <c r="CJ671" s="616" t="e">
        <f t="shared" si="709"/>
        <v>#N/A</v>
      </c>
      <c r="CK671" s="616" t="e">
        <f t="shared" si="709"/>
        <v>#N/A</v>
      </c>
      <c r="CL671" s="616" t="e">
        <f t="shared" si="709"/>
        <v>#N/A</v>
      </c>
      <c r="CM671" s="616" t="e">
        <f t="shared" si="709"/>
        <v>#N/A</v>
      </c>
      <c r="CN671" s="616" t="e">
        <f t="shared" si="709"/>
        <v>#N/A</v>
      </c>
    </row>
    <row r="672" spans="8:92">
      <c r="H672" s="602" t="s">
        <v>940</v>
      </c>
      <c r="L672" s="618"/>
      <c r="M672" s="600"/>
      <c r="N672" s="615"/>
      <c r="O672" s="615"/>
      <c r="P672" s="615"/>
      <c r="Q672" s="615"/>
      <c r="R672" s="615"/>
      <c r="S672" s="615"/>
      <c r="U672" s="616"/>
      <c r="V672" s="616"/>
      <c r="W672" s="616"/>
      <c r="X672" s="616"/>
      <c r="Y672" s="616"/>
      <c r="Z672" s="616"/>
      <c r="AA672" s="616"/>
      <c r="AB672" s="616"/>
      <c r="AC672" s="616"/>
      <c r="AD672" s="616"/>
      <c r="AE672" s="616"/>
      <c r="AF672" s="616"/>
      <c r="AG672" s="616"/>
      <c r="AH672" s="616"/>
      <c r="AI672" s="616"/>
      <c r="AJ672" s="616"/>
      <c r="AK672" s="616"/>
      <c r="AL672" s="616"/>
      <c r="AM672" s="616"/>
      <c r="AN672" s="616"/>
      <c r="AO672" s="616"/>
      <c r="AP672" s="616"/>
      <c r="AQ672" s="616"/>
      <c r="AR672" s="616"/>
      <c r="AS672" s="616"/>
      <c r="AT672" s="616"/>
      <c r="AU672" s="616"/>
      <c r="AV672" s="616"/>
      <c r="AW672" s="616"/>
      <c r="AX672" s="616"/>
      <c r="AY672" s="616"/>
      <c r="AZ672" s="616"/>
      <c r="BA672" s="616"/>
      <c r="BB672" s="616"/>
      <c r="BC672" s="616"/>
      <c r="BD672" s="616"/>
      <c r="BE672" s="616"/>
      <c r="BF672" s="616"/>
      <c r="BG672" s="616"/>
      <c r="BH672" s="616"/>
      <c r="BI672" s="616"/>
      <c r="BJ672" s="616"/>
      <c r="BK672" s="616"/>
      <c r="BL672" s="616"/>
      <c r="BM672" s="616"/>
      <c r="BN672" s="616"/>
      <c r="BO672" s="616"/>
      <c r="BP672" s="616"/>
      <c r="BQ672" s="616"/>
      <c r="BR672" s="616"/>
      <c r="BS672" s="616"/>
      <c r="BT672" s="616"/>
      <c r="BU672" s="616"/>
      <c r="BV672" s="616"/>
      <c r="BW672" s="616"/>
      <c r="BX672" s="616"/>
      <c r="BY672" s="616"/>
      <c r="BZ672" s="616"/>
      <c r="CA672" s="616"/>
      <c r="CB672" s="616"/>
      <c r="CC672" s="616"/>
      <c r="CD672" s="616"/>
      <c r="CE672" s="616"/>
      <c r="CF672" s="616"/>
      <c r="CG672" s="616"/>
      <c r="CH672" s="616"/>
      <c r="CI672" s="616"/>
      <c r="CJ672" s="616"/>
      <c r="CK672" s="616"/>
      <c r="CL672" s="616"/>
      <c r="CM672" s="616"/>
      <c r="CN672" s="616"/>
    </row>
    <row r="673" spans="8:92">
      <c r="H673" s="602" t="s">
        <v>940</v>
      </c>
      <c r="L673" s="618" t="s">
        <v>1247</v>
      </c>
      <c r="M673" s="600" t="s">
        <v>974</v>
      </c>
      <c r="N673" s="615">
        <f>SUM(U673:AF673)</f>
        <v>0</v>
      </c>
      <c r="O673" s="615">
        <f>SUM(AG673:AR673)</f>
        <v>0</v>
      </c>
      <c r="P673" s="615">
        <f>SUM(AS673:BD673)</f>
        <v>0</v>
      </c>
      <c r="Q673" s="615">
        <f>SUM(BE673:BP673)</f>
        <v>0</v>
      </c>
      <c r="R673" s="615">
        <f>SUM(BQ673:CB673)</f>
        <v>0</v>
      </c>
      <c r="S673" s="615">
        <f>SUM(CC673:CN673)</f>
        <v>0</v>
      </c>
      <c r="U673" s="616">
        <f t="shared" ref="U673:AF673" si="710">N$418</f>
        <v>0</v>
      </c>
      <c r="V673" s="616">
        <f t="shared" si="710"/>
        <v>0</v>
      </c>
      <c r="W673" s="616">
        <f t="shared" si="710"/>
        <v>0</v>
      </c>
      <c r="X673" s="616">
        <f t="shared" si="710"/>
        <v>0</v>
      </c>
      <c r="Y673" s="616">
        <f t="shared" si="710"/>
        <v>0</v>
      </c>
      <c r="Z673" s="616">
        <f t="shared" si="710"/>
        <v>0</v>
      </c>
      <c r="AA673" s="616">
        <f t="shared" si="710"/>
        <v>0</v>
      </c>
      <c r="AB673" s="616">
        <f t="shared" si="710"/>
        <v>0</v>
      </c>
      <c r="AC673" s="616">
        <f t="shared" si="710"/>
        <v>0</v>
      </c>
      <c r="AD673" s="616">
        <f t="shared" si="710"/>
        <v>0</v>
      </c>
      <c r="AE673" s="616">
        <f t="shared" si="710"/>
        <v>0</v>
      </c>
      <c r="AF673" s="616">
        <f t="shared" si="710"/>
        <v>0</v>
      </c>
      <c r="AG673" s="616">
        <f t="shared" ref="AG673:AR673" si="711">N$418</f>
        <v>0</v>
      </c>
      <c r="AH673" s="616">
        <f t="shared" si="711"/>
        <v>0</v>
      </c>
      <c r="AI673" s="616">
        <f t="shared" si="711"/>
        <v>0</v>
      </c>
      <c r="AJ673" s="616">
        <f t="shared" si="711"/>
        <v>0</v>
      </c>
      <c r="AK673" s="616">
        <f t="shared" si="711"/>
        <v>0</v>
      </c>
      <c r="AL673" s="616">
        <f t="shared" si="711"/>
        <v>0</v>
      </c>
      <c r="AM673" s="616">
        <f t="shared" si="711"/>
        <v>0</v>
      </c>
      <c r="AN673" s="616">
        <f t="shared" si="711"/>
        <v>0</v>
      </c>
      <c r="AO673" s="616">
        <f t="shared" si="711"/>
        <v>0</v>
      </c>
      <c r="AP673" s="616">
        <f t="shared" si="711"/>
        <v>0</v>
      </c>
      <c r="AQ673" s="616">
        <f t="shared" si="711"/>
        <v>0</v>
      </c>
      <c r="AR673" s="616">
        <f t="shared" si="711"/>
        <v>0</v>
      </c>
      <c r="AS673" s="616">
        <f t="shared" ref="AS673:BD673" si="712">N$418</f>
        <v>0</v>
      </c>
      <c r="AT673" s="616">
        <f t="shared" si="712"/>
        <v>0</v>
      </c>
      <c r="AU673" s="616">
        <f t="shared" si="712"/>
        <v>0</v>
      </c>
      <c r="AV673" s="616">
        <f t="shared" si="712"/>
        <v>0</v>
      </c>
      <c r="AW673" s="616">
        <f t="shared" si="712"/>
        <v>0</v>
      </c>
      <c r="AX673" s="616">
        <f t="shared" si="712"/>
        <v>0</v>
      </c>
      <c r="AY673" s="616">
        <f t="shared" si="712"/>
        <v>0</v>
      </c>
      <c r="AZ673" s="616">
        <f t="shared" si="712"/>
        <v>0</v>
      </c>
      <c r="BA673" s="616">
        <f t="shared" si="712"/>
        <v>0</v>
      </c>
      <c r="BB673" s="616">
        <f t="shared" si="712"/>
        <v>0</v>
      </c>
      <c r="BC673" s="616">
        <f t="shared" si="712"/>
        <v>0</v>
      </c>
      <c r="BD673" s="616">
        <f t="shared" si="712"/>
        <v>0</v>
      </c>
      <c r="BE673" s="616">
        <f t="shared" ref="BE673:BP673" si="713">N$418</f>
        <v>0</v>
      </c>
      <c r="BF673" s="616">
        <f t="shared" si="713"/>
        <v>0</v>
      </c>
      <c r="BG673" s="616">
        <f t="shared" si="713"/>
        <v>0</v>
      </c>
      <c r="BH673" s="616">
        <f t="shared" si="713"/>
        <v>0</v>
      </c>
      <c r="BI673" s="616">
        <f t="shared" si="713"/>
        <v>0</v>
      </c>
      <c r="BJ673" s="616">
        <f t="shared" si="713"/>
        <v>0</v>
      </c>
      <c r="BK673" s="616">
        <f t="shared" si="713"/>
        <v>0</v>
      </c>
      <c r="BL673" s="616">
        <f t="shared" si="713"/>
        <v>0</v>
      </c>
      <c r="BM673" s="616">
        <f t="shared" si="713"/>
        <v>0</v>
      </c>
      <c r="BN673" s="616">
        <f t="shared" si="713"/>
        <v>0</v>
      </c>
      <c r="BO673" s="616">
        <f t="shared" si="713"/>
        <v>0</v>
      </c>
      <c r="BP673" s="616">
        <f t="shared" si="713"/>
        <v>0</v>
      </c>
      <c r="BQ673" s="616">
        <f t="shared" ref="BQ673:CB673" si="714">N$418</f>
        <v>0</v>
      </c>
      <c r="BR673" s="616">
        <f t="shared" si="714"/>
        <v>0</v>
      </c>
      <c r="BS673" s="616">
        <f t="shared" si="714"/>
        <v>0</v>
      </c>
      <c r="BT673" s="616">
        <f t="shared" si="714"/>
        <v>0</v>
      </c>
      <c r="BU673" s="616">
        <f t="shared" si="714"/>
        <v>0</v>
      </c>
      <c r="BV673" s="616">
        <f t="shared" si="714"/>
        <v>0</v>
      </c>
      <c r="BW673" s="616">
        <f t="shared" si="714"/>
        <v>0</v>
      </c>
      <c r="BX673" s="616">
        <f t="shared" si="714"/>
        <v>0</v>
      </c>
      <c r="BY673" s="616">
        <f t="shared" si="714"/>
        <v>0</v>
      </c>
      <c r="BZ673" s="616">
        <f t="shared" si="714"/>
        <v>0</v>
      </c>
      <c r="CA673" s="616">
        <f t="shared" si="714"/>
        <v>0</v>
      </c>
      <c r="CB673" s="616">
        <f t="shared" si="714"/>
        <v>0</v>
      </c>
      <c r="CC673" s="616">
        <f t="shared" ref="CC673:CN673" si="715">N$418</f>
        <v>0</v>
      </c>
      <c r="CD673" s="616">
        <f t="shared" si="715"/>
        <v>0</v>
      </c>
      <c r="CE673" s="616">
        <f t="shared" si="715"/>
        <v>0</v>
      </c>
      <c r="CF673" s="616">
        <f t="shared" si="715"/>
        <v>0</v>
      </c>
      <c r="CG673" s="616">
        <f t="shared" si="715"/>
        <v>0</v>
      </c>
      <c r="CH673" s="616">
        <f t="shared" si="715"/>
        <v>0</v>
      </c>
      <c r="CI673" s="616">
        <f t="shared" si="715"/>
        <v>0</v>
      </c>
      <c r="CJ673" s="616">
        <f t="shared" si="715"/>
        <v>0</v>
      </c>
      <c r="CK673" s="616">
        <f t="shared" si="715"/>
        <v>0</v>
      </c>
      <c r="CL673" s="616">
        <f t="shared" si="715"/>
        <v>0</v>
      </c>
      <c r="CM673" s="616">
        <f t="shared" si="715"/>
        <v>0</v>
      </c>
      <c r="CN673" s="616">
        <f t="shared" si="715"/>
        <v>0</v>
      </c>
    </row>
    <row r="674" spans="8:92">
      <c r="H674" s="602" t="s">
        <v>940</v>
      </c>
      <c r="L674" s="618" t="s">
        <v>908</v>
      </c>
      <c r="M674" s="600" t="s">
        <v>974</v>
      </c>
      <c r="N674" s="615" t="e">
        <f>SUM(U674:AF674)</f>
        <v>#N/A</v>
      </c>
      <c r="O674" s="615" t="e">
        <f>SUM(AG674:AR674)</f>
        <v>#N/A</v>
      </c>
      <c r="P674" s="615" t="e">
        <f>SUM(AS674:BD674)</f>
        <v>#N/A</v>
      </c>
      <c r="Q674" s="615" t="e">
        <f>SUM(BE674:BP674)</f>
        <v>#N/A</v>
      </c>
      <c r="R674" s="615" t="e">
        <f>SUM(BQ674:CB674)</f>
        <v>#N/A</v>
      </c>
      <c r="S674" s="615" t="e">
        <f>SUM(CC674:CN674)</f>
        <v>#N/A</v>
      </c>
      <c r="U674" s="616" t="e">
        <f t="shared" ref="U674:AF674" si="716">U661*N$419</f>
        <v>#N/A</v>
      </c>
      <c r="V674" s="616" t="e">
        <f t="shared" si="716"/>
        <v>#N/A</v>
      </c>
      <c r="W674" s="616" t="e">
        <f t="shared" si="716"/>
        <v>#N/A</v>
      </c>
      <c r="X674" s="616" t="e">
        <f t="shared" si="716"/>
        <v>#N/A</v>
      </c>
      <c r="Y674" s="616" t="e">
        <f t="shared" si="716"/>
        <v>#N/A</v>
      </c>
      <c r="Z674" s="616" t="e">
        <f t="shared" si="716"/>
        <v>#N/A</v>
      </c>
      <c r="AA674" s="616" t="e">
        <f t="shared" si="716"/>
        <v>#N/A</v>
      </c>
      <c r="AB674" s="616" t="e">
        <f t="shared" si="716"/>
        <v>#N/A</v>
      </c>
      <c r="AC674" s="616" t="e">
        <f t="shared" si="716"/>
        <v>#N/A</v>
      </c>
      <c r="AD674" s="616" t="e">
        <f t="shared" si="716"/>
        <v>#N/A</v>
      </c>
      <c r="AE674" s="616" t="e">
        <f t="shared" si="716"/>
        <v>#N/A</v>
      </c>
      <c r="AF674" s="616" t="e">
        <f t="shared" si="716"/>
        <v>#N/A</v>
      </c>
      <c r="AG674" s="616" t="e">
        <f t="shared" ref="AG674:AR674" si="717">AG661*N$419</f>
        <v>#N/A</v>
      </c>
      <c r="AH674" s="616" t="e">
        <f t="shared" si="717"/>
        <v>#N/A</v>
      </c>
      <c r="AI674" s="616" t="e">
        <f t="shared" si="717"/>
        <v>#N/A</v>
      </c>
      <c r="AJ674" s="616" t="e">
        <f t="shared" si="717"/>
        <v>#N/A</v>
      </c>
      <c r="AK674" s="616" t="e">
        <f t="shared" si="717"/>
        <v>#N/A</v>
      </c>
      <c r="AL674" s="616" t="e">
        <f t="shared" si="717"/>
        <v>#N/A</v>
      </c>
      <c r="AM674" s="616" t="e">
        <f t="shared" si="717"/>
        <v>#N/A</v>
      </c>
      <c r="AN674" s="616" t="e">
        <f t="shared" si="717"/>
        <v>#N/A</v>
      </c>
      <c r="AO674" s="616" t="e">
        <f t="shared" si="717"/>
        <v>#N/A</v>
      </c>
      <c r="AP674" s="616" t="e">
        <f t="shared" si="717"/>
        <v>#N/A</v>
      </c>
      <c r="AQ674" s="616" t="e">
        <f t="shared" si="717"/>
        <v>#N/A</v>
      </c>
      <c r="AR674" s="616" t="e">
        <f t="shared" si="717"/>
        <v>#N/A</v>
      </c>
      <c r="AS674" s="616" t="e">
        <f t="shared" ref="AS674:BD674" si="718">AS661*N$419</f>
        <v>#N/A</v>
      </c>
      <c r="AT674" s="616" t="e">
        <f t="shared" si="718"/>
        <v>#N/A</v>
      </c>
      <c r="AU674" s="616" t="e">
        <f t="shared" si="718"/>
        <v>#N/A</v>
      </c>
      <c r="AV674" s="616" t="e">
        <f t="shared" si="718"/>
        <v>#N/A</v>
      </c>
      <c r="AW674" s="616" t="e">
        <f t="shared" si="718"/>
        <v>#N/A</v>
      </c>
      <c r="AX674" s="616" t="e">
        <f t="shared" si="718"/>
        <v>#N/A</v>
      </c>
      <c r="AY674" s="616" t="e">
        <f t="shared" si="718"/>
        <v>#N/A</v>
      </c>
      <c r="AZ674" s="616" t="e">
        <f t="shared" si="718"/>
        <v>#N/A</v>
      </c>
      <c r="BA674" s="616" t="e">
        <f t="shared" si="718"/>
        <v>#N/A</v>
      </c>
      <c r="BB674" s="616" t="e">
        <f t="shared" si="718"/>
        <v>#N/A</v>
      </c>
      <c r="BC674" s="616" t="e">
        <f t="shared" si="718"/>
        <v>#N/A</v>
      </c>
      <c r="BD674" s="616" t="e">
        <f t="shared" si="718"/>
        <v>#N/A</v>
      </c>
      <c r="BE674" s="616" t="e">
        <f t="shared" ref="BE674:BP674" si="719">BE661*N$419</f>
        <v>#N/A</v>
      </c>
      <c r="BF674" s="616" t="e">
        <f t="shared" si="719"/>
        <v>#N/A</v>
      </c>
      <c r="BG674" s="616" t="e">
        <f t="shared" si="719"/>
        <v>#N/A</v>
      </c>
      <c r="BH674" s="616" t="e">
        <f t="shared" si="719"/>
        <v>#N/A</v>
      </c>
      <c r="BI674" s="616" t="e">
        <f t="shared" si="719"/>
        <v>#N/A</v>
      </c>
      <c r="BJ674" s="616" t="e">
        <f t="shared" si="719"/>
        <v>#N/A</v>
      </c>
      <c r="BK674" s="616" t="e">
        <f t="shared" si="719"/>
        <v>#N/A</v>
      </c>
      <c r="BL674" s="616" t="e">
        <f t="shared" si="719"/>
        <v>#N/A</v>
      </c>
      <c r="BM674" s="616" t="e">
        <f t="shared" si="719"/>
        <v>#N/A</v>
      </c>
      <c r="BN674" s="616" t="e">
        <f t="shared" si="719"/>
        <v>#N/A</v>
      </c>
      <c r="BO674" s="616" t="e">
        <f t="shared" si="719"/>
        <v>#N/A</v>
      </c>
      <c r="BP674" s="616" t="e">
        <f t="shared" si="719"/>
        <v>#N/A</v>
      </c>
      <c r="BQ674" s="616" t="e">
        <f t="shared" ref="BQ674:CB674" si="720">BQ661*N$419</f>
        <v>#N/A</v>
      </c>
      <c r="BR674" s="616" t="e">
        <f t="shared" si="720"/>
        <v>#N/A</v>
      </c>
      <c r="BS674" s="616" t="e">
        <f t="shared" si="720"/>
        <v>#N/A</v>
      </c>
      <c r="BT674" s="616" t="e">
        <f t="shared" si="720"/>
        <v>#N/A</v>
      </c>
      <c r="BU674" s="616" t="e">
        <f t="shared" si="720"/>
        <v>#N/A</v>
      </c>
      <c r="BV674" s="616" t="e">
        <f t="shared" si="720"/>
        <v>#N/A</v>
      </c>
      <c r="BW674" s="616" t="e">
        <f t="shared" si="720"/>
        <v>#N/A</v>
      </c>
      <c r="BX674" s="616" t="e">
        <f t="shared" si="720"/>
        <v>#N/A</v>
      </c>
      <c r="BY674" s="616" t="e">
        <f t="shared" si="720"/>
        <v>#N/A</v>
      </c>
      <c r="BZ674" s="616" t="e">
        <f t="shared" si="720"/>
        <v>#N/A</v>
      </c>
      <c r="CA674" s="616" t="e">
        <f t="shared" si="720"/>
        <v>#N/A</v>
      </c>
      <c r="CB674" s="616" t="e">
        <f t="shared" si="720"/>
        <v>#N/A</v>
      </c>
      <c r="CC674" s="616" t="e">
        <f t="shared" ref="CC674:CN674" si="721">CC661*N$419</f>
        <v>#N/A</v>
      </c>
      <c r="CD674" s="616" t="e">
        <f t="shared" si="721"/>
        <v>#N/A</v>
      </c>
      <c r="CE674" s="616" t="e">
        <f t="shared" si="721"/>
        <v>#N/A</v>
      </c>
      <c r="CF674" s="616" t="e">
        <f t="shared" si="721"/>
        <v>#N/A</v>
      </c>
      <c r="CG674" s="616" t="e">
        <f t="shared" si="721"/>
        <v>#N/A</v>
      </c>
      <c r="CH674" s="616" t="e">
        <f t="shared" si="721"/>
        <v>#N/A</v>
      </c>
      <c r="CI674" s="616" t="e">
        <f t="shared" si="721"/>
        <v>#N/A</v>
      </c>
      <c r="CJ674" s="616" t="e">
        <f t="shared" si="721"/>
        <v>#N/A</v>
      </c>
      <c r="CK674" s="616" t="e">
        <f t="shared" si="721"/>
        <v>#N/A</v>
      </c>
      <c r="CL674" s="616" t="e">
        <f t="shared" si="721"/>
        <v>#N/A</v>
      </c>
      <c r="CM674" s="616" t="e">
        <f t="shared" si="721"/>
        <v>#N/A</v>
      </c>
      <c r="CN674" s="616" t="e">
        <f t="shared" si="721"/>
        <v>#N/A</v>
      </c>
    </row>
    <row r="675" spans="8:92">
      <c r="H675" s="602" t="s">
        <v>940</v>
      </c>
      <c r="L675" s="618" t="s">
        <v>1304</v>
      </c>
      <c r="M675" s="600" t="s">
        <v>974</v>
      </c>
      <c r="N675" s="615" t="e">
        <f>SUM(U675:AF675)</f>
        <v>#N/A</v>
      </c>
      <c r="O675" s="615" t="e">
        <f>SUM(AG675:AR675)</f>
        <v>#N/A</v>
      </c>
      <c r="P675" s="615" t="e">
        <f>SUM(AS675:BD675)</f>
        <v>#N/A</v>
      </c>
      <c r="Q675" s="615" t="e">
        <f>SUM(BE675:BP675)</f>
        <v>#N/A</v>
      </c>
      <c r="R675" s="615" t="e">
        <f>SUM(BQ675:CB675)</f>
        <v>#N/A</v>
      </c>
      <c r="S675" s="615" t="e">
        <f>SUM(CC675:CN675)</f>
        <v>#N/A</v>
      </c>
      <c r="U675" s="616" t="e">
        <f t="shared" ref="U675:CF675" si="722">SUM(U668:U671,U673:U674)</f>
        <v>#N/A</v>
      </c>
      <c r="V675" s="616" t="e">
        <f t="shared" si="722"/>
        <v>#N/A</v>
      </c>
      <c r="W675" s="616" t="e">
        <f t="shared" si="722"/>
        <v>#N/A</v>
      </c>
      <c r="X675" s="616" t="e">
        <f t="shared" si="722"/>
        <v>#N/A</v>
      </c>
      <c r="Y675" s="616" t="e">
        <f t="shared" si="722"/>
        <v>#N/A</v>
      </c>
      <c r="Z675" s="616" t="e">
        <f t="shared" si="722"/>
        <v>#N/A</v>
      </c>
      <c r="AA675" s="616" t="e">
        <f t="shared" si="722"/>
        <v>#N/A</v>
      </c>
      <c r="AB675" s="616" t="e">
        <f t="shared" si="722"/>
        <v>#N/A</v>
      </c>
      <c r="AC675" s="616" t="e">
        <f t="shared" si="722"/>
        <v>#N/A</v>
      </c>
      <c r="AD675" s="616" t="e">
        <f t="shared" si="722"/>
        <v>#N/A</v>
      </c>
      <c r="AE675" s="616" t="e">
        <f t="shared" si="722"/>
        <v>#N/A</v>
      </c>
      <c r="AF675" s="616" t="e">
        <f t="shared" si="722"/>
        <v>#N/A</v>
      </c>
      <c r="AG675" s="616" t="e">
        <f t="shared" si="722"/>
        <v>#N/A</v>
      </c>
      <c r="AH675" s="616" t="e">
        <f t="shared" si="722"/>
        <v>#N/A</v>
      </c>
      <c r="AI675" s="616" t="e">
        <f t="shared" si="722"/>
        <v>#N/A</v>
      </c>
      <c r="AJ675" s="616" t="e">
        <f t="shared" si="722"/>
        <v>#N/A</v>
      </c>
      <c r="AK675" s="616" t="e">
        <f t="shared" si="722"/>
        <v>#N/A</v>
      </c>
      <c r="AL675" s="616" t="e">
        <f t="shared" si="722"/>
        <v>#N/A</v>
      </c>
      <c r="AM675" s="616" t="e">
        <f t="shared" si="722"/>
        <v>#N/A</v>
      </c>
      <c r="AN675" s="616" t="e">
        <f t="shared" si="722"/>
        <v>#N/A</v>
      </c>
      <c r="AO675" s="616" t="e">
        <f t="shared" si="722"/>
        <v>#N/A</v>
      </c>
      <c r="AP675" s="616" t="e">
        <f t="shared" si="722"/>
        <v>#N/A</v>
      </c>
      <c r="AQ675" s="616" t="e">
        <f t="shared" si="722"/>
        <v>#N/A</v>
      </c>
      <c r="AR675" s="616" t="e">
        <f t="shared" si="722"/>
        <v>#N/A</v>
      </c>
      <c r="AS675" s="616" t="e">
        <f t="shared" si="722"/>
        <v>#N/A</v>
      </c>
      <c r="AT675" s="616" t="e">
        <f t="shared" si="722"/>
        <v>#N/A</v>
      </c>
      <c r="AU675" s="616" t="e">
        <f t="shared" si="722"/>
        <v>#N/A</v>
      </c>
      <c r="AV675" s="616" t="e">
        <f t="shared" si="722"/>
        <v>#N/A</v>
      </c>
      <c r="AW675" s="616" t="e">
        <f t="shared" si="722"/>
        <v>#N/A</v>
      </c>
      <c r="AX675" s="616" t="e">
        <f t="shared" si="722"/>
        <v>#N/A</v>
      </c>
      <c r="AY675" s="616" t="e">
        <f t="shared" si="722"/>
        <v>#N/A</v>
      </c>
      <c r="AZ675" s="616" t="e">
        <f t="shared" si="722"/>
        <v>#N/A</v>
      </c>
      <c r="BA675" s="616" t="e">
        <f t="shared" si="722"/>
        <v>#N/A</v>
      </c>
      <c r="BB675" s="616" t="e">
        <f t="shared" si="722"/>
        <v>#N/A</v>
      </c>
      <c r="BC675" s="616" t="e">
        <f t="shared" si="722"/>
        <v>#N/A</v>
      </c>
      <c r="BD675" s="616" t="e">
        <f t="shared" si="722"/>
        <v>#N/A</v>
      </c>
      <c r="BE675" s="616" t="e">
        <f t="shared" si="722"/>
        <v>#N/A</v>
      </c>
      <c r="BF675" s="616" t="e">
        <f t="shared" si="722"/>
        <v>#N/A</v>
      </c>
      <c r="BG675" s="616" t="e">
        <f t="shared" si="722"/>
        <v>#N/A</v>
      </c>
      <c r="BH675" s="616" t="e">
        <f t="shared" si="722"/>
        <v>#N/A</v>
      </c>
      <c r="BI675" s="616" t="e">
        <f t="shared" si="722"/>
        <v>#N/A</v>
      </c>
      <c r="BJ675" s="616" t="e">
        <f t="shared" si="722"/>
        <v>#N/A</v>
      </c>
      <c r="BK675" s="616" t="e">
        <f t="shared" si="722"/>
        <v>#N/A</v>
      </c>
      <c r="BL675" s="616" t="e">
        <f t="shared" si="722"/>
        <v>#N/A</v>
      </c>
      <c r="BM675" s="616" t="e">
        <f t="shared" si="722"/>
        <v>#N/A</v>
      </c>
      <c r="BN675" s="616" t="e">
        <f t="shared" si="722"/>
        <v>#N/A</v>
      </c>
      <c r="BO675" s="616" t="e">
        <f t="shared" si="722"/>
        <v>#N/A</v>
      </c>
      <c r="BP675" s="616" t="e">
        <f t="shared" si="722"/>
        <v>#N/A</v>
      </c>
      <c r="BQ675" s="616" t="e">
        <f t="shared" si="722"/>
        <v>#N/A</v>
      </c>
      <c r="BR675" s="616" t="e">
        <f t="shared" si="722"/>
        <v>#N/A</v>
      </c>
      <c r="BS675" s="616" t="e">
        <f t="shared" si="722"/>
        <v>#N/A</v>
      </c>
      <c r="BT675" s="616" t="e">
        <f t="shared" si="722"/>
        <v>#N/A</v>
      </c>
      <c r="BU675" s="616" t="e">
        <f t="shared" si="722"/>
        <v>#N/A</v>
      </c>
      <c r="BV675" s="616" t="e">
        <f t="shared" si="722"/>
        <v>#N/A</v>
      </c>
      <c r="BW675" s="616" t="e">
        <f t="shared" si="722"/>
        <v>#N/A</v>
      </c>
      <c r="BX675" s="616" t="e">
        <f t="shared" si="722"/>
        <v>#N/A</v>
      </c>
      <c r="BY675" s="616" t="e">
        <f t="shared" si="722"/>
        <v>#N/A</v>
      </c>
      <c r="BZ675" s="616" t="e">
        <f t="shared" si="722"/>
        <v>#N/A</v>
      </c>
      <c r="CA675" s="616" t="e">
        <f t="shared" si="722"/>
        <v>#N/A</v>
      </c>
      <c r="CB675" s="616" t="e">
        <f t="shared" si="722"/>
        <v>#N/A</v>
      </c>
      <c r="CC675" s="616" t="e">
        <f t="shared" si="722"/>
        <v>#N/A</v>
      </c>
      <c r="CD675" s="616" t="e">
        <f t="shared" si="722"/>
        <v>#N/A</v>
      </c>
      <c r="CE675" s="616" t="e">
        <f t="shared" si="722"/>
        <v>#N/A</v>
      </c>
      <c r="CF675" s="616" t="e">
        <f t="shared" si="722"/>
        <v>#N/A</v>
      </c>
      <c r="CG675" s="616" t="e">
        <f t="shared" ref="CG675:CN675" si="723">SUM(CG668:CG671,CG673:CG674)</f>
        <v>#N/A</v>
      </c>
      <c r="CH675" s="616" t="e">
        <f t="shared" si="723"/>
        <v>#N/A</v>
      </c>
      <c r="CI675" s="616" t="e">
        <f t="shared" si="723"/>
        <v>#N/A</v>
      </c>
      <c r="CJ675" s="616" t="e">
        <f t="shared" si="723"/>
        <v>#N/A</v>
      </c>
      <c r="CK675" s="616" t="e">
        <f t="shared" si="723"/>
        <v>#N/A</v>
      </c>
      <c r="CL675" s="616" t="e">
        <f t="shared" si="723"/>
        <v>#N/A</v>
      </c>
      <c r="CM675" s="616" t="e">
        <f t="shared" si="723"/>
        <v>#N/A</v>
      </c>
      <c r="CN675" s="616" t="e">
        <f t="shared" si="723"/>
        <v>#N/A</v>
      </c>
    </row>
    <row r="676" spans="8:92">
      <c r="H676" s="602" t="s">
        <v>940</v>
      </c>
      <c r="L676" s="618" t="s">
        <v>909</v>
      </c>
      <c r="M676" s="600" t="s">
        <v>974</v>
      </c>
      <c r="N676" s="615" t="e">
        <f>SUM(U676:AF676)</f>
        <v>#N/A</v>
      </c>
      <c r="O676" s="615" t="e">
        <f>SUM(AG676:AR676)</f>
        <v>#N/A</v>
      </c>
      <c r="P676" s="615" t="e">
        <f>SUM(AS676:BD676)</f>
        <v>#N/A</v>
      </c>
      <c r="Q676" s="615" t="e">
        <f>SUM(BE676:BP676)</f>
        <v>#N/A</v>
      </c>
      <c r="R676" s="615" t="e">
        <f>SUM(BQ676:CB676)</f>
        <v>#N/A</v>
      </c>
      <c r="S676" s="615" t="e">
        <f>SUM(CC676:CN676)</f>
        <v>#N/A</v>
      </c>
      <c r="U676" s="616" t="e">
        <f t="shared" ref="U676:AF676" si="724">U675*N$420/100</f>
        <v>#N/A</v>
      </c>
      <c r="V676" s="616" t="e">
        <f t="shared" si="724"/>
        <v>#N/A</v>
      </c>
      <c r="W676" s="616" t="e">
        <f t="shared" si="724"/>
        <v>#N/A</v>
      </c>
      <c r="X676" s="616" t="e">
        <f t="shared" si="724"/>
        <v>#N/A</v>
      </c>
      <c r="Y676" s="616" t="e">
        <f t="shared" si="724"/>
        <v>#N/A</v>
      </c>
      <c r="Z676" s="616" t="e">
        <f t="shared" si="724"/>
        <v>#N/A</v>
      </c>
      <c r="AA676" s="616" t="e">
        <f t="shared" si="724"/>
        <v>#N/A</v>
      </c>
      <c r="AB676" s="616" t="e">
        <f t="shared" si="724"/>
        <v>#N/A</v>
      </c>
      <c r="AC676" s="616" t="e">
        <f t="shared" si="724"/>
        <v>#N/A</v>
      </c>
      <c r="AD676" s="616" t="e">
        <f t="shared" si="724"/>
        <v>#N/A</v>
      </c>
      <c r="AE676" s="616" t="e">
        <f t="shared" si="724"/>
        <v>#N/A</v>
      </c>
      <c r="AF676" s="616" t="e">
        <f t="shared" si="724"/>
        <v>#N/A</v>
      </c>
      <c r="AG676" s="616" t="e">
        <f t="shared" ref="AG676:AR676" si="725">AG675*N$420/100</f>
        <v>#N/A</v>
      </c>
      <c r="AH676" s="616" t="e">
        <f t="shared" si="725"/>
        <v>#N/A</v>
      </c>
      <c r="AI676" s="616" t="e">
        <f t="shared" si="725"/>
        <v>#N/A</v>
      </c>
      <c r="AJ676" s="616" t="e">
        <f t="shared" si="725"/>
        <v>#N/A</v>
      </c>
      <c r="AK676" s="616" t="e">
        <f t="shared" si="725"/>
        <v>#N/A</v>
      </c>
      <c r="AL676" s="616" t="e">
        <f t="shared" si="725"/>
        <v>#N/A</v>
      </c>
      <c r="AM676" s="616" t="e">
        <f t="shared" si="725"/>
        <v>#N/A</v>
      </c>
      <c r="AN676" s="616" t="e">
        <f t="shared" si="725"/>
        <v>#N/A</v>
      </c>
      <c r="AO676" s="616" t="e">
        <f t="shared" si="725"/>
        <v>#N/A</v>
      </c>
      <c r="AP676" s="616" t="e">
        <f t="shared" si="725"/>
        <v>#N/A</v>
      </c>
      <c r="AQ676" s="616" t="e">
        <f t="shared" si="725"/>
        <v>#N/A</v>
      </c>
      <c r="AR676" s="616" t="e">
        <f t="shared" si="725"/>
        <v>#N/A</v>
      </c>
      <c r="AS676" s="616" t="e">
        <f t="shared" ref="AS676:BD676" si="726">AS675*N$420/100</f>
        <v>#N/A</v>
      </c>
      <c r="AT676" s="616" t="e">
        <f t="shared" si="726"/>
        <v>#N/A</v>
      </c>
      <c r="AU676" s="616" t="e">
        <f t="shared" si="726"/>
        <v>#N/A</v>
      </c>
      <c r="AV676" s="616" t="e">
        <f t="shared" si="726"/>
        <v>#N/A</v>
      </c>
      <c r="AW676" s="616" t="e">
        <f t="shared" si="726"/>
        <v>#N/A</v>
      </c>
      <c r="AX676" s="616" t="e">
        <f t="shared" si="726"/>
        <v>#N/A</v>
      </c>
      <c r="AY676" s="616" t="e">
        <f t="shared" si="726"/>
        <v>#N/A</v>
      </c>
      <c r="AZ676" s="616" t="e">
        <f t="shared" si="726"/>
        <v>#N/A</v>
      </c>
      <c r="BA676" s="616" t="e">
        <f t="shared" si="726"/>
        <v>#N/A</v>
      </c>
      <c r="BB676" s="616" t="e">
        <f t="shared" si="726"/>
        <v>#N/A</v>
      </c>
      <c r="BC676" s="616" t="e">
        <f t="shared" si="726"/>
        <v>#N/A</v>
      </c>
      <c r="BD676" s="616" t="e">
        <f t="shared" si="726"/>
        <v>#N/A</v>
      </c>
      <c r="BE676" s="616" t="e">
        <f t="shared" ref="BE676:BP676" si="727">BE675*N$420/100</f>
        <v>#N/A</v>
      </c>
      <c r="BF676" s="616" t="e">
        <f t="shared" si="727"/>
        <v>#N/A</v>
      </c>
      <c r="BG676" s="616" t="e">
        <f t="shared" si="727"/>
        <v>#N/A</v>
      </c>
      <c r="BH676" s="616" t="e">
        <f t="shared" si="727"/>
        <v>#N/A</v>
      </c>
      <c r="BI676" s="616" t="e">
        <f t="shared" si="727"/>
        <v>#N/A</v>
      </c>
      <c r="BJ676" s="616" t="e">
        <f t="shared" si="727"/>
        <v>#N/A</v>
      </c>
      <c r="BK676" s="616" t="e">
        <f t="shared" si="727"/>
        <v>#N/A</v>
      </c>
      <c r="BL676" s="616" t="e">
        <f t="shared" si="727"/>
        <v>#N/A</v>
      </c>
      <c r="BM676" s="616" t="e">
        <f t="shared" si="727"/>
        <v>#N/A</v>
      </c>
      <c r="BN676" s="616" t="e">
        <f t="shared" si="727"/>
        <v>#N/A</v>
      </c>
      <c r="BO676" s="616" t="e">
        <f t="shared" si="727"/>
        <v>#N/A</v>
      </c>
      <c r="BP676" s="616" t="e">
        <f t="shared" si="727"/>
        <v>#N/A</v>
      </c>
      <c r="BQ676" s="616" t="e">
        <f t="shared" ref="BQ676:CB676" si="728">BQ675*N$420/100</f>
        <v>#N/A</v>
      </c>
      <c r="BR676" s="616" t="e">
        <f t="shared" si="728"/>
        <v>#N/A</v>
      </c>
      <c r="BS676" s="616" t="e">
        <f t="shared" si="728"/>
        <v>#N/A</v>
      </c>
      <c r="BT676" s="616" t="e">
        <f t="shared" si="728"/>
        <v>#N/A</v>
      </c>
      <c r="BU676" s="616" t="e">
        <f t="shared" si="728"/>
        <v>#N/A</v>
      </c>
      <c r="BV676" s="616" t="e">
        <f t="shared" si="728"/>
        <v>#N/A</v>
      </c>
      <c r="BW676" s="616" t="e">
        <f t="shared" si="728"/>
        <v>#N/A</v>
      </c>
      <c r="BX676" s="616" t="e">
        <f t="shared" si="728"/>
        <v>#N/A</v>
      </c>
      <c r="BY676" s="616" t="e">
        <f t="shared" si="728"/>
        <v>#N/A</v>
      </c>
      <c r="BZ676" s="616" t="e">
        <f t="shared" si="728"/>
        <v>#N/A</v>
      </c>
      <c r="CA676" s="616" t="e">
        <f t="shared" si="728"/>
        <v>#N/A</v>
      </c>
      <c r="CB676" s="616" t="e">
        <f t="shared" si="728"/>
        <v>#N/A</v>
      </c>
      <c r="CC676" s="616" t="e">
        <f t="shared" ref="CC676:CN676" si="729">CC675*N$420/100</f>
        <v>#N/A</v>
      </c>
      <c r="CD676" s="616" t="e">
        <f t="shared" si="729"/>
        <v>#N/A</v>
      </c>
      <c r="CE676" s="616" t="e">
        <f t="shared" si="729"/>
        <v>#N/A</v>
      </c>
      <c r="CF676" s="616" t="e">
        <f t="shared" si="729"/>
        <v>#N/A</v>
      </c>
      <c r="CG676" s="616" t="e">
        <f t="shared" si="729"/>
        <v>#N/A</v>
      </c>
      <c r="CH676" s="616" t="e">
        <f t="shared" si="729"/>
        <v>#N/A</v>
      </c>
      <c r="CI676" s="616" t="e">
        <f t="shared" si="729"/>
        <v>#N/A</v>
      </c>
      <c r="CJ676" s="616" t="e">
        <f t="shared" si="729"/>
        <v>#N/A</v>
      </c>
      <c r="CK676" s="616" t="e">
        <f t="shared" si="729"/>
        <v>#N/A</v>
      </c>
      <c r="CL676" s="616" t="e">
        <f t="shared" si="729"/>
        <v>#N/A</v>
      </c>
      <c r="CM676" s="616" t="e">
        <f t="shared" si="729"/>
        <v>#N/A</v>
      </c>
      <c r="CN676" s="616" t="e">
        <f t="shared" si="729"/>
        <v>#N/A</v>
      </c>
    </row>
    <row r="677" spans="8:92">
      <c r="H677" s="602" t="s">
        <v>940</v>
      </c>
      <c r="L677" s="618"/>
      <c r="M677" s="600"/>
      <c r="N677" s="615"/>
      <c r="O677" s="615"/>
      <c r="P677" s="615"/>
      <c r="Q677" s="615"/>
      <c r="R677" s="615"/>
      <c r="S677" s="615"/>
      <c r="U677" s="616"/>
      <c r="V677" s="616"/>
      <c r="W677" s="616"/>
      <c r="X677" s="616"/>
      <c r="Y677" s="616"/>
      <c r="Z677" s="616"/>
      <c r="AA677" s="616"/>
      <c r="AB677" s="616"/>
      <c r="AC677" s="616"/>
      <c r="AD677" s="616"/>
      <c r="AE677" s="616"/>
      <c r="AF677" s="616"/>
      <c r="AG677" s="616"/>
      <c r="AH677" s="616"/>
      <c r="AI677" s="616"/>
      <c r="AJ677" s="616"/>
      <c r="AK677" s="616"/>
      <c r="AL677" s="616"/>
      <c r="AM677" s="616"/>
      <c r="AN677" s="616"/>
      <c r="AO677" s="616"/>
      <c r="AP677" s="616"/>
      <c r="AQ677" s="616"/>
      <c r="AR677" s="616"/>
      <c r="AS677" s="616"/>
      <c r="AT677" s="616"/>
      <c r="AU677" s="616"/>
      <c r="AV677" s="616"/>
      <c r="AW677" s="616"/>
      <c r="AX677" s="616"/>
      <c r="AY677" s="616"/>
      <c r="AZ677" s="616"/>
      <c r="BA677" s="616"/>
      <c r="BB677" s="616"/>
      <c r="BC677" s="616"/>
      <c r="BD677" s="616"/>
      <c r="BE677" s="616"/>
      <c r="BF677" s="616"/>
      <c r="BG677" s="616"/>
      <c r="BH677" s="616"/>
      <c r="BI677" s="616"/>
      <c r="BJ677" s="616"/>
      <c r="BK677" s="616"/>
      <c r="BL677" s="616"/>
      <c r="BM677" s="616"/>
      <c r="BN677" s="616"/>
      <c r="BO677" s="616"/>
      <c r="BP677" s="616"/>
      <c r="BQ677" s="616"/>
      <c r="BR677" s="616"/>
      <c r="BS677" s="616"/>
      <c r="BT677" s="616"/>
      <c r="BU677" s="616"/>
      <c r="BV677" s="616"/>
      <c r="BW677" s="616"/>
      <c r="BX677" s="616"/>
      <c r="BY677" s="616"/>
      <c r="BZ677" s="616"/>
      <c r="CA677" s="616"/>
      <c r="CB677" s="616"/>
      <c r="CC677" s="616"/>
      <c r="CD677" s="616"/>
      <c r="CE677" s="616"/>
      <c r="CF677" s="616"/>
      <c r="CG677" s="616"/>
      <c r="CH677" s="616"/>
      <c r="CI677" s="616"/>
      <c r="CJ677" s="616"/>
      <c r="CK677" s="616"/>
      <c r="CL677" s="616"/>
      <c r="CM677" s="616"/>
      <c r="CN677" s="616"/>
    </row>
    <row r="678" spans="8:92">
      <c r="H678" s="602" t="s">
        <v>940</v>
      </c>
      <c r="L678" s="618" t="s">
        <v>1305</v>
      </c>
      <c r="M678" s="600" t="s">
        <v>974</v>
      </c>
      <c r="N678" s="615" t="e">
        <f>SUM(U678:AF678)</f>
        <v>#N/A</v>
      </c>
      <c r="O678" s="615" t="e">
        <f>SUM(AG678:AR678)</f>
        <v>#N/A</v>
      </c>
      <c r="P678" s="615" t="e">
        <f>SUM(AS678:BD678)</f>
        <v>#N/A</v>
      </c>
      <c r="Q678" s="615" t="e">
        <f>SUM(BE678:BP678)</f>
        <v>#N/A</v>
      </c>
      <c r="R678" s="615" t="e">
        <f>SUM(BQ678:CB678)</f>
        <v>#N/A</v>
      </c>
      <c r="S678" s="615" t="e">
        <f>SUM(CC678:CN678)</f>
        <v>#N/A</v>
      </c>
      <c r="U678" s="616" t="e">
        <f>SUM(U675:U676)</f>
        <v>#N/A</v>
      </c>
      <c r="V678" s="616" t="e">
        <f t="shared" ref="V678:CG678" si="730">SUM(V675:V676)</f>
        <v>#N/A</v>
      </c>
      <c r="W678" s="616" t="e">
        <f t="shared" si="730"/>
        <v>#N/A</v>
      </c>
      <c r="X678" s="616" t="e">
        <f t="shared" si="730"/>
        <v>#N/A</v>
      </c>
      <c r="Y678" s="616" t="e">
        <f t="shared" si="730"/>
        <v>#N/A</v>
      </c>
      <c r="Z678" s="616" t="e">
        <f t="shared" si="730"/>
        <v>#N/A</v>
      </c>
      <c r="AA678" s="616" t="e">
        <f t="shared" si="730"/>
        <v>#N/A</v>
      </c>
      <c r="AB678" s="616" t="e">
        <f t="shared" si="730"/>
        <v>#N/A</v>
      </c>
      <c r="AC678" s="616" t="e">
        <f t="shared" si="730"/>
        <v>#N/A</v>
      </c>
      <c r="AD678" s="616" t="e">
        <f t="shared" si="730"/>
        <v>#N/A</v>
      </c>
      <c r="AE678" s="616" t="e">
        <f t="shared" si="730"/>
        <v>#N/A</v>
      </c>
      <c r="AF678" s="616" t="e">
        <f t="shared" si="730"/>
        <v>#N/A</v>
      </c>
      <c r="AG678" s="616" t="e">
        <f t="shared" si="730"/>
        <v>#N/A</v>
      </c>
      <c r="AH678" s="616" t="e">
        <f t="shared" si="730"/>
        <v>#N/A</v>
      </c>
      <c r="AI678" s="616" t="e">
        <f t="shared" si="730"/>
        <v>#N/A</v>
      </c>
      <c r="AJ678" s="616" t="e">
        <f t="shared" si="730"/>
        <v>#N/A</v>
      </c>
      <c r="AK678" s="616" t="e">
        <f t="shared" si="730"/>
        <v>#N/A</v>
      </c>
      <c r="AL678" s="616" t="e">
        <f t="shared" si="730"/>
        <v>#N/A</v>
      </c>
      <c r="AM678" s="616" t="e">
        <f t="shared" si="730"/>
        <v>#N/A</v>
      </c>
      <c r="AN678" s="616" t="e">
        <f t="shared" si="730"/>
        <v>#N/A</v>
      </c>
      <c r="AO678" s="616" t="e">
        <f t="shared" si="730"/>
        <v>#N/A</v>
      </c>
      <c r="AP678" s="616" t="e">
        <f t="shared" si="730"/>
        <v>#N/A</v>
      </c>
      <c r="AQ678" s="616" t="e">
        <f t="shared" si="730"/>
        <v>#N/A</v>
      </c>
      <c r="AR678" s="616" t="e">
        <f t="shared" si="730"/>
        <v>#N/A</v>
      </c>
      <c r="AS678" s="616" t="e">
        <f t="shared" si="730"/>
        <v>#N/A</v>
      </c>
      <c r="AT678" s="616" t="e">
        <f t="shared" si="730"/>
        <v>#N/A</v>
      </c>
      <c r="AU678" s="616" t="e">
        <f t="shared" si="730"/>
        <v>#N/A</v>
      </c>
      <c r="AV678" s="616" t="e">
        <f t="shared" si="730"/>
        <v>#N/A</v>
      </c>
      <c r="AW678" s="616" t="e">
        <f t="shared" si="730"/>
        <v>#N/A</v>
      </c>
      <c r="AX678" s="616" t="e">
        <f t="shared" si="730"/>
        <v>#N/A</v>
      </c>
      <c r="AY678" s="616" t="e">
        <f t="shared" si="730"/>
        <v>#N/A</v>
      </c>
      <c r="AZ678" s="616" t="e">
        <f t="shared" si="730"/>
        <v>#N/A</v>
      </c>
      <c r="BA678" s="616" t="e">
        <f t="shared" si="730"/>
        <v>#N/A</v>
      </c>
      <c r="BB678" s="616" t="e">
        <f t="shared" si="730"/>
        <v>#N/A</v>
      </c>
      <c r="BC678" s="616" t="e">
        <f t="shared" si="730"/>
        <v>#N/A</v>
      </c>
      <c r="BD678" s="616" t="e">
        <f t="shared" si="730"/>
        <v>#N/A</v>
      </c>
      <c r="BE678" s="616" t="e">
        <f t="shared" si="730"/>
        <v>#N/A</v>
      </c>
      <c r="BF678" s="616" t="e">
        <f t="shared" si="730"/>
        <v>#N/A</v>
      </c>
      <c r="BG678" s="616" t="e">
        <f t="shared" si="730"/>
        <v>#N/A</v>
      </c>
      <c r="BH678" s="616" t="e">
        <f t="shared" si="730"/>
        <v>#N/A</v>
      </c>
      <c r="BI678" s="616" t="e">
        <f t="shared" si="730"/>
        <v>#N/A</v>
      </c>
      <c r="BJ678" s="616" t="e">
        <f t="shared" si="730"/>
        <v>#N/A</v>
      </c>
      <c r="BK678" s="616" t="e">
        <f t="shared" si="730"/>
        <v>#N/A</v>
      </c>
      <c r="BL678" s="616" t="e">
        <f t="shared" si="730"/>
        <v>#N/A</v>
      </c>
      <c r="BM678" s="616" t="e">
        <f t="shared" si="730"/>
        <v>#N/A</v>
      </c>
      <c r="BN678" s="616" t="e">
        <f t="shared" si="730"/>
        <v>#N/A</v>
      </c>
      <c r="BO678" s="616" t="e">
        <f t="shared" si="730"/>
        <v>#N/A</v>
      </c>
      <c r="BP678" s="616" t="e">
        <f t="shared" si="730"/>
        <v>#N/A</v>
      </c>
      <c r="BQ678" s="616" t="e">
        <f t="shared" si="730"/>
        <v>#N/A</v>
      </c>
      <c r="BR678" s="616" t="e">
        <f t="shared" si="730"/>
        <v>#N/A</v>
      </c>
      <c r="BS678" s="616" t="e">
        <f t="shared" si="730"/>
        <v>#N/A</v>
      </c>
      <c r="BT678" s="616" t="e">
        <f t="shared" si="730"/>
        <v>#N/A</v>
      </c>
      <c r="BU678" s="616" t="e">
        <f t="shared" si="730"/>
        <v>#N/A</v>
      </c>
      <c r="BV678" s="616" t="e">
        <f t="shared" si="730"/>
        <v>#N/A</v>
      </c>
      <c r="BW678" s="616" t="e">
        <f t="shared" si="730"/>
        <v>#N/A</v>
      </c>
      <c r="BX678" s="616" t="e">
        <f t="shared" si="730"/>
        <v>#N/A</v>
      </c>
      <c r="BY678" s="616" t="e">
        <f t="shared" si="730"/>
        <v>#N/A</v>
      </c>
      <c r="BZ678" s="616" t="e">
        <f t="shared" si="730"/>
        <v>#N/A</v>
      </c>
      <c r="CA678" s="616" t="e">
        <f t="shared" si="730"/>
        <v>#N/A</v>
      </c>
      <c r="CB678" s="616" t="e">
        <f t="shared" si="730"/>
        <v>#N/A</v>
      </c>
      <c r="CC678" s="616" t="e">
        <f t="shared" si="730"/>
        <v>#N/A</v>
      </c>
      <c r="CD678" s="616" t="e">
        <f t="shared" si="730"/>
        <v>#N/A</v>
      </c>
      <c r="CE678" s="616" t="e">
        <f t="shared" si="730"/>
        <v>#N/A</v>
      </c>
      <c r="CF678" s="616" t="e">
        <f t="shared" si="730"/>
        <v>#N/A</v>
      </c>
      <c r="CG678" s="616" t="e">
        <f t="shared" si="730"/>
        <v>#N/A</v>
      </c>
      <c r="CH678" s="616" t="e">
        <f t="shared" ref="CH678:CN678" si="731">SUM(CH675:CH676)</f>
        <v>#N/A</v>
      </c>
      <c r="CI678" s="616" t="e">
        <f t="shared" si="731"/>
        <v>#N/A</v>
      </c>
      <c r="CJ678" s="616" t="e">
        <f t="shared" si="731"/>
        <v>#N/A</v>
      </c>
      <c r="CK678" s="616" t="e">
        <f t="shared" si="731"/>
        <v>#N/A</v>
      </c>
      <c r="CL678" s="616" t="e">
        <f t="shared" si="731"/>
        <v>#N/A</v>
      </c>
      <c r="CM678" s="616" t="e">
        <f t="shared" si="731"/>
        <v>#N/A</v>
      </c>
      <c r="CN678" s="616" t="e">
        <f t="shared" si="731"/>
        <v>#N/A</v>
      </c>
    </row>
    <row r="679" spans="8:92">
      <c r="H679" s="602" t="s">
        <v>940</v>
      </c>
      <c r="L679" s="618" t="s">
        <v>1307</v>
      </c>
      <c r="M679" s="600" t="s">
        <v>974</v>
      </c>
      <c r="N679" s="615" t="e">
        <f>SUM(U679:AF679)</f>
        <v>#N/A</v>
      </c>
      <c r="O679" s="615" t="e">
        <f>SUM(AG679:AR679)</f>
        <v>#N/A</v>
      </c>
      <c r="P679" s="615" t="e">
        <f>SUM(AS679:BD679)</f>
        <v>#N/A</v>
      </c>
      <c r="Q679" s="615" t="e">
        <f>SUM(BE679:BP679)</f>
        <v>#N/A</v>
      </c>
      <c r="R679" s="615" t="e">
        <f>SUM(BQ679:CB679)</f>
        <v>#N/A</v>
      </c>
      <c r="S679" s="615" t="e">
        <f>SUM(CC679:CN679)</f>
        <v>#N/A</v>
      </c>
      <c r="U679" s="616" t="e">
        <f>U678-U654</f>
        <v>#N/A</v>
      </c>
      <c r="V679" s="616" t="e">
        <f t="shared" ref="V679:CG679" si="732">V678-V654</f>
        <v>#N/A</v>
      </c>
      <c r="W679" s="616" t="e">
        <f t="shared" si="732"/>
        <v>#N/A</v>
      </c>
      <c r="X679" s="616" t="e">
        <f t="shared" si="732"/>
        <v>#N/A</v>
      </c>
      <c r="Y679" s="616" t="e">
        <f t="shared" si="732"/>
        <v>#N/A</v>
      </c>
      <c r="Z679" s="616" t="e">
        <f t="shared" si="732"/>
        <v>#N/A</v>
      </c>
      <c r="AA679" s="616" t="e">
        <f t="shared" si="732"/>
        <v>#N/A</v>
      </c>
      <c r="AB679" s="616" t="e">
        <f t="shared" si="732"/>
        <v>#N/A</v>
      </c>
      <c r="AC679" s="616" t="e">
        <f t="shared" si="732"/>
        <v>#N/A</v>
      </c>
      <c r="AD679" s="616" t="e">
        <f t="shared" si="732"/>
        <v>#N/A</v>
      </c>
      <c r="AE679" s="616" t="e">
        <f t="shared" si="732"/>
        <v>#N/A</v>
      </c>
      <c r="AF679" s="616" t="e">
        <f t="shared" si="732"/>
        <v>#N/A</v>
      </c>
      <c r="AG679" s="616" t="e">
        <f t="shared" si="732"/>
        <v>#N/A</v>
      </c>
      <c r="AH679" s="616" t="e">
        <f t="shared" si="732"/>
        <v>#N/A</v>
      </c>
      <c r="AI679" s="616" t="e">
        <f t="shared" si="732"/>
        <v>#N/A</v>
      </c>
      <c r="AJ679" s="616" t="e">
        <f t="shared" si="732"/>
        <v>#N/A</v>
      </c>
      <c r="AK679" s="616" t="e">
        <f t="shared" si="732"/>
        <v>#N/A</v>
      </c>
      <c r="AL679" s="616" t="e">
        <f t="shared" si="732"/>
        <v>#N/A</v>
      </c>
      <c r="AM679" s="616" t="e">
        <f t="shared" si="732"/>
        <v>#N/A</v>
      </c>
      <c r="AN679" s="616" t="e">
        <f t="shared" si="732"/>
        <v>#N/A</v>
      </c>
      <c r="AO679" s="616" t="e">
        <f t="shared" si="732"/>
        <v>#N/A</v>
      </c>
      <c r="AP679" s="616" t="e">
        <f t="shared" si="732"/>
        <v>#N/A</v>
      </c>
      <c r="AQ679" s="616" t="e">
        <f t="shared" si="732"/>
        <v>#N/A</v>
      </c>
      <c r="AR679" s="616" t="e">
        <f t="shared" si="732"/>
        <v>#N/A</v>
      </c>
      <c r="AS679" s="616" t="e">
        <f t="shared" si="732"/>
        <v>#N/A</v>
      </c>
      <c r="AT679" s="616" t="e">
        <f t="shared" si="732"/>
        <v>#N/A</v>
      </c>
      <c r="AU679" s="616" t="e">
        <f t="shared" si="732"/>
        <v>#N/A</v>
      </c>
      <c r="AV679" s="616" t="e">
        <f t="shared" si="732"/>
        <v>#N/A</v>
      </c>
      <c r="AW679" s="616" t="e">
        <f t="shared" si="732"/>
        <v>#N/A</v>
      </c>
      <c r="AX679" s="616" t="e">
        <f t="shared" si="732"/>
        <v>#N/A</v>
      </c>
      <c r="AY679" s="616" t="e">
        <f t="shared" si="732"/>
        <v>#N/A</v>
      </c>
      <c r="AZ679" s="616" t="e">
        <f t="shared" si="732"/>
        <v>#N/A</v>
      </c>
      <c r="BA679" s="616" t="e">
        <f t="shared" si="732"/>
        <v>#N/A</v>
      </c>
      <c r="BB679" s="616" t="e">
        <f t="shared" si="732"/>
        <v>#N/A</v>
      </c>
      <c r="BC679" s="616" t="e">
        <f t="shared" si="732"/>
        <v>#N/A</v>
      </c>
      <c r="BD679" s="616" t="e">
        <f t="shared" si="732"/>
        <v>#N/A</v>
      </c>
      <c r="BE679" s="616" t="e">
        <f t="shared" si="732"/>
        <v>#N/A</v>
      </c>
      <c r="BF679" s="616" t="e">
        <f t="shared" si="732"/>
        <v>#N/A</v>
      </c>
      <c r="BG679" s="616" t="e">
        <f t="shared" si="732"/>
        <v>#N/A</v>
      </c>
      <c r="BH679" s="616" t="e">
        <f t="shared" si="732"/>
        <v>#N/A</v>
      </c>
      <c r="BI679" s="616" t="e">
        <f t="shared" si="732"/>
        <v>#N/A</v>
      </c>
      <c r="BJ679" s="616" t="e">
        <f t="shared" si="732"/>
        <v>#N/A</v>
      </c>
      <c r="BK679" s="616" t="e">
        <f t="shared" si="732"/>
        <v>#N/A</v>
      </c>
      <c r="BL679" s="616" t="e">
        <f t="shared" si="732"/>
        <v>#N/A</v>
      </c>
      <c r="BM679" s="616" t="e">
        <f t="shared" si="732"/>
        <v>#N/A</v>
      </c>
      <c r="BN679" s="616" t="e">
        <f t="shared" si="732"/>
        <v>#N/A</v>
      </c>
      <c r="BO679" s="616" t="e">
        <f t="shared" si="732"/>
        <v>#N/A</v>
      </c>
      <c r="BP679" s="616" t="e">
        <f t="shared" si="732"/>
        <v>#N/A</v>
      </c>
      <c r="BQ679" s="616" t="e">
        <f t="shared" si="732"/>
        <v>#N/A</v>
      </c>
      <c r="BR679" s="616" t="e">
        <f t="shared" si="732"/>
        <v>#N/A</v>
      </c>
      <c r="BS679" s="616" t="e">
        <f t="shared" si="732"/>
        <v>#N/A</v>
      </c>
      <c r="BT679" s="616" t="e">
        <f t="shared" si="732"/>
        <v>#N/A</v>
      </c>
      <c r="BU679" s="616" t="e">
        <f t="shared" si="732"/>
        <v>#N/A</v>
      </c>
      <c r="BV679" s="616" t="e">
        <f t="shared" si="732"/>
        <v>#N/A</v>
      </c>
      <c r="BW679" s="616" t="e">
        <f t="shared" si="732"/>
        <v>#N/A</v>
      </c>
      <c r="BX679" s="616" t="e">
        <f t="shared" si="732"/>
        <v>#N/A</v>
      </c>
      <c r="BY679" s="616" t="e">
        <f t="shared" si="732"/>
        <v>#N/A</v>
      </c>
      <c r="BZ679" s="616" t="e">
        <f t="shared" si="732"/>
        <v>#N/A</v>
      </c>
      <c r="CA679" s="616" t="e">
        <f t="shared" si="732"/>
        <v>#N/A</v>
      </c>
      <c r="CB679" s="616" t="e">
        <f t="shared" si="732"/>
        <v>#N/A</v>
      </c>
      <c r="CC679" s="616" t="e">
        <f t="shared" si="732"/>
        <v>#N/A</v>
      </c>
      <c r="CD679" s="616" t="e">
        <f t="shared" si="732"/>
        <v>#N/A</v>
      </c>
      <c r="CE679" s="616" t="e">
        <f t="shared" si="732"/>
        <v>#N/A</v>
      </c>
      <c r="CF679" s="616" t="e">
        <f t="shared" si="732"/>
        <v>#N/A</v>
      </c>
      <c r="CG679" s="616" t="e">
        <f t="shared" si="732"/>
        <v>#N/A</v>
      </c>
      <c r="CH679" s="616" t="e">
        <f t="shared" ref="CH679:CN679" si="733">CH678-CH654</f>
        <v>#N/A</v>
      </c>
      <c r="CI679" s="616" t="e">
        <f t="shared" si="733"/>
        <v>#N/A</v>
      </c>
      <c r="CJ679" s="616" t="e">
        <f t="shared" si="733"/>
        <v>#N/A</v>
      </c>
      <c r="CK679" s="616" t="e">
        <f t="shared" si="733"/>
        <v>#N/A</v>
      </c>
      <c r="CL679" s="616" t="e">
        <f t="shared" si="733"/>
        <v>#N/A</v>
      </c>
      <c r="CM679" s="616" t="e">
        <f t="shared" si="733"/>
        <v>#N/A</v>
      </c>
      <c r="CN679" s="616" t="e">
        <f t="shared" si="733"/>
        <v>#N/A</v>
      </c>
    </row>
    <row r="680" spans="8:92">
      <c r="H680" s="602" t="s">
        <v>940</v>
      </c>
    </row>
    <row r="681" spans="8:92" ht="18">
      <c r="H681" s="602" t="s">
        <v>940</v>
      </c>
      <c r="L681" s="652" t="s">
        <v>1313</v>
      </c>
      <c r="M681" s="551"/>
      <c r="N681" s="751"/>
      <c r="O681" s="751"/>
      <c r="P681" s="751"/>
      <c r="Q681" s="751"/>
      <c r="R681" s="751"/>
      <c r="S681" s="751"/>
      <c r="T681" s="551"/>
      <c r="U681" s="551"/>
      <c r="V681" s="551"/>
      <c r="W681" s="551"/>
      <c r="X681" s="551"/>
      <c r="Y681" s="551"/>
      <c r="Z681" s="551"/>
      <c r="AA681" s="551"/>
      <c r="AB681" s="551"/>
      <c r="AC681" s="551"/>
      <c r="AD681" s="551"/>
      <c r="AE681" s="551"/>
      <c r="AF681" s="551"/>
      <c r="AG681" s="551"/>
      <c r="AH681" s="551"/>
      <c r="AI681" s="551"/>
      <c r="AJ681" s="551"/>
      <c r="AK681" s="551"/>
      <c r="AL681" s="551"/>
      <c r="AM681" s="551"/>
      <c r="AN681" s="551"/>
      <c r="AO681" s="551"/>
      <c r="AP681" s="551"/>
      <c r="AQ681" s="551"/>
      <c r="AR681" s="551"/>
      <c r="AS681" s="551"/>
      <c r="AT681" s="551"/>
      <c r="AU681" s="551"/>
      <c r="AV681" s="551"/>
      <c r="AW681" s="551"/>
      <c r="AX681" s="551"/>
      <c r="AY681" s="551"/>
      <c r="AZ681" s="551"/>
      <c r="BA681" s="551"/>
      <c r="BB681" s="551"/>
      <c r="BC681" s="551"/>
      <c r="BD681" s="551"/>
      <c r="BE681" s="551"/>
      <c r="BF681" s="551"/>
      <c r="BG681" s="551"/>
      <c r="BH681" s="551"/>
      <c r="BI681" s="551"/>
      <c r="BJ681" s="551"/>
      <c r="BK681" s="551"/>
      <c r="BL681" s="551"/>
      <c r="BM681" s="551"/>
      <c r="BN681" s="551"/>
      <c r="BO681" s="551"/>
      <c r="BP681" s="551"/>
      <c r="BQ681" s="551"/>
      <c r="BR681" s="551"/>
      <c r="BS681" s="551"/>
      <c r="BT681" s="551"/>
      <c r="BU681" s="551"/>
      <c r="BV681" s="551"/>
      <c r="BW681" s="551"/>
      <c r="BX681" s="551"/>
      <c r="BY681" s="551"/>
      <c r="BZ681" s="551"/>
      <c r="CA681" s="551"/>
      <c r="CB681" s="551"/>
      <c r="CC681" s="551"/>
      <c r="CD681" s="551"/>
      <c r="CE681" s="551"/>
      <c r="CF681" s="551"/>
      <c r="CG681" s="551"/>
      <c r="CH681" s="551"/>
      <c r="CI681" s="551"/>
      <c r="CJ681" s="551"/>
      <c r="CK681" s="551"/>
      <c r="CL681" s="551"/>
      <c r="CM681" s="551"/>
      <c r="CN681" s="551"/>
    </row>
    <row r="682" spans="8:92" ht="13.5" thickBot="1">
      <c r="H682" s="602" t="s">
        <v>940</v>
      </c>
    </row>
    <row r="683" spans="8:92" ht="13.5" thickTop="1">
      <c r="H683" s="602" t="s">
        <v>940</v>
      </c>
      <c r="L683" s="757" t="s">
        <v>1314</v>
      </c>
      <c r="M683" s="758"/>
      <c r="N683" s="758"/>
      <c r="O683" s="758"/>
      <c r="P683" s="758"/>
      <c r="Q683" s="758"/>
      <c r="R683" s="758"/>
      <c r="S683" s="758"/>
      <c r="T683" s="758"/>
      <c r="U683" s="758"/>
      <c r="V683" s="758"/>
      <c r="W683" s="758"/>
      <c r="X683" s="758"/>
      <c r="Y683" s="758"/>
      <c r="Z683" s="758"/>
      <c r="AA683" s="758"/>
      <c r="AB683" s="758"/>
      <c r="AC683" s="758"/>
      <c r="AD683" s="758"/>
      <c r="AE683" s="758"/>
      <c r="AF683" s="758"/>
      <c r="AG683" s="758"/>
      <c r="AH683" s="758"/>
      <c r="AI683" s="758"/>
      <c r="AJ683" s="758"/>
      <c r="AK683" s="758"/>
      <c r="AL683" s="758"/>
      <c r="AM683" s="758"/>
      <c r="AN683" s="758"/>
      <c r="AO683" s="758"/>
      <c r="AP683" s="758"/>
      <c r="AQ683" s="758"/>
      <c r="AR683" s="758"/>
      <c r="AS683" s="758"/>
      <c r="AT683" s="758"/>
      <c r="AU683" s="758"/>
      <c r="AV683" s="758"/>
      <c r="AW683" s="758"/>
      <c r="AX683" s="758"/>
      <c r="AY683" s="758"/>
      <c r="AZ683" s="758"/>
      <c r="BA683" s="758"/>
      <c r="BB683" s="758"/>
      <c r="BC683" s="758"/>
      <c r="BD683" s="758"/>
      <c r="BE683" s="758"/>
      <c r="BF683" s="758"/>
      <c r="BG683" s="758"/>
      <c r="BH683" s="758"/>
      <c r="BI683" s="758"/>
      <c r="BJ683" s="758"/>
      <c r="BK683" s="758"/>
      <c r="BL683" s="758"/>
      <c r="BM683" s="758"/>
      <c r="BN683" s="758"/>
      <c r="BO683" s="758"/>
      <c r="BP683" s="758"/>
      <c r="BQ683" s="758"/>
      <c r="BR683" s="758"/>
      <c r="BS683" s="758"/>
      <c r="BT683" s="758"/>
      <c r="BU683" s="758"/>
      <c r="BV683" s="758"/>
      <c r="BW683" s="758"/>
      <c r="BX683" s="758"/>
      <c r="BY683" s="758"/>
      <c r="BZ683" s="758"/>
      <c r="CA683" s="758"/>
      <c r="CB683" s="758"/>
      <c r="CC683" s="758"/>
      <c r="CD683" s="758"/>
      <c r="CE683" s="758"/>
      <c r="CF683" s="758"/>
      <c r="CG683" s="758"/>
      <c r="CH683" s="758"/>
      <c r="CI683" s="758"/>
      <c r="CJ683" s="758"/>
      <c r="CK683" s="758"/>
      <c r="CL683" s="758"/>
      <c r="CM683" s="758"/>
      <c r="CN683" s="758"/>
    </row>
    <row r="684" spans="8:92">
      <c r="H684" s="602" t="s">
        <v>940</v>
      </c>
      <c r="L684" s="609"/>
      <c r="M684" s="609" t="s">
        <v>359</v>
      </c>
      <c r="N684" s="704" t="s">
        <v>929</v>
      </c>
      <c r="O684" s="704" t="s">
        <v>1193</v>
      </c>
      <c r="P684" s="704" t="s">
        <v>1194</v>
      </c>
      <c r="Q684" s="704" t="s">
        <v>1195</v>
      </c>
      <c r="R684" s="704" t="s">
        <v>1196</v>
      </c>
      <c r="S684" s="704" t="s">
        <v>1197</v>
      </c>
      <c r="T684" s="753"/>
      <c r="U684" s="692" t="s">
        <v>929</v>
      </c>
      <c r="AF684" s="753"/>
      <c r="AG684" s="704" t="s">
        <v>1193</v>
      </c>
      <c r="AR684" s="753"/>
      <c r="AS684" s="704" t="s">
        <v>1194</v>
      </c>
      <c r="BD684" s="753"/>
      <c r="BE684" s="704" t="s">
        <v>1195</v>
      </c>
      <c r="BP684" s="753"/>
      <c r="BQ684" s="704" t="s">
        <v>1196</v>
      </c>
      <c r="CB684" s="753"/>
      <c r="CC684" s="704" t="s">
        <v>1197</v>
      </c>
    </row>
    <row r="685" spans="8:92">
      <c r="H685" s="602" t="s">
        <v>940</v>
      </c>
      <c r="L685" s="611"/>
      <c r="M685" s="611"/>
      <c r="N685" s="754" t="s">
        <v>405</v>
      </c>
      <c r="O685" s="754" t="s">
        <v>405</v>
      </c>
      <c r="P685" s="754" t="s">
        <v>405</v>
      </c>
      <c r="Q685" s="754" t="s">
        <v>405</v>
      </c>
      <c r="R685" s="754" t="s">
        <v>405</v>
      </c>
      <c r="S685" s="754" t="s">
        <v>405</v>
      </c>
      <c r="T685" s="755"/>
      <c r="U685" s="754" t="s">
        <v>1259</v>
      </c>
      <c r="V685" s="754" t="s">
        <v>1260</v>
      </c>
      <c r="W685" s="754" t="s">
        <v>1261</v>
      </c>
      <c r="X685" s="754" t="s">
        <v>1262</v>
      </c>
      <c r="Y685" s="754" t="s">
        <v>947</v>
      </c>
      <c r="Z685" s="754" t="s">
        <v>1263</v>
      </c>
      <c r="AA685" s="754" t="s">
        <v>1264</v>
      </c>
      <c r="AB685" s="754" t="s">
        <v>1265</v>
      </c>
      <c r="AC685" s="754" t="s">
        <v>1266</v>
      </c>
      <c r="AD685" s="754" t="s">
        <v>1267</v>
      </c>
      <c r="AE685" s="754" t="s">
        <v>1268</v>
      </c>
      <c r="AF685" s="756" t="s">
        <v>1269</v>
      </c>
      <c r="AG685" s="754" t="s">
        <v>1259</v>
      </c>
      <c r="AH685" s="754" t="s">
        <v>1260</v>
      </c>
      <c r="AI685" s="754" t="s">
        <v>1261</v>
      </c>
      <c r="AJ685" s="754" t="s">
        <v>1262</v>
      </c>
      <c r="AK685" s="754" t="s">
        <v>947</v>
      </c>
      <c r="AL685" s="754" t="s">
        <v>1263</v>
      </c>
      <c r="AM685" s="754" t="s">
        <v>1264</v>
      </c>
      <c r="AN685" s="754" t="s">
        <v>1265</v>
      </c>
      <c r="AO685" s="754" t="s">
        <v>1266</v>
      </c>
      <c r="AP685" s="754" t="s">
        <v>1267</v>
      </c>
      <c r="AQ685" s="754" t="s">
        <v>1268</v>
      </c>
      <c r="AR685" s="756" t="s">
        <v>1269</v>
      </c>
      <c r="AS685" s="754" t="s">
        <v>1259</v>
      </c>
      <c r="AT685" s="754" t="s">
        <v>1260</v>
      </c>
      <c r="AU685" s="754" t="s">
        <v>1261</v>
      </c>
      <c r="AV685" s="754" t="s">
        <v>1262</v>
      </c>
      <c r="AW685" s="754" t="s">
        <v>947</v>
      </c>
      <c r="AX685" s="754" t="s">
        <v>1263</v>
      </c>
      <c r="AY685" s="754" t="s">
        <v>1264</v>
      </c>
      <c r="AZ685" s="754" t="s">
        <v>1265</v>
      </c>
      <c r="BA685" s="754" t="s">
        <v>1266</v>
      </c>
      <c r="BB685" s="754" t="s">
        <v>1267</v>
      </c>
      <c r="BC685" s="754" t="s">
        <v>1268</v>
      </c>
      <c r="BD685" s="756" t="s">
        <v>1269</v>
      </c>
      <c r="BE685" s="754" t="s">
        <v>1259</v>
      </c>
      <c r="BF685" s="754" t="s">
        <v>1260</v>
      </c>
      <c r="BG685" s="754" t="s">
        <v>1261</v>
      </c>
      <c r="BH685" s="754" t="s">
        <v>1262</v>
      </c>
      <c r="BI685" s="754" t="s">
        <v>947</v>
      </c>
      <c r="BJ685" s="754" t="s">
        <v>1263</v>
      </c>
      <c r="BK685" s="754" t="s">
        <v>1264</v>
      </c>
      <c r="BL685" s="754" t="s">
        <v>1265</v>
      </c>
      <c r="BM685" s="754" t="s">
        <v>1266</v>
      </c>
      <c r="BN685" s="754" t="s">
        <v>1267</v>
      </c>
      <c r="BO685" s="754" t="s">
        <v>1268</v>
      </c>
      <c r="BP685" s="756" t="s">
        <v>1269</v>
      </c>
      <c r="BQ685" s="754" t="s">
        <v>1259</v>
      </c>
      <c r="BR685" s="754" t="s">
        <v>1260</v>
      </c>
      <c r="BS685" s="754" t="s">
        <v>1261</v>
      </c>
      <c r="BT685" s="754" t="s">
        <v>1262</v>
      </c>
      <c r="BU685" s="754" t="s">
        <v>947</v>
      </c>
      <c r="BV685" s="754" t="s">
        <v>1263</v>
      </c>
      <c r="BW685" s="754" t="s">
        <v>1264</v>
      </c>
      <c r="BX685" s="754" t="s">
        <v>1265</v>
      </c>
      <c r="BY685" s="754" t="s">
        <v>1266</v>
      </c>
      <c r="BZ685" s="754" t="s">
        <v>1267</v>
      </c>
      <c r="CA685" s="754" t="s">
        <v>1268</v>
      </c>
      <c r="CB685" s="756" t="s">
        <v>1269</v>
      </c>
      <c r="CC685" s="754" t="s">
        <v>1259</v>
      </c>
      <c r="CD685" s="754" t="s">
        <v>1260</v>
      </c>
      <c r="CE685" s="754" t="s">
        <v>1261</v>
      </c>
      <c r="CF685" s="754" t="s">
        <v>1262</v>
      </c>
      <c r="CG685" s="754" t="s">
        <v>947</v>
      </c>
      <c r="CH685" s="754" t="s">
        <v>1263</v>
      </c>
      <c r="CI685" s="754" t="s">
        <v>1264</v>
      </c>
      <c r="CJ685" s="754" t="s">
        <v>1265</v>
      </c>
      <c r="CK685" s="754" t="s">
        <v>1266</v>
      </c>
      <c r="CL685" s="754" t="s">
        <v>1267</v>
      </c>
      <c r="CM685" s="754" t="s">
        <v>1268</v>
      </c>
      <c r="CN685" s="754" t="s">
        <v>1269</v>
      </c>
    </row>
    <row r="686" spans="8:92">
      <c r="H686" s="602" t="s">
        <v>940</v>
      </c>
      <c r="L686" s="609"/>
    </row>
    <row r="687" spans="8:92">
      <c r="H687" s="602" t="s">
        <v>940</v>
      </c>
      <c r="L687" s="618" t="s">
        <v>1290</v>
      </c>
      <c r="M687" s="600" t="str">
        <f>$M$496</f>
        <v>Therms</v>
      </c>
      <c r="N687" s="615">
        <f>SUM(U687:AF687)</f>
        <v>33.478100000000005</v>
      </c>
      <c r="O687" s="615">
        <f>SUM(AG687:AR687)</f>
        <v>39.385999999999996</v>
      </c>
      <c r="P687" s="615">
        <f>SUM(AS687:BD687)</f>
        <v>56.995000000000005</v>
      </c>
      <c r="Q687" s="615">
        <f>SUM(BE687:BP687)</f>
        <v>74.603999999999999</v>
      </c>
      <c r="R687" s="615">
        <f>SUM(BQ687:CB687)</f>
        <v>92.21299999999998</v>
      </c>
      <c r="S687" s="615">
        <f>SUM(CC687:CN687)</f>
        <v>109.82199999999999</v>
      </c>
      <c r="U687" s="616">
        <f>U496</f>
        <v>2.7898416666666668</v>
      </c>
      <c r="V687" s="616">
        <f t="shared" ref="V687:CG687" si="734">V496</f>
        <v>2.7898416666666668</v>
      </c>
      <c r="W687" s="616">
        <f t="shared" si="734"/>
        <v>2.7898416666666668</v>
      </c>
      <c r="X687" s="616">
        <f t="shared" si="734"/>
        <v>2.7898416666666668</v>
      </c>
      <c r="Y687" s="616">
        <f t="shared" si="734"/>
        <v>2.7898416666666668</v>
      </c>
      <c r="Z687" s="616">
        <f t="shared" si="734"/>
        <v>2.7898416666666668</v>
      </c>
      <c r="AA687" s="616">
        <f t="shared" si="734"/>
        <v>2.7898416666666668</v>
      </c>
      <c r="AB687" s="616">
        <f t="shared" si="734"/>
        <v>2.7898416666666668</v>
      </c>
      <c r="AC687" s="616">
        <f t="shared" si="734"/>
        <v>2.7898416666666668</v>
      </c>
      <c r="AD687" s="616">
        <f t="shared" si="734"/>
        <v>2.7898416666666668</v>
      </c>
      <c r="AE687" s="616">
        <f t="shared" si="734"/>
        <v>2.7898416666666668</v>
      </c>
      <c r="AF687" s="616">
        <f t="shared" si="734"/>
        <v>2.7898416666666668</v>
      </c>
      <c r="AG687" s="616">
        <f t="shared" si="734"/>
        <v>3.2821666666666665</v>
      </c>
      <c r="AH687" s="616">
        <f t="shared" si="734"/>
        <v>3.2821666666666665</v>
      </c>
      <c r="AI687" s="616">
        <f t="shared" si="734"/>
        <v>3.2821666666666665</v>
      </c>
      <c r="AJ687" s="616">
        <f t="shared" si="734"/>
        <v>3.2821666666666665</v>
      </c>
      <c r="AK687" s="616">
        <f t="shared" si="734"/>
        <v>3.2821666666666665</v>
      </c>
      <c r="AL687" s="616">
        <f t="shared" si="734"/>
        <v>3.2821666666666665</v>
      </c>
      <c r="AM687" s="616">
        <f t="shared" si="734"/>
        <v>3.2821666666666665</v>
      </c>
      <c r="AN687" s="616">
        <f t="shared" si="734"/>
        <v>3.2821666666666665</v>
      </c>
      <c r="AO687" s="616">
        <f t="shared" si="734"/>
        <v>3.2821666666666665</v>
      </c>
      <c r="AP687" s="616">
        <f t="shared" si="734"/>
        <v>3.2821666666666665</v>
      </c>
      <c r="AQ687" s="616">
        <f t="shared" si="734"/>
        <v>3.2821666666666665</v>
      </c>
      <c r="AR687" s="616">
        <f t="shared" si="734"/>
        <v>3.2821666666666665</v>
      </c>
      <c r="AS687" s="616">
        <f t="shared" si="734"/>
        <v>4.7495833333333337</v>
      </c>
      <c r="AT687" s="616">
        <f t="shared" si="734"/>
        <v>4.7495833333333337</v>
      </c>
      <c r="AU687" s="616">
        <f t="shared" si="734"/>
        <v>4.7495833333333337</v>
      </c>
      <c r="AV687" s="616">
        <f t="shared" si="734"/>
        <v>4.7495833333333337</v>
      </c>
      <c r="AW687" s="616">
        <f t="shared" si="734"/>
        <v>4.7495833333333337</v>
      </c>
      <c r="AX687" s="616">
        <f t="shared" si="734"/>
        <v>4.7495833333333337</v>
      </c>
      <c r="AY687" s="616">
        <f t="shared" si="734"/>
        <v>4.7495833333333337</v>
      </c>
      <c r="AZ687" s="616">
        <f t="shared" si="734"/>
        <v>4.7495833333333337</v>
      </c>
      <c r="BA687" s="616">
        <f t="shared" si="734"/>
        <v>4.7495833333333337</v>
      </c>
      <c r="BB687" s="616">
        <f t="shared" si="734"/>
        <v>4.7495833333333337</v>
      </c>
      <c r="BC687" s="616">
        <f t="shared" si="734"/>
        <v>4.7495833333333337</v>
      </c>
      <c r="BD687" s="616">
        <f t="shared" si="734"/>
        <v>4.7495833333333337</v>
      </c>
      <c r="BE687" s="616">
        <f t="shared" si="734"/>
        <v>6.2170000000000005</v>
      </c>
      <c r="BF687" s="616">
        <f t="shared" si="734"/>
        <v>6.2170000000000005</v>
      </c>
      <c r="BG687" s="616">
        <f t="shared" si="734"/>
        <v>6.2170000000000005</v>
      </c>
      <c r="BH687" s="616">
        <f t="shared" si="734"/>
        <v>6.2170000000000005</v>
      </c>
      <c r="BI687" s="616">
        <f t="shared" si="734"/>
        <v>6.2170000000000005</v>
      </c>
      <c r="BJ687" s="616">
        <f t="shared" si="734"/>
        <v>6.2170000000000005</v>
      </c>
      <c r="BK687" s="616">
        <f t="shared" si="734"/>
        <v>6.2170000000000005</v>
      </c>
      <c r="BL687" s="616">
        <f t="shared" si="734"/>
        <v>6.2170000000000005</v>
      </c>
      <c r="BM687" s="616">
        <f t="shared" si="734"/>
        <v>6.2170000000000005</v>
      </c>
      <c r="BN687" s="616">
        <f t="shared" si="734"/>
        <v>6.2170000000000005</v>
      </c>
      <c r="BO687" s="616">
        <f t="shared" si="734"/>
        <v>6.2170000000000005</v>
      </c>
      <c r="BP687" s="616">
        <f t="shared" si="734"/>
        <v>6.2170000000000005</v>
      </c>
      <c r="BQ687" s="616">
        <f t="shared" si="734"/>
        <v>7.6844166666666665</v>
      </c>
      <c r="BR687" s="616">
        <f t="shared" si="734"/>
        <v>7.6844166666666665</v>
      </c>
      <c r="BS687" s="616">
        <f t="shared" si="734"/>
        <v>7.6844166666666665</v>
      </c>
      <c r="BT687" s="616">
        <f t="shared" si="734"/>
        <v>7.6844166666666665</v>
      </c>
      <c r="BU687" s="616">
        <f t="shared" si="734"/>
        <v>7.6844166666666665</v>
      </c>
      <c r="BV687" s="616">
        <f t="shared" si="734"/>
        <v>7.6844166666666665</v>
      </c>
      <c r="BW687" s="616">
        <f t="shared" si="734"/>
        <v>7.6844166666666665</v>
      </c>
      <c r="BX687" s="616">
        <f t="shared" si="734"/>
        <v>7.6844166666666665</v>
      </c>
      <c r="BY687" s="616">
        <f t="shared" si="734"/>
        <v>7.6844166666666665</v>
      </c>
      <c r="BZ687" s="616">
        <f t="shared" si="734"/>
        <v>7.6844166666666665</v>
      </c>
      <c r="CA687" s="616">
        <f t="shared" si="734"/>
        <v>7.6844166666666665</v>
      </c>
      <c r="CB687" s="616">
        <f t="shared" si="734"/>
        <v>7.6844166666666665</v>
      </c>
      <c r="CC687" s="616">
        <f t="shared" si="734"/>
        <v>9.1518333333333342</v>
      </c>
      <c r="CD687" s="616">
        <f t="shared" si="734"/>
        <v>9.1518333333333342</v>
      </c>
      <c r="CE687" s="616">
        <f t="shared" si="734"/>
        <v>9.1518333333333342</v>
      </c>
      <c r="CF687" s="616">
        <f t="shared" si="734"/>
        <v>9.1518333333333342</v>
      </c>
      <c r="CG687" s="616">
        <f t="shared" si="734"/>
        <v>9.1518333333333342</v>
      </c>
      <c r="CH687" s="616">
        <f t="shared" ref="CH687:CN687" si="735">CH496</f>
        <v>9.1518333333333342</v>
      </c>
      <c r="CI687" s="616">
        <f t="shared" si="735"/>
        <v>9.1518333333333342</v>
      </c>
      <c r="CJ687" s="616">
        <f t="shared" si="735"/>
        <v>9.1518333333333342</v>
      </c>
      <c r="CK687" s="616">
        <f t="shared" si="735"/>
        <v>9.1518333333333342</v>
      </c>
      <c r="CL687" s="616">
        <f t="shared" si="735"/>
        <v>9.1518333333333342</v>
      </c>
      <c r="CM687" s="616">
        <f t="shared" si="735"/>
        <v>9.1518333333333342</v>
      </c>
      <c r="CN687" s="616">
        <f t="shared" si="735"/>
        <v>9.1518333333333342</v>
      </c>
    </row>
    <row r="688" spans="8:92">
      <c r="H688" s="602" t="s">
        <v>940</v>
      </c>
      <c r="L688" s="609"/>
      <c r="N688" s="615"/>
      <c r="O688" s="615"/>
      <c r="P688" s="615"/>
      <c r="Q688" s="615"/>
      <c r="R688" s="615"/>
      <c r="S688" s="615"/>
    </row>
    <row r="689" spans="8:92">
      <c r="H689" s="602" t="s">
        <v>940</v>
      </c>
      <c r="L689" s="618" t="s">
        <v>1296</v>
      </c>
      <c r="M689" s="600" t="str">
        <f>$M$496</f>
        <v>Therms</v>
      </c>
      <c r="N689" s="615">
        <f>SUM(U689:AF689)</f>
        <v>33.478100000000005</v>
      </c>
      <c r="O689" s="615">
        <f>SUM(AG689:AR689)</f>
        <v>39.385999999999996</v>
      </c>
      <c r="P689" s="615">
        <f>SUM(AS689:BD689)</f>
        <v>56.995000000000005</v>
      </c>
      <c r="Q689" s="615">
        <f>SUM(BE689:BP689)</f>
        <v>74.603999999999999</v>
      </c>
      <c r="R689" s="615">
        <f>SUM(BQ689:CB689)</f>
        <v>92.21299999999998</v>
      </c>
      <c r="S689" s="615">
        <f>SUM(CC689:CN689)</f>
        <v>109.82199999999999</v>
      </c>
      <c r="U689" s="616">
        <f>MIN(U687,N$442)</f>
        <v>2.7898416666666668</v>
      </c>
      <c r="V689" s="616">
        <f t="shared" ref="V689:AF689" si="736">MIN(V687,O$442)</f>
        <v>2.7898416666666668</v>
      </c>
      <c r="W689" s="616">
        <f t="shared" si="736"/>
        <v>2.7898416666666668</v>
      </c>
      <c r="X689" s="616">
        <f t="shared" si="736"/>
        <v>2.7898416666666668</v>
      </c>
      <c r="Y689" s="616">
        <f t="shared" si="736"/>
        <v>2.7898416666666668</v>
      </c>
      <c r="Z689" s="616">
        <f t="shared" si="736"/>
        <v>2.7898416666666668</v>
      </c>
      <c r="AA689" s="616">
        <f t="shared" si="736"/>
        <v>2.7898416666666668</v>
      </c>
      <c r="AB689" s="616">
        <f t="shared" si="736"/>
        <v>2.7898416666666668</v>
      </c>
      <c r="AC689" s="616">
        <f t="shared" si="736"/>
        <v>2.7898416666666668</v>
      </c>
      <c r="AD689" s="616">
        <f t="shared" si="736"/>
        <v>2.7898416666666668</v>
      </c>
      <c r="AE689" s="616">
        <f t="shared" si="736"/>
        <v>2.7898416666666668</v>
      </c>
      <c r="AF689" s="616">
        <f t="shared" si="736"/>
        <v>2.7898416666666668</v>
      </c>
      <c r="AG689" s="616">
        <f>MIN(AG687,N$442)</f>
        <v>3.2821666666666665</v>
      </c>
      <c r="AH689" s="616">
        <f t="shared" ref="AH689:AR689" si="737">MIN(AH687,O$442)</f>
        <v>3.2821666666666665</v>
      </c>
      <c r="AI689" s="616">
        <f t="shared" si="737"/>
        <v>3.2821666666666665</v>
      </c>
      <c r="AJ689" s="616">
        <f t="shared" si="737"/>
        <v>3.2821666666666665</v>
      </c>
      <c r="AK689" s="616">
        <f t="shared" si="737"/>
        <v>3.2821666666666665</v>
      </c>
      <c r="AL689" s="616">
        <f t="shared" si="737"/>
        <v>3.2821666666666665</v>
      </c>
      <c r="AM689" s="616">
        <f t="shared" si="737"/>
        <v>3.2821666666666665</v>
      </c>
      <c r="AN689" s="616">
        <f t="shared" si="737"/>
        <v>3.2821666666666665</v>
      </c>
      <c r="AO689" s="616">
        <f t="shared" si="737"/>
        <v>3.2821666666666665</v>
      </c>
      <c r="AP689" s="616">
        <f t="shared" si="737"/>
        <v>3.2821666666666665</v>
      </c>
      <c r="AQ689" s="616">
        <f t="shared" si="737"/>
        <v>3.2821666666666665</v>
      </c>
      <c r="AR689" s="616">
        <f t="shared" si="737"/>
        <v>3.2821666666666665</v>
      </c>
      <c r="AS689" s="616">
        <f>MIN(AS687,N$442)</f>
        <v>4.7495833333333337</v>
      </c>
      <c r="AT689" s="616">
        <f t="shared" ref="AT689:BD689" si="738">MIN(AT687,O$442)</f>
        <v>4.7495833333333337</v>
      </c>
      <c r="AU689" s="616">
        <f t="shared" si="738"/>
        <v>4.7495833333333337</v>
      </c>
      <c r="AV689" s="616">
        <f t="shared" si="738"/>
        <v>4.7495833333333337</v>
      </c>
      <c r="AW689" s="616">
        <f t="shared" si="738"/>
        <v>4.7495833333333337</v>
      </c>
      <c r="AX689" s="616">
        <f t="shared" si="738"/>
        <v>4.7495833333333337</v>
      </c>
      <c r="AY689" s="616">
        <f t="shared" si="738"/>
        <v>4.7495833333333337</v>
      </c>
      <c r="AZ689" s="616">
        <f t="shared" si="738"/>
        <v>4.7495833333333337</v>
      </c>
      <c r="BA689" s="616">
        <f t="shared" si="738"/>
        <v>4.7495833333333337</v>
      </c>
      <c r="BB689" s="616">
        <f t="shared" si="738"/>
        <v>4.7495833333333337</v>
      </c>
      <c r="BC689" s="616">
        <f t="shared" si="738"/>
        <v>4.7495833333333337</v>
      </c>
      <c r="BD689" s="616">
        <f t="shared" si="738"/>
        <v>4.7495833333333337</v>
      </c>
      <c r="BE689" s="616">
        <f>MIN(BE687,N$442)</f>
        <v>6.2170000000000005</v>
      </c>
      <c r="BF689" s="616">
        <f t="shared" ref="BF689:BP689" si="739">MIN(BF687,O$442)</f>
        <v>6.2170000000000005</v>
      </c>
      <c r="BG689" s="616">
        <f t="shared" si="739"/>
        <v>6.2170000000000005</v>
      </c>
      <c r="BH689" s="616">
        <f t="shared" si="739"/>
        <v>6.2170000000000005</v>
      </c>
      <c r="BI689" s="616">
        <f t="shared" si="739"/>
        <v>6.2170000000000005</v>
      </c>
      <c r="BJ689" s="616">
        <f t="shared" si="739"/>
        <v>6.2170000000000005</v>
      </c>
      <c r="BK689" s="616">
        <f t="shared" si="739"/>
        <v>6.2170000000000005</v>
      </c>
      <c r="BL689" s="616">
        <f t="shared" si="739"/>
        <v>6.2170000000000005</v>
      </c>
      <c r="BM689" s="616">
        <f t="shared" si="739"/>
        <v>6.2170000000000005</v>
      </c>
      <c r="BN689" s="616">
        <f t="shared" si="739"/>
        <v>6.2170000000000005</v>
      </c>
      <c r="BO689" s="616">
        <f t="shared" si="739"/>
        <v>6.2170000000000005</v>
      </c>
      <c r="BP689" s="616">
        <f t="shared" si="739"/>
        <v>6.2170000000000005</v>
      </c>
      <c r="BQ689" s="616">
        <f>MIN(BQ687,N$442)</f>
        <v>7.6844166666666665</v>
      </c>
      <c r="BR689" s="616">
        <f t="shared" ref="BR689:CB689" si="740">MIN(BR687,O$442)</f>
        <v>7.6844166666666665</v>
      </c>
      <c r="BS689" s="616">
        <f t="shared" si="740"/>
        <v>7.6844166666666665</v>
      </c>
      <c r="BT689" s="616">
        <f t="shared" si="740"/>
        <v>7.6844166666666665</v>
      </c>
      <c r="BU689" s="616">
        <f t="shared" si="740"/>
        <v>7.6844166666666665</v>
      </c>
      <c r="BV689" s="616">
        <f t="shared" si="740"/>
        <v>7.6844166666666665</v>
      </c>
      <c r="BW689" s="616">
        <f t="shared" si="740"/>
        <v>7.6844166666666665</v>
      </c>
      <c r="BX689" s="616">
        <f t="shared" si="740"/>
        <v>7.6844166666666665</v>
      </c>
      <c r="BY689" s="616">
        <f t="shared" si="740"/>
        <v>7.6844166666666665</v>
      </c>
      <c r="BZ689" s="616">
        <f t="shared" si="740"/>
        <v>7.6844166666666665</v>
      </c>
      <c r="CA689" s="616">
        <f t="shared" si="740"/>
        <v>7.6844166666666665</v>
      </c>
      <c r="CB689" s="616">
        <f t="shared" si="740"/>
        <v>7.6844166666666665</v>
      </c>
      <c r="CC689" s="616">
        <f>MIN(CC687,N$442)</f>
        <v>9.1518333333333342</v>
      </c>
      <c r="CD689" s="616">
        <f t="shared" ref="CD689:CN689" si="741">MIN(CD687,O$442)</f>
        <v>9.1518333333333342</v>
      </c>
      <c r="CE689" s="616">
        <f t="shared" si="741"/>
        <v>9.1518333333333342</v>
      </c>
      <c r="CF689" s="616">
        <f t="shared" si="741"/>
        <v>9.1518333333333342</v>
      </c>
      <c r="CG689" s="616">
        <f t="shared" si="741"/>
        <v>9.1518333333333342</v>
      </c>
      <c r="CH689" s="616">
        <f t="shared" si="741"/>
        <v>9.1518333333333342</v>
      </c>
      <c r="CI689" s="616">
        <f t="shared" si="741"/>
        <v>9.1518333333333342</v>
      </c>
      <c r="CJ689" s="616">
        <f t="shared" si="741"/>
        <v>9.1518333333333342</v>
      </c>
      <c r="CK689" s="616">
        <f t="shared" si="741"/>
        <v>9.1518333333333342</v>
      </c>
      <c r="CL689" s="616">
        <f t="shared" si="741"/>
        <v>9.1518333333333342</v>
      </c>
      <c r="CM689" s="616">
        <f t="shared" si="741"/>
        <v>9.1518333333333342</v>
      </c>
      <c r="CN689" s="616">
        <f t="shared" si="741"/>
        <v>9.1518333333333342</v>
      </c>
    </row>
    <row r="690" spans="8:92">
      <c r="H690" s="602" t="s">
        <v>940</v>
      </c>
      <c r="L690" s="618" t="s">
        <v>1297</v>
      </c>
      <c r="M690" s="600" t="str">
        <f>$M$496</f>
        <v>Therms</v>
      </c>
      <c r="N690" s="615">
        <f>SUM(U690:AF690)</f>
        <v>0</v>
      </c>
      <c r="O690" s="615">
        <f>SUM(AG690:AR690)</f>
        <v>0</v>
      </c>
      <c r="P690" s="615">
        <f>SUM(AS690:BD690)</f>
        <v>0</v>
      </c>
      <c r="Q690" s="615">
        <f>SUM(BE690:BP690)</f>
        <v>0</v>
      </c>
      <c r="R690" s="615">
        <f>SUM(BQ690:CB690)</f>
        <v>0</v>
      </c>
      <c r="S690" s="615">
        <f>SUM(CC690:CN690)</f>
        <v>0</v>
      </c>
      <c r="U690" s="616">
        <f>MIN(U687-U689,N$443)</f>
        <v>0</v>
      </c>
      <c r="V690" s="616">
        <f t="shared" ref="V690:AF690" si="742">MIN(V687-V689,O$443)</f>
        <v>0</v>
      </c>
      <c r="W690" s="616">
        <f t="shared" si="742"/>
        <v>0</v>
      </c>
      <c r="X690" s="616">
        <f t="shared" si="742"/>
        <v>0</v>
      </c>
      <c r="Y690" s="616">
        <f t="shared" si="742"/>
        <v>0</v>
      </c>
      <c r="Z690" s="616">
        <f t="shared" si="742"/>
        <v>0</v>
      </c>
      <c r="AA690" s="616">
        <f t="shared" si="742"/>
        <v>0</v>
      </c>
      <c r="AB690" s="616">
        <f t="shared" si="742"/>
        <v>0</v>
      </c>
      <c r="AC690" s="616">
        <f t="shared" si="742"/>
        <v>0</v>
      </c>
      <c r="AD690" s="616">
        <f t="shared" si="742"/>
        <v>0</v>
      </c>
      <c r="AE690" s="616">
        <f t="shared" si="742"/>
        <v>0</v>
      </c>
      <c r="AF690" s="616">
        <f t="shared" si="742"/>
        <v>0</v>
      </c>
      <c r="AG690" s="616">
        <f>MIN(AG687-AG689,N$443)</f>
        <v>0</v>
      </c>
      <c r="AH690" s="616">
        <f t="shared" ref="AH690:AR690" si="743">MIN(AH687-AH689,O$443)</f>
        <v>0</v>
      </c>
      <c r="AI690" s="616">
        <f t="shared" si="743"/>
        <v>0</v>
      </c>
      <c r="AJ690" s="616">
        <f t="shared" si="743"/>
        <v>0</v>
      </c>
      <c r="AK690" s="616">
        <f t="shared" si="743"/>
        <v>0</v>
      </c>
      <c r="AL690" s="616">
        <f t="shared" si="743"/>
        <v>0</v>
      </c>
      <c r="AM690" s="616">
        <f t="shared" si="743"/>
        <v>0</v>
      </c>
      <c r="AN690" s="616">
        <f t="shared" si="743"/>
        <v>0</v>
      </c>
      <c r="AO690" s="616">
        <f t="shared" si="743"/>
        <v>0</v>
      </c>
      <c r="AP690" s="616">
        <f t="shared" si="743"/>
        <v>0</v>
      </c>
      <c r="AQ690" s="616">
        <f t="shared" si="743"/>
        <v>0</v>
      </c>
      <c r="AR690" s="616">
        <f t="shared" si="743"/>
        <v>0</v>
      </c>
      <c r="AS690" s="616">
        <f>MIN(AS687-AS689,N$443)</f>
        <v>0</v>
      </c>
      <c r="AT690" s="616">
        <f t="shared" ref="AT690:BD690" si="744">MIN(AT687-AT689,O$443)</f>
        <v>0</v>
      </c>
      <c r="AU690" s="616">
        <f t="shared" si="744"/>
        <v>0</v>
      </c>
      <c r="AV690" s="616">
        <f t="shared" si="744"/>
        <v>0</v>
      </c>
      <c r="AW690" s="616">
        <f t="shared" si="744"/>
        <v>0</v>
      </c>
      <c r="AX690" s="616">
        <f t="shared" si="744"/>
        <v>0</v>
      </c>
      <c r="AY690" s="616">
        <f t="shared" si="744"/>
        <v>0</v>
      </c>
      <c r="AZ690" s="616">
        <f t="shared" si="744"/>
        <v>0</v>
      </c>
      <c r="BA690" s="616">
        <f t="shared" si="744"/>
        <v>0</v>
      </c>
      <c r="BB690" s="616">
        <f t="shared" si="744"/>
        <v>0</v>
      </c>
      <c r="BC690" s="616">
        <f t="shared" si="744"/>
        <v>0</v>
      </c>
      <c r="BD690" s="616">
        <f t="shared" si="744"/>
        <v>0</v>
      </c>
      <c r="BE690" s="616">
        <f>MIN(BE687-BE689,N$443)</f>
        <v>0</v>
      </c>
      <c r="BF690" s="616">
        <f t="shared" ref="BF690:BP690" si="745">MIN(BF687-BF689,O$443)</f>
        <v>0</v>
      </c>
      <c r="BG690" s="616">
        <f t="shared" si="745"/>
        <v>0</v>
      </c>
      <c r="BH690" s="616">
        <f t="shared" si="745"/>
        <v>0</v>
      </c>
      <c r="BI690" s="616">
        <f t="shared" si="745"/>
        <v>0</v>
      </c>
      <c r="BJ690" s="616">
        <f t="shared" si="745"/>
        <v>0</v>
      </c>
      <c r="BK690" s="616">
        <f t="shared" si="745"/>
        <v>0</v>
      </c>
      <c r="BL690" s="616">
        <f t="shared" si="745"/>
        <v>0</v>
      </c>
      <c r="BM690" s="616">
        <f t="shared" si="745"/>
        <v>0</v>
      </c>
      <c r="BN690" s="616">
        <f t="shared" si="745"/>
        <v>0</v>
      </c>
      <c r="BO690" s="616">
        <f t="shared" si="745"/>
        <v>0</v>
      </c>
      <c r="BP690" s="616">
        <f t="shared" si="745"/>
        <v>0</v>
      </c>
      <c r="BQ690" s="616">
        <f>MIN(BQ687-BQ689,N$443)</f>
        <v>0</v>
      </c>
      <c r="BR690" s="616">
        <f t="shared" ref="BR690:CB690" si="746">MIN(BR687-BR689,O$443)</f>
        <v>0</v>
      </c>
      <c r="BS690" s="616">
        <f t="shared" si="746"/>
        <v>0</v>
      </c>
      <c r="BT690" s="616">
        <f t="shared" si="746"/>
        <v>0</v>
      </c>
      <c r="BU690" s="616">
        <f t="shared" si="746"/>
        <v>0</v>
      </c>
      <c r="BV690" s="616">
        <f t="shared" si="746"/>
        <v>0</v>
      </c>
      <c r="BW690" s="616">
        <f t="shared" si="746"/>
        <v>0</v>
      </c>
      <c r="BX690" s="616">
        <f t="shared" si="746"/>
        <v>0</v>
      </c>
      <c r="BY690" s="616">
        <f t="shared" si="746"/>
        <v>0</v>
      </c>
      <c r="BZ690" s="616">
        <f t="shared" si="746"/>
        <v>0</v>
      </c>
      <c r="CA690" s="616">
        <f t="shared" si="746"/>
        <v>0</v>
      </c>
      <c r="CB690" s="616">
        <f t="shared" si="746"/>
        <v>0</v>
      </c>
      <c r="CC690" s="616">
        <f>MIN(CC687-CC689,N$443)</f>
        <v>0</v>
      </c>
      <c r="CD690" s="616">
        <f t="shared" ref="CD690:CN690" si="747">MIN(CD687-CD689,O$443)</f>
        <v>0</v>
      </c>
      <c r="CE690" s="616">
        <f t="shared" si="747"/>
        <v>0</v>
      </c>
      <c r="CF690" s="616">
        <f t="shared" si="747"/>
        <v>0</v>
      </c>
      <c r="CG690" s="616">
        <f t="shared" si="747"/>
        <v>0</v>
      </c>
      <c r="CH690" s="616">
        <f t="shared" si="747"/>
        <v>0</v>
      </c>
      <c r="CI690" s="616">
        <f t="shared" si="747"/>
        <v>0</v>
      </c>
      <c r="CJ690" s="616">
        <f t="shared" si="747"/>
        <v>0</v>
      </c>
      <c r="CK690" s="616">
        <f t="shared" si="747"/>
        <v>0</v>
      </c>
      <c r="CL690" s="616">
        <f t="shared" si="747"/>
        <v>0</v>
      </c>
      <c r="CM690" s="616">
        <f t="shared" si="747"/>
        <v>0</v>
      </c>
      <c r="CN690" s="616">
        <f t="shared" si="747"/>
        <v>0</v>
      </c>
    </row>
    <row r="691" spans="8:92">
      <c r="H691" s="602" t="s">
        <v>940</v>
      </c>
      <c r="L691" s="618" t="s">
        <v>1298</v>
      </c>
      <c r="M691" s="600" t="str">
        <f>$M$496</f>
        <v>Therms</v>
      </c>
      <c r="N691" s="615">
        <f>SUM(U691:AF691)</f>
        <v>0</v>
      </c>
      <c r="O691" s="615">
        <f>SUM(AG691:AR691)</f>
        <v>0</v>
      </c>
      <c r="P691" s="615">
        <f>SUM(AS691:BD691)</f>
        <v>0</v>
      </c>
      <c r="Q691" s="615">
        <f>SUM(BE691:BP691)</f>
        <v>0</v>
      </c>
      <c r="R691" s="615">
        <f>SUM(BQ691:CB691)</f>
        <v>0</v>
      </c>
      <c r="S691" s="615">
        <f>SUM(CC691:CN691)</f>
        <v>0</v>
      </c>
      <c r="U691" s="616">
        <f>MIN(U687-(U689+U690),N$444)</f>
        <v>0</v>
      </c>
      <c r="V691" s="616">
        <f t="shared" ref="V691:AF691" si="748">MIN(V687-(V689+V690),O$444)</f>
        <v>0</v>
      </c>
      <c r="W691" s="616">
        <f t="shared" si="748"/>
        <v>0</v>
      </c>
      <c r="X691" s="616">
        <f t="shared" si="748"/>
        <v>0</v>
      </c>
      <c r="Y691" s="616">
        <f t="shared" si="748"/>
        <v>0</v>
      </c>
      <c r="Z691" s="616">
        <f t="shared" si="748"/>
        <v>0</v>
      </c>
      <c r="AA691" s="616">
        <f t="shared" si="748"/>
        <v>0</v>
      </c>
      <c r="AB691" s="616">
        <f t="shared" si="748"/>
        <v>0</v>
      </c>
      <c r="AC691" s="616">
        <f t="shared" si="748"/>
        <v>0</v>
      </c>
      <c r="AD691" s="616">
        <f t="shared" si="748"/>
        <v>0</v>
      </c>
      <c r="AE691" s="616">
        <f t="shared" si="748"/>
        <v>0</v>
      </c>
      <c r="AF691" s="616">
        <f t="shared" si="748"/>
        <v>0</v>
      </c>
      <c r="AG691" s="616">
        <f>MIN(AG687-(AG689+AG690),N$444)</f>
        <v>0</v>
      </c>
      <c r="AH691" s="616">
        <f t="shared" ref="AH691:AR691" si="749">MIN(AH687-(AH689+AH690),O$444)</f>
        <v>0</v>
      </c>
      <c r="AI691" s="616">
        <f t="shared" si="749"/>
        <v>0</v>
      </c>
      <c r="AJ691" s="616">
        <f t="shared" si="749"/>
        <v>0</v>
      </c>
      <c r="AK691" s="616">
        <f t="shared" si="749"/>
        <v>0</v>
      </c>
      <c r="AL691" s="616">
        <f t="shared" si="749"/>
        <v>0</v>
      </c>
      <c r="AM691" s="616">
        <f t="shared" si="749"/>
        <v>0</v>
      </c>
      <c r="AN691" s="616">
        <f t="shared" si="749"/>
        <v>0</v>
      </c>
      <c r="AO691" s="616">
        <f t="shared" si="749"/>
        <v>0</v>
      </c>
      <c r="AP691" s="616">
        <f t="shared" si="749"/>
        <v>0</v>
      </c>
      <c r="AQ691" s="616">
        <f t="shared" si="749"/>
        <v>0</v>
      </c>
      <c r="AR691" s="616">
        <f t="shared" si="749"/>
        <v>0</v>
      </c>
      <c r="AS691" s="616">
        <f>MIN(AS687-(AS689+AS690),N$444)</f>
        <v>0</v>
      </c>
      <c r="AT691" s="616">
        <f t="shared" ref="AT691:BD691" si="750">MIN(AT687-(AT689+AT690),O$444)</f>
        <v>0</v>
      </c>
      <c r="AU691" s="616">
        <f t="shared" si="750"/>
        <v>0</v>
      </c>
      <c r="AV691" s="616">
        <f t="shared" si="750"/>
        <v>0</v>
      </c>
      <c r="AW691" s="616">
        <f t="shared" si="750"/>
        <v>0</v>
      </c>
      <c r="AX691" s="616">
        <f t="shared" si="750"/>
        <v>0</v>
      </c>
      <c r="AY691" s="616">
        <f t="shared" si="750"/>
        <v>0</v>
      </c>
      <c r="AZ691" s="616">
        <f t="shared" si="750"/>
        <v>0</v>
      </c>
      <c r="BA691" s="616">
        <f t="shared" si="750"/>
        <v>0</v>
      </c>
      <c r="BB691" s="616">
        <f t="shared" si="750"/>
        <v>0</v>
      </c>
      <c r="BC691" s="616">
        <f t="shared" si="750"/>
        <v>0</v>
      </c>
      <c r="BD691" s="616">
        <f t="shared" si="750"/>
        <v>0</v>
      </c>
      <c r="BE691" s="616">
        <f>MIN(BE687-(BE689+BE690),N$444)</f>
        <v>0</v>
      </c>
      <c r="BF691" s="616">
        <f t="shared" ref="BF691:BP691" si="751">MIN(BF687-(BF689+BF690),O$444)</f>
        <v>0</v>
      </c>
      <c r="BG691" s="616">
        <f t="shared" si="751"/>
        <v>0</v>
      </c>
      <c r="BH691" s="616">
        <f t="shared" si="751"/>
        <v>0</v>
      </c>
      <c r="BI691" s="616">
        <f t="shared" si="751"/>
        <v>0</v>
      </c>
      <c r="BJ691" s="616">
        <f t="shared" si="751"/>
        <v>0</v>
      </c>
      <c r="BK691" s="616">
        <f t="shared" si="751"/>
        <v>0</v>
      </c>
      <c r="BL691" s="616">
        <f t="shared" si="751"/>
        <v>0</v>
      </c>
      <c r="BM691" s="616">
        <f t="shared" si="751"/>
        <v>0</v>
      </c>
      <c r="BN691" s="616">
        <f t="shared" si="751"/>
        <v>0</v>
      </c>
      <c r="BO691" s="616">
        <f t="shared" si="751"/>
        <v>0</v>
      </c>
      <c r="BP691" s="616">
        <f t="shared" si="751"/>
        <v>0</v>
      </c>
      <c r="BQ691" s="616">
        <f>MIN(BQ687-(BQ689+BQ690),N$444)</f>
        <v>0</v>
      </c>
      <c r="BR691" s="616">
        <f t="shared" ref="BR691:CB691" si="752">MIN(BR687-(BR689+BR690),O$444)</f>
        <v>0</v>
      </c>
      <c r="BS691" s="616">
        <f t="shared" si="752"/>
        <v>0</v>
      </c>
      <c r="BT691" s="616">
        <f t="shared" si="752"/>
        <v>0</v>
      </c>
      <c r="BU691" s="616">
        <f t="shared" si="752"/>
        <v>0</v>
      </c>
      <c r="BV691" s="616">
        <f t="shared" si="752"/>
        <v>0</v>
      </c>
      <c r="BW691" s="616">
        <f t="shared" si="752"/>
        <v>0</v>
      </c>
      <c r="BX691" s="616">
        <f t="shared" si="752"/>
        <v>0</v>
      </c>
      <c r="BY691" s="616">
        <f t="shared" si="752"/>
        <v>0</v>
      </c>
      <c r="BZ691" s="616">
        <f t="shared" si="752"/>
        <v>0</v>
      </c>
      <c r="CA691" s="616">
        <f t="shared" si="752"/>
        <v>0</v>
      </c>
      <c r="CB691" s="616">
        <f t="shared" si="752"/>
        <v>0</v>
      </c>
      <c r="CC691" s="616">
        <f>MIN(CC687-(CC689+CC690),N$444)</f>
        <v>0</v>
      </c>
      <c r="CD691" s="616">
        <f t="shared" ref="CD691:CN691" si="753">MIN(CD687-(CD689+CD690),O$444)</f>
        <v>0</v>
      </c>
      <c r="CE691" s="616">
        <f t="shared" si="753"/>
        <v>0</v>
      </c>
      <c r="CF691" s="616">
        <f t="shared" si="753"/>
        <v>0</v>
      </c>
      <c r="CG691" s="616">
        <f t="shared" si="753"/>
        <v>0</v>
      </c>
      <c r="CH691" s="616">
        <f t="shared" si="753"/>
        <v>0</v>
      </c>
      <c r="CI691" s="616">
        <f t="shared" si="753"/>
        <v>0</v>
      </c>
      <c r="CJ691" s="616">
        <f t="shared" si="753"/>
        <v>0</v>
      </c>
      <c r="CK691" s="616">
        <f t="shared" si="753"/>
        <v>0</v>
      </c>
      <c r="CL691" s="616">
        <f t="shared" si="753"/>
        <v>0</v>
      </c>
      <c r="CM691" s="616">
        <f t="shared" si="753"/>
        <v>0</v>
      </c>
      <c r="CN691" s="616">
        <f t="shared" si="753"/>
        <v>0</v>
      </c>
    </row>
    <row r="692" spans="8:92">
      <c r="H692" s="602" t="s">
        <v>940</v>
      </c>
      <c r="L692" s="618" t="s">
        <v>1299</v>
      </c>
      <c r="M692" s="600" t="str">
        <f>$M$496</f>
        <v>Therms</v>
      </c>
      <c r="N692" s="615">
        <f>SUM(U692:AF692)</f>
        <v>0</v>
      </c>
      <c r="O692" s="615">
        <f>SUM(AG692:AR692)</f>
        <v>0</v>
      </c>
      <c r="P692" s="615">
        <f>SUM(AS692:BD692)</f>
        <v>0</v>
      </c>
      <c r="Q692" s="615">
        <f>SUM(BE692:BP692)</f>
        <v>0</v>
      </c>
      <c r="R692" s="615">
        <f>SUM(BQ692:CB692)</f>
        <v>0</v>
      </c>
      <c r="S692" s="615">
        <f>SUM(CC692:CN692)</f>
        <v>0</v>
      </c>
      <c r="U692" s="616">
        <f>MIN(U687-(U689+U690+U691),N$445)</f>
        <v>0</v>
      </c>
      <c r="V692" s="616">
        <f t="shared" ref="V692:AF692" si="754">MIN(V687-(V689+V690+V691),O$445)</f>
        <v>0</v>
      </c>
      <c r="W692" s="616">
        <f t="shared" si="754"/>
        <v>0</v>
      </c>
      <c r="X692" s="616">
        <f t="shared" si="754"/>
        <v>0</v>
      </c>
      <c r="Y692" s="616">
        <f t="shared" si="754"/>
        <v>0</v>
      </c>
      <c r="Z692" s="616">
        <f t="shared" si="754"/>
        <v>0</v>
      </c>
      <c r="AA692" s="616">
        <f t="shared" si="754"/>
        <v>0</v>
      </c>
      <c r="AB692" s="616">
        <f t="shared" si="754"/>
        <v>0</v>
      </c>
      <c r="AC692" s="616">
        <f t="shared" si="754"/>
        <v>0</v>
      </c>
      <c r="AD692" s="616">
        <f t="shared" si="754"/>
        <v>0</v>
      </c>
      <c r="AE692" s="616">
        <f t="shared" si="754"/>
        <v>0</v>
      </c>
      <c r="AF692" s="616">
        <f t="shared" si="754"/>
        <v>0</v>
      </c>
      <c r="AG692" s="616">
        <f>MIN(AG687-(AG689+AG690+AG691),N$445)</f>
        <v>0</v>
      </c>
      <c r="AH692" s="616">
        <f t="shared" ref="AH692:AR692" si="755">MIN(AH687-(AH689+AH690+AH691),O$445)</f>
        <v>0</v>
      </c>
      <c r="AI692" s="616">
        <f t="shared" si="755"/>
        <v>0</v>
      </c>
      <c r="AJ692" s="616">
        <f t="shared" si="755"/>
        <v>0</v>
      </c>
      <c r="AK692" s="616">
        <f t="shared" si="755"/>
        <v>0</v>
      </c>
      <c r="AL692" s="616">
        <f t="shared" si="755"/>
        <v>0</v>
      </c>
      <c r="AM692" s="616">
        <f t="shared" si="755"/>
        <v>0</v>
      </c>
      <c r="AN692" s="616">
        <f t="shared" si="755"/>
        <v>0</v>
      </c>
      <c r="AO692" s="616">
        <f t="shared" si="755"/>
        <v>0</v>
      </c>
      <c r="AP692" s="616">
        <f t="shared" si="755"/>
        <v>0</v>
      </c>
      <c r="AQ692" s="616">
        <f t="shared" si="755"/>
        <v>0</v>
      </c>
      <c r="AR692" s="616">
        <f t="shared" si="755"/>
        <v>0</v>
      </c>
      <c r="AS692" s="616">
        <f>MIN(AS687-(AS689+AS690+AS691),N$445)</f>
        <v>0</v>
      </c>
      <c r="AT692" s="616">
        <f t="shared" ref="AT692:BD692" si="756">MIN(AT687-(AT689+AT690+AT691),O$445)</f>
        <v>0</v>
      </c>
      <c r="AU692" s="616">
        <f t="shared" si="756"/>
        <v>0</v>
      </c>
      <c r="AV692" s="616">
        <f t="shared" si="756"/>
        <v>0</v>
      </c>
      <c r="AW692" s="616">
        <f t="shared" si="756"/>
        <v>0</v>
      </c>
      <c r="AX692" s="616">
        <f t="shared" si="756"/>
        <v>0</v>
      </c>
      <c r="AY692" s="616">
        <f t="shared" si="756"/>
        <v>0</v>
      </c>
      <c r="AZ692" s="616">
        <f t="shared" si="756"/>
        <v>0</v>
      </c>
      <c r="BA692" s="616">
        <f t="shared" si="756"/>
        <v>0</v>
      </c>
      <c r="BB692" s="616">
        <f t="shared" si="756"/>
        <v>0</v>
      </c>
      <c r="BC692" s="616">
        <f t="shared" si="756"/>
        <v>0</v>
      </c>
      <c r="BD692" s="616">
        <f t="shared" si="756"/>
        <v>0</v>
      </c>
      <c r="BE692" s="616">
        <f>MIN(BE687-(BE689+BE690+BE691),N$445)</f>
        <v>0</v>
      </c>
      <c r="BF692" s="616">
        <f t="shared" ref="BF692:BP692" si="757">MIN(BF687-(BF689+BF690+BF691),O$445)</f>
        <v>0</v>
      </c>
      <c r="BG692" s="616">
        <f t="shared" si="757"/>
        <v>0</v>
      </c>
      <c r="BH692" s="616">
        <f t="shared" si="757"/>
        <v>0</v>
      </c>
      <c r="BI692" s="616">
        <f t="shared" si="757"/>
        <v>0</v>
      </c>
      <c r="BJ692" s="616">
        <f t="shared" si="757"/>
        <v>0</v>
      </c>
      <c r="BK692" s="616">
        <f t="shared" si="757"/>
        <v>0</v>
      </c>
      <c r="BL692" s="616">
        <f t="shared" si="757"/>
        <v>0</v>
      </c>
      <c r="BM692" s="616">
        <f t="shared" si="757"/>
        <v>0</v>
      </c>
      <c r="BN692" s="616">
        <f t="shared" si="757"/>
        <v>0</v>
      </c>
      <c r="BO692" s="616">
        <f t="shared" si="757"/>
        <v>0</v>
      </c>
      <c r="BP692" s="616">
        <f t="shared" si="757"/>
        <v>0</v>
      </c>
      <c r="BQ692" s="616">
        <f>MIN(BQ687-(BQ689+BQ690+BQ691),N$445)</f>
        <v>0</v>
      </c>
      <c r="BR692" s="616">
        <f t="shared" ref="BR692:CB692" si="758">MIN(BR687-(BR689+BR690+BR691),O$445)</f>
        <v>0</v>
      </c>
      <c r="BS692" s="616">
        <f t="shared" si="758"/>
        <v>0</v>
      </c>
      <c r="BT692" s="616">
        <f t="shared" si="758"/>
        <v>0</v>
      </c>
      <c r="BU692" s="616">
        <f t="shared" si="758"/>
        <v>0</v>
      </c>
      <c r="BV692" s="616">
        <f t="shared" si="758"/>
        <v>0</v>
      </c>
      <c r="BW692" s="616">
        <f t="shared" si="758"/>
        <v>0</v>
      </c>
      <c r="BX692" s="616">
        <f t="shared" si="758"/>
        <v>0</v>
      </c>
      <c r="BY692" s="616">
        <f t="shared" si="758"/>
        <v>0</v>
      </c>
      <c r="BZ692" s="616">
        <f t="shared" si="758"/>
        <v>0</v>
      </c>
      <c r="CA692" s="616">
        <f t="shared" si="758"/>
        <v>0</v>
      </c>
      <c r="CB692" s="616">
        <f t="shared" si="758"/>
        <v>0</v>
      </c>
      <c r="CC692" s="616">
        <f>MIN(CC687-(CC689+CC690+CC691),N$445)</f>
        <v>0</v>
      </c>
      <c r="CD692" s="616">
        <f t="shared" ref="CD692:CN692" si="759">MIN(CD687-(CD689+CD690+CD691),O$445)</f>
        <v>0</v>
      </c>
      <c r="CE692" s="616">
        <f t="shared" si="759"/>
        <v>0</v>
      </c>
      <c r="CF692" s="616">
        <f t="shared" si="759"/>
        <v>0</v>
      </c>
      <c r="CG692" s="616">
        <f t="shared" si="759"/>
        <v>0</v>
      </c>
      <c r="CH692" s="616">
        <f t="shared" si="759"/>
        <v>0</v>
      </c>
      <c r="CI692" s="616">
        <f t="shared" si="759"/>
        <v>0</v>
      </c>
      <c r="CJ692" s="616">
        <f t="shared" si="759"/>
        <v>0</v>
      </c>
      <c r="CK692" s="616">
        <f t="shared" si="759"/>
        <v>0</v>
      </c>
      <c r="CL692" s="616">
        <f t="shared" si="759"/>
        <v>0</v>
      </c>
      <c r="CM692" s="616">
        <f t="shared" si="759"/>
        <v>0</v>
      </c>
      <c r="CN692" s="616">
        <f t="shared" si="759"/>
        <v>0</v>
      </c>
    </row>
    <row r="693" spans="8:92">
      <c r="H693" s="602" t="s">
        <v>940</v>
      </c>
      <c r="L693" s="618"/>
      <c r="M693" s="600"/>
      <c r="N693" s="615"/>
      <c r="O693" s="615"/>
      <c r="P693" s="615"/>
      <c r="Q693" s="615"/>
      <c r="R693" s="615"/>
      <c r="S693" s="615"/>
    </row>
    <row r="694" spans="8:92">
      <c r="H694" s="602" t="s">
        <v>940</v>
      </c>
      <c r="L694" s="618" t="s">
        <v>1300</v>
      </c>
      <c r="M694" s="600" t="s">
        <v>974</v>
      </c>
      <c r="N694" s="615">
        <f>SUM(U694:AF694)</f>
        <v>0</v>
      </c>
      <c r="O694" s="615">
        <f>SUM(AG694:AR694)</f>
        <v>0</v>
      </c>
      <c r="P694" s="615">
        <f>SUM(AS694:BD694)</f>
        <v>0</v>
      </c>
      <c r="Q694" s="615">
        <f>SUM(BE694:BP694)</f>
        <v>0</v>
      </c>
      <c r="R694" s="615">
        <f>SUM(BQ694:CB694)</f>
        <v>0</v>
      </c>
      <c r="S694" s="615">
        <f>SUM(CC694:CN694)</f>
        <v>0</v>
      </c>
      <c r="U694" s="616">
        <f>U689*N$447</f>
        <v>0</v>
      </c>
      <c r="V694" s="616">
        <f t="shared" ref="V694:AF694" si="760">V689*O$447</f>
        <v>0</v>
      </c>
      <c r="W694" s="616">
        <f t="shared" si="760"/>
        <v>0</v>
      </c>
      <c r="X694" s="616">
        <f t="shared" si="760"/>
        <v>0</v>
      </c>
      <c r="Y694" s="616">
        <f t="shared" si="760"/>
        <v>0</v>
      </c>
      <c r="Z694" s="616">
        <f t="shared" si="760"/>
        <v>0</v>
      </c>
      <c r="AA694" s="616">
        <f t="shared" si="760"/>
        <v>0</v>
      </c>
      <c r="AB694" s="616">
        <f t="shared" si="760"/>
        <v>0</v>
      </c>
      <c r="AC694" s="616">
        <f t="shared" si="760"/>
        <v>0</v>
      </c>
      <c r="AD694" s="616">
        <f t="shared" si="760"/>
        <v>0</v>
      </c>
      <c r="AE694" s="616">
        <f t="shared" si="760"/>
        <v>0</v>
      </c>
      <c r="AF694" s="616">
        <f t="shared" si="760"/>
        <v>0</v>
      </c>
      <c r="AG694" s="616">
        <f>AG689*N$447</f>
        <v>0</v>
      </c>
      <c r="AH694" s="616">
        <f t="shared" ref="AH694:AR694" si="761">AH689*O$447</f>
        <v>0</v>
      </c>
      <c r="AI694" s="616">
        <f t="shared" si="761"/>
        <v>0</v>
      </c>
      <c r="AJ694" s="616">
        <f t="shared" si="761"/>
        <v>0</v>
      </c>
      <c r="AK694" s="616">
        <f t="shared" si="761"/>
        <v>0</v>
      </c>
      <c r="AL694" s="616">
        <f t="shared" si="761"/>
        <v>0</v>
      </c>
      <c r="AM694" s="616">
        <f t="shared" si="761"/>
        <v>0</v>
      </c>
      <c r="AN694" s="616">
        <f t="shared" si="761"/>
        <v>0</v>
      </c>
      <c r="AO694" s="616">
        <f t="shared" si="761"/>
        <v>0</v>
      </c>
      <c r="AP694" s="616">
        <f t="shared" si="761"/>
        <v>0</v>
      </c>
      <c r="AQ694" s="616">
        <f t="shared" si="761"/>
        <v>0</v>
      </c>
      <c r="AR694" s="616">
        <f t="shared" si="761"/>
        <v>0</v>
      </c>
      <c r="AS694" s="616">
        <f>AS689*N$447</f>
        <v>0</v>
      </c>
      <c r="AT694" s="616">
        <f t="shared" ref="AT694:BD694" si="762">AT689*O$447</f>
        <v>0</v>
      </c>
      <c r="AU694" s="616">
        <f t="shared" si="762"/>
        <v>0</v>
      </c>
      <c r="AV694" s="616">
        <f t="shared" si="762"/>
        <v>0</v>
      </c>
      <c r="AW694" s="616">
        <f t="shared" si="762"/>
        <v>0</v>
      </c>
      <c r="AX694" s="616">
        <f t="shared" si="762"/>
        <v>0</v>
      </c>
      <c r="AY694" s="616">
        <f t="shared" si="762"/>
        <v>0</v>
      </c>
      <c r="AZ694" s="616">
        <f t="shared" si="762"/>
        <v>0</v>
      </c>
      <c r="BA694" s="616">
        <f t="shared" si="762"/>
        <v>0</v>
      </c>
      <c r="BB694" s="616">
        <f t="shared" si="762"/>
        <v>0</v>
      </c>
      <c r="BC694" s="616">
        <f t="shared" si="762"/>
        <v>0</v>
      </c>
      <c r="BD694" s="616">
        <f t="shared" si="762"/>
        <v>0</v>
      </c>
      <c r="BE694" s="616">
        <f>BE689*N$447</f>
        <v>0</v>
      </c>
      <c r="BF694" s="616">
        <f t="shared" ref="BF694:BP694" si="763">BF689*O$447</f>
        <v>0</v>
      </c>
      <c r="BG694" s="616">
        <f t="shared" si="763"/>
        <v>0</v>
      </c>
      <c r="BH694" s="616">
        <f t="shared" si="763"/>
        <v>0</v>
      </c>
      <c r="BI694" s="616">
        <f t="shared" si="763"/>
        <v>0</v>
      </c>
      <c r="BJ694" s="616">
        <f t="shared" si="763"/>
        <v>0</v>
      </c>
      <c r="BK694" s="616">
        <f t="shared" si="763"/>
        <v>0</v>
      </c>
      <c r="BL694" s="616">
        <f t="shared" si="763"/>
        <v>0</v>
      </c>
      <c r="BM694" s="616">
        <f t="shared" si="763"/>
        <v>0</v>
      </c>
      <c r="BN694" s="616">
        <f t="shared" si="763"/>
        <v>0</v>
      </c>
      <c r="BO694" s="616">
        <f t="shared" si="763"/>
        <v>0</v>
      </c>
      <c r="BP694" s="616">
        <f t="shared" si="763"/>
        <v>0</v>
      </c>
      <c r="BQ694" s="616">
        <f>BQ689*N$447</f>
        <v>0</v>
      </c>
      <c r="BR694" s="616">
        <f t="shared" ref="BR694:CB694" si="764">BR689*O$447</f>
        <v>0</v>
      </c>
      <c r="BS694" s="616">
        <f t="shared" si="764"/>
        <v>0</v>
      </c>
      <c r="BT694" s="616">
        <f t="shared" si="764"/>
        <v>0</v>
      </c>
      <c r="BU694" s="616">
        <f t="shared" si="764"/>
        <v>0</v>
      </c>
      <c r="BV694" s="616">
        <f t="shared" si="764"/>
        <v>0</v>
      </c>
      <c r="BW694" s="616">
        <f t="shared" si="764"/>
        <v>0</v>
      </c>
      <c r="BX694" s="616">
        <f t="shared" si="764"/>
        <v>0</v>
      </c>
      <c r="BY694" s="616">
        <f t="shared" si="764"/>
        <v>0</v>
      </c>
      <c r="BZ694" s="616">
        <f t="shared" si="764"/>
        <v>0</v>
      </c>
      <c r="CA694" s="616">
        <f t="shared" si="764"/>
        <v>0</v>
      </c>
      <c r="CB694" s="616">
        <f t="shared" si="764"/>
        <v>0</v>
      </c>
      <c r="CC694" s="616">
        <f>CC689*N$447</f>
        <v>0</v>
      </c>
      <c r="CD694" s="616">
        <f t="shared" ref="CD694:CN694" si="765">CD689*O$447</f>
        <v>0</v>
      </c>
      <c r="CE694" s="616">
        <f t="shared" si="765"/>
        <v>0</v>
      </c>
      <c r="CF694" s="616">
        <f t="shared" si="765"/>
        <v>0</v>
      </c>
      <c r="CG694" s="616">
        <f t="shared" si="765"/>
        <v>0</v>
      </c>
      <c r="CH694" s="616">
        <f t="shared" si="765"/>
        <v>0</v>
      </c>
      <c r="CI694" s="616">
        <f t="shared" si="765"/>
        <v>0</v>
      </c>
      <c r="CJ694" s="616">
        <f t="shared" si="765"/>
        <v>0</v>
      </c>
      <c r="CK694" s="616">
        <f t="shared" si="765"/>
        <v>0</v>
      </c>
      <c r="CL694" s="616">
        <f t="shared" si="765"/>
        <v>0</v>
      </c>
      <c r="CM694" s="616">
        <f t="shared" si="765"/>
        <v>0</v>
      </c>
      <c r="CN694" s="616">
        <f t="shared" si="765"/>
        <v>0</v>
      </c>
    </row>
    <row r="695" spans="8:92">
      <c r="H695" s="602" t="s">
        <v>940</v>
      </c>
      <c r="L695" s="618" t="s">
        <v>1301</v>
      </c>
      <c r="M695" s="600" t="s">
        <v>974</v>
      </c>
      <c r="N695" s="615">
        <f>SUM(U695:AF695)</f>
        <v>0</v>
      </c>
      <c r="O695" s="615">
        <f>SUM(AG695:AR695)</f>
        <v>0</v>
      </c>
      <c r="P695" s="615">
        <f>SUM(AS695:BD695)</f>
        <v>0</v>
      </c>
      <c r="Q695" s="615">
        <f>SUM(BE695:BP695)</f>
        <v>0</v>
      </c>
      <c r="R695" s="615">
        <f>SUM(BQ695:CB695)</f>
        <v>0</v>
      </c>
      <c r="S695" s="615">
        <f>SUM(CC695:CN695)</f>
        <v>0</v>
      </c>
      <c r="U695" s="616">
        <f>U690*N$448</f>
        <v>0</v>
      </c>
      <c r="V695" s="616">
        <f t="shared" ref="V695:AF695" si="766">V690*O$448</f>
        <v>0</v>
      </c>
      <c r="W695" s="616">
        <f t="shared" si="766"/>
        <v>0</v>
      </c>
      <c r="X695" s="616">
        <f t="shared" si="766"/>
        <v>0</v>
      </c>
      <c r="Y695" s="616">
        <f t="shared" si="766"/>
        <v>0</v>
      </c>
      <c r="Z695" s="616">
        <f t="shared" si="766"/>
        <v>0</v>
      </c>
      <c r="AA695" s="616">
        <f t="shared" si="766"/>
        <v>0</v>
      </c>
      <c r="AB695" s="616">
        <f t="shared" si="766"/>
        <v>0</v>
      </c>
      <c r="AC695" s="616">
        <f t="shared" si="766"/>
        <v>0</v>
      </c>
      <c r="AD695" s="616">
        <f t="shared" si="766"/>
        <v>0</v>
      </c>
      <c r="AE695" s="616">
        <f t="shared" si="766"/>
        <v>0</v>
      </c>
      <c r="AF695" s="616">
        <f t="shared" si="766"/>
        <v>0</v>
      </c>
      <c r="AG695" s="616">
        <f>AG690*N$448</f>
        <v>0</v>
      </c>
      <c r="AH695" s="616">
        <f t="shared" ref="AH695:AR695" si="767">AH690*O$448</f>
        <v>0</v>
      </c>
      <c r="AI695" s="616">
        <f t="shared" si="767"/>
        <v>0</v>
      </c>
      <c r="AJ695" s="616">
        <f t="shared" si="767"/>
        <v>0</v>
      </c>
      <c r="AK695" s="616">
        <f t="shared" si="767"/>
        <v>0</v>
      </c>
      <c r="AL695" s="616">
        <f t="shared" si="767"/>
        <v>0</v>
      </c>
      <c r="AM695" s="616">
        <f t="shared" si="767"/>
        <v>0</v>
      </c>
      <c r="AN695" s="616">
        <f t="shared" si="767"/>
        <v>0</v>
      </c>
      <c r="AO695" s="616">
        <f t="shared" si="767"/>
        <v>0</v>
      </c>
      <c r="AP695" s="616">
        <f t="shared" si="767"/>
        <v>0</v>
      </c>
      <c r="AQ695" s="616">
        <f t="shared" si="767"/>
        <v>0</v>
      </c>
      <c r="AR695" s="616">
        <f t="shared" si="767"/>
        <v>0</v>
      </c>
      <c r="AS695" s="616">
        <f>AS690*N$448</f>
        <v>0</v>
      </c>
      <c r="AT695" s="616">
        <f t="shared" ref="AT695:BD695" si="768">AT690*O$448</f>
        <v>0</v>
      </c>
      <c r="AU695" s="616">
        <f t="shared" si="768"/>
        <v>0</v>
      </c>
      <c r="AV695" s="616">
        <f t="shared" si="768"/>
        <v>0</v>
      </c>
      <c r="AW695" s="616">
        <f t="shared" si="768"/>
        <v>0</v>
      </c>
      <c r="AX695" s="616">
        <f t="shared" si="768"/>
        <v>0</v>
      </c>
      <c r="AY695" s="616">
        <f t="shared" si="768"/>
        <v>0</v>
      </c>
      <c r="AZ695" s="616">
        <f t="shared" si="768"/>
        <v>0</v>
      </c>
      <c r="BA695" s="616">
        <f t="shared" si="768"/>
        <v>0</v>
      </c>
      <c r="BB695" s="616">
        <f t="shared" si="768"/>
        <v>0</v>
      </c>
      <c r="BC695" s="616">
        <f t="shared" si="768"/>
        <v>0</v>
      </c>
      <c r="BD695" s="616">
        <f t="shared" si="768"/>
        <v>0</v>
      </c>
      <c r="BE695" s="616">
        <f>BE690*N$448</f>
        <v>0</v>
      </c>
      <c r="BF695" s="616">
        <f t="shared" ref="BF695:BP695" si="769">BF690*O$448</f>
        <v>0</v>
      </c>
      <c r="BG695" s="616">
        <f t="shared" si="769"/>
        <v>0</v>
      </c>
      <c r="BH695" s="616">
        <f t="shared" si="769"/>
        <v>0</v>
      </c>
      <c r="BI695" s="616">
        <f t="shared" si="769"/>
        <v>0</v>
      </c>
      <c r="BJ695" s="616">
        <f t="shared" si="769"/>
        <v>0</v>
      </c>
      <c r="BK695" s="616">
        <f t="shared" si="769"/>
        <v>0</v>
      </c>
      <c r="BL695" s="616">
        <f t="shared" si="769"/>
        <v>0</v>
      </c>
      <c r="BM695" s="616">
        <f t="shared" si="769"/>
        <v>0</v>
      </c>
      <c r="BN695" s="616">
        <f t="shared" si="769"/>
        <v>0</v>
      </c>
      <c r="BO695" s="616">
        <f t="shared" si="769"/>
        <v>0</v>
      </c>
      <c r="BP695" s="616">
        <f t="shared" si="769"/>
        <v>0</v>
      </c>
      <c r="BQ695" s="616">
        <f>BQ690*N$448</f>
        <v>0</v>
      </c>
      <c r="BR695" s="616">
        <f t="shared" ref="BR695:CB695" si="770">BR690*O$448</f>
        <v>0</v>
      </c>
      <c r="BS695" s="616">
        <f t="shared" si="770"/>
        <v>0</v>
      </c>
      <c r="BT695" s="616">
        <f t="shared" si="770"/>
        <v>0</v>
      </c>
      <c r="BU695" s="616">
        <f t="shared" si="770"/>
        <v>0</v>
      </c>
      <c r="BV695" s="616">
        <f t="shared" si="770"/>
        <v>0</v>
      </c>
      <c r="BW695" s="616">
        <f t="shared" si="770"/>
        <v>0</v>
      </c>
      <c r="BX695" s="616">
        <f t="shared" si="770"/>
        <v>0</v>
      </c>
      <c r="BY695" s="616">
        <f t="shared" si="770"/>
        <v>0</v>
      </c>
      <c r="BZ695" s="616">
        <f t="shared" si="770"/>
        <v>0</v>
      </c>
      <c r="CA695" s="616">
        <f t="shared" si="770"/>
        <v>0</v>
      </c>
      <c r="CB695" s="616">
        <f t="shared" si="770"/>
        <v>0</v>
      </c>
      <c r="CC695" s="616">
        <f>CC690*N$448</f>
        <v>0</v>
      </c>
      <c r="CD695" s="616">
        <f t="shared" ref="CD695:CN695" si="771">CD690*O$448</f>
        <v>0</v>
      </c>
      <c r="CE695" s="616">
        <f t="shared" si="771"/>
        <v>0</v>
      </c>
      <c r="CF695" s="616">
        <f t="shared" si="771"/>
        <v>0</v>
      </c>
      <c r="CG695" s="616">
        <f t="shared" si="771"/>
        <v>0</v>
      </c>
      <c r="CH695" s="616">
        <f t="shared" si="771"/>
        <v>0</v>
      </c>
      <c r="CI695" s="616">
        <f t="shared" si="771"/>
        <v>0</v>
      </c>
      <c r="CJ695" s="616">
        <f t="shared" si="771"/>
        <v>0</v>
      </c>
      <c r="CK695" s="616">
        <f t="shared" si="771"/>
        <v>0</v>
      </c>
      <c r="CL695" s="616">
        <f t="shared" si="771"/>
        <v>0</v>
      </c>
      <c r="CM695" s="616">
        <f t="shared" si="771"/>
        <v>0</v>
      </c>
      <c r="CN695" s="616">
        <f t="shared" si="771"/>
        <v>0</v>
      </c>
    </row>
    <row r="696" spans="8:92">
      <c r="H696" s="602" t="s">
        <v>940</v>
      </c>
      <c r="L696" s="618" t="s">
        <v>1302</v>
      </c>
      <c r="M696" s="600" t="s">
        <v>974</v>
      </c>
      <c r="N696" s="615">
        <f>SUM(U696:AF696)</f>
        <v>0</v>
      </c>
      <c r="O696" s="615">
        <f>SUM(AG696:AR696)</f>
        <v>0</v>
      </c>
      <c r="P696" s="615">
        <f>SUM(AS696:BD696)</f>
        <v>0</v>
      </c>
      <c r="Q696" s="615">
        <f>SUM(BE696:BP696)</f>
        <v>0</v>
      </c>
      <c r="R696" s="615">
        <f>SUM(BQ696:CB696)</f>
        <v>0</v>
      </c>
      <c r="S696" s="615">
        <f>SUM(CC696:CN696)</f>
        <v>0</v>
      </c>
      <c r="U696" s="616">
        <f>U691*N$449</f>
        <v>0</v>
      </c>
      <c r="V696" s="616">
        <f t="shared" ref="V696:AF696" si="772">V691*O$449</f>
        <v>0</v>
      </c>
      <c r="W696" s="616">
        <f t="shared" si="772"/>
        <v>0</v>
      </c>
      <c r="X696" s="616">
        <f t="shared" si="772"/>
        <v>0</v>
      </c>
      <c r="Y696" s="616">
        <f t="shared" si="772"/>
        <v>0</v>
      </c>
      <c r="Z696" s="616">
        <f t="shared" si="772"/>
        <v>0</v>
      </c>
      <c r="AA696" s="616">
        <f t="shared" si="772"/>
        <v>0</v>
      </c>
      <c r="AB696" s="616">
        <f t="shared" si="772"/>
        <v>0</v>
      </c>
      <c r="AC696" s="616">
        <f t="shared" si="772"/>
        <v>0</v>
      </c>
      <c r="AD696" s="616">
        <f t="shared" si="772"/>
        <v>0</v>
      </c>
      <c r="AE696" s="616">
        <f t="shared" si="772"/>
        <v>0</v>
      </c>
      <c r="AF696" s="616">
        <f t="shared" si="772"/>
        <v>0</v>
      </c>
      <c r="AG696" s="616">
        <f>AG691*N$449</f>
        <v>0</v>
      </c>
      <c r="AH696" s="616">
        <f t="shared" ref="AH696:AR696" si="773">AH691*O$449</f>
        <v>0</v>
      </c>
      <c r="AI696" s="616">
        <f t="shared" si="773"/>
        <v>0</v>
      </c>
      <c r="AJ696" s="616">
        <f t="shared" si="773"/>
        <v>0</v>
      </c>
      <c r="AK696" s="616">
        <f t="shared" si="773"/>
        <v>0</v>
      </c>
      <c r="AL696" s="616">
        <f t="shared" si="773"/>
        <v>0</v>
      </c>
      <c r="AM696" s="616">
        <f t="shared" si="773"/>
        <v>0</v>
      </c>
      <c r="AN696" s="616">
        <f t="shared" si="773"/>
        <v>0</v>
      </c>
      <c r="AO696" s="616">
        <f t="shared" si="773"/>
        <v>0</v>
      </c>
      <c r="AP696" s="616">
        <f t="shared" si="773"/>
        <v>0</v>
      </c>
      <c r="AQ696" s="616">
        <f t="shared" si="773"/>
        <v>0</v>
      </c>
      <c r="AR696" s="616">
        <f t="shared" si="773"/>
        <v>0</v>
      </c>
      <c r="AS696" s="616">
        <f>AS691*N$449</f>
        <v>0</v>
      </c>
      <c r="AT696" s="616">
        <f t="shared" ref="AT696:BD696" si="774">AT691*O$449</f>
        <v>0</v>
      </c>
      <c r="AU696" s="616">
        <f t="shared" si="774"/>
        <v>0</v>
      </c>
      <c r="AV696" s="616">
        <f t="shared" si="774"/>
        <v>0</v>
      </c>
      <c r="AW696" s="616">
        <f t="shared" si="774"/>
        <v>0</v>
      </c>
      <c r="AX696" s="616">
        <f t="shared" si="774"/>
        <v>0</v>
      </c>
      <c r="AY696" s="616">
        <f t="shared" si="774"/>
        <v>0</v>
      </c>
      <c r="AZ696" s="616">
        <f t="shared" si="774"/>
        <v>0</v>
      </c>
      <c r="BA696" s="616">
        <f t="shared" si="774"/>
        <v>0</v>
      </c>
      <c r="BB696" s="616">
        <f t="shared" si="774"/>
        <v>0</v>
      </c>
      <c r="BC696" s="616">
        <f t="shared" si="774"/>
        <v>0</v>
      </c>
      <c r="BD696" s="616">
        <f t="shared" si="774"/>
        <v>0</v>
      </c>
      <c r="BE696" s="616">
        <f>BE691*N$449</f>
        <v>0</v>
      </c>
      <c r="BF696" s="616">
        <f t="shared" ref="BF696:BP696" si="775">BF691*O$449</f>
        <v>0</v>
      </c>
      <c r="BG696" s="616">
        <f t="shared" si="775"/>
        <v>0</v>
      </c>
      <c r="BH696" s="616">
        <f t="shared" si="775"/>
        <v>0</v>
      </c>
      <c r="BI696" s="616">
        <f t="shared" si="775"/>
        <v>0</v>
      </c>
      <c r="BJ696" s="616">
        <f t="shared" si="775"/>
        <v>0</v>
      </c>
      <c r="BK696" s="616">
        <f t="shared" si="775"/>
        <v>0</v>
      </c>
      <c r="BL696" s="616">
        <f t="shared" si="775"/>
        <v>0</v>
      </c>
      <c r="BM696" s="616">
        <f t="shared" si="775"/>
        <v>0</v>
      </c>
      <c r="BN696" s="616">
        <f t="shared" si="775"/>
        <v>0</v>
      </c>
      <c r="BO696" s="616">
        <f t="shared" si="775"/>
        <v>0</v>
      </c>
      <c r="BP696" s="616">
        <f t="shared" si="775"/>
        <v>0</v>
      </c>
      <c r="BQ696" s="616">
        <f>BQ691*N$449</f>
        <v>0</v>
      </c>
      <c r="BR696" s="616">
        <f t="shared" ref="BR696:CB696" si="776">BR691*O$449</f>
        <v>0</v>
      </c>
      <c r="BS696" s="616">
        <f t="shared" si="776"/>
        <v>0</v>
      </c>
      <c r="BT696" s="616">
        <f t="shared" si="776"/>
        <v>0</v>
      </c>
      <c r="BU696" s="616">
        <f t="shared" si="776"/>
        <v>0</v>
      </c>
      <c r="BV696" s="616">
        <f t="shared" si="776"/>
        <v>0</v>
      </c>
      <c r="BW696" s="616">
        <f t="shared" si="776"/>
        <v>0</v>
      </c>
      <c r="BX696" s="616">
        <f t="shared" si="776"/>
        <v>0</v>
      </c>
      <c r="BY696" s="616">
        <f t="shared" si="776"/>
        <v>0</v>
      </c>
      <c r="BZ696" s="616">
        <f t="shared" si="776"/>
        <v>0</v>
      </c>
      <c r="CA696" s="616">
        <f t="shared" si="776"/>
        <v>0</v>
      </c>
      <c r="CB696" s="616">
        <f t="shared" si="776"/>
        <v>0</v>
      </c>
      <c r="CC696" s="616">
        <f>CC691*N$449</f>
        <v>0</v>
      </c>
      <c r="CD696" s="616">
        <f t="shared" ref="CD696:CN696" si="777">CD691*O$449</f>
        <v>0</v>
      </c>
      <c r="CE696" s="616">
        <f t="shared" si="777"/>
        <v>0</v>
      </c>
      <c r="CF696" s="616">
        <f t="shared" si="777"/>
        <v>0</v>
      </c>
      <c r="CG696" s="616">
        <f t="shared" si="777"/>
        <v>0</v>
      </c>
      <c r="CH696" s="616">
        <f t="shared" si="777"/>
        <v>0</v>
      </c>
      <c r="CI696" s="616">
        <f t="shared" si="777"/>
        <v>0</v>
      </c>
      <c r="CJ696" s="616">
        <f t="shared" si="777"/>
        <v>0</v>
      </c>
      <c r="CK696" s="616">
        <f t="shared" si="777"/>
        <v>0</v>
      </c>
      <c r="CL696" s="616">
        <f t="shared" si="777"/>
        <v>0</v>
      </c>
      <c r="CM696" s="616">
        <f t="shared" si="777"/>
        <v>0</v>
      </c>
      <c r="CN696" s="616">
        <f t="shared" si="777"/>
        <v>0</v>
      </c>
    </row>
    <row r="697" spans="8:92">
      <c r="H697" s="602" t="s">
        <v>940</v>
      </c>
      <c r="L697" s="618" t="s">
        <v>1303</v>
      </c>
      <c r="M697" s="600" t="s">
        <v>974</v>
      </c>
      <c r="N697" s="615">
        <f>SUM(U697:AF697)</f>
        <v>0</v>
      </c>
      <c r="O697" s="615">
        <f>SUM(AG697:AR697)</f>
        <v>0</v>
      </c>
      <c r="P697" s="615">
        <f>SUM(AS697:BD697)</f>
        <v>0</v>
      </c>
      <c r="Q697" s="615">
        <f>SUM(BE697:BP697)</f>
        <v>0</v>
      </c>
      <c r="R697" s="615">
        <f>SUM(BQ697:CB697)</f>
        <v>0</v>
      </c>
      <c r="S697" s="615">
        <f>SUM(CC697:CN697)</f>
        <v>0</v>
      </c>
      <c r="U697" s="616">
        <f>U692*N$450</f>
        <v>0</v>
      </c>
      <c r="V697" s="616">
        <f t="shared" ref="V697:AF697" si="778">V692*O$450</f>
        <v>0</v>
      </c>
      <c r="W697" s="616">
        <f t="shared" si="778"/>
        <v>0</v>
      </c>
      <c r="X697" s="616">
        <f t="shared" si="778"/>
        <v>0</v>
      </c>
      <c r="Y697" s="616">
        <f t="shared" si="778"/>
        <v>0</v>
      </c>
      <c r="Z697" s="616">
        <f t="shared" si="778"/>
        <v>0</v>
      </c>
      <c r="AA697" s="616">
        <f t="shared" si="778"/>
        <v>0</v>
      </c>
      <c r="AB697" s="616">
        <f t="shared" si="778"/>
        <v>0</v>
      </c>
      <c r="AC697" s="616">
        <f t="shared" si="778"/>
        <v>0</v>
      </c>
      <c r="AD697" s="616">
        <f t="shared" si="778"/>
        <v>0</v>
      </c>
      <c r="AE697" s="616">
        <f t="shared" si="778"/>
        <v>0</v>
      </c>
      <c r="AF697" s="616">
        <f t="shared" si="778"/>
        <v>0</v>
      </c>
      <c r="AG697" s="616">
        <f>AG692*N$450</f>
        <v>0</v>
      </c>
      <c r="AH697" s="616">
        <f t="shared" ref="AH697:AR697" si="779">AH692*O$450</f>
        <v>0</v>
      </c>
      <c r="AI697" s="616">
        <f t="shared" si="779"/>
        <v>0</v>
      </c>
      <c r="AJ697" s="616">
        <f t="shared" si="779"/>
        <v>0</v>
      </c>
      <c r="AK697" s="616">
        <f t="shared" si="779"/>
        <v>0</v>
      </c>
      <c r="AL697" s="616">
        <f t="shared" si="779"/>
        <v>0</v>
      </c>
      <c r="AM697" s="616">
        <f t="shared" si="779"/>
        <v>0</v>
      </c>
      <c r="AN697" s="616">
        <f t="shared" si="779"/>
        <v>0</v>
      </c>
      <c r="AO697" s="616">
        <f t="shared" si="779"/>
        <v>0</v>
      </c>
      <c r="AP697" s="616">
        <f t="shared" si="779"/>
        <v>0</v>
      </c>
      <c r="AQ697" s="616">
        <f t="shared" si="779"/>
        <v>0</v>
      </c>
      <c r="AR697" s="616">
        <f t="shared" si="779"/>
        <v>0</v>
      </c>
      <c r="AS697" s="616">
        <f>AS692*N$450</f>
        <v>0</v>
      </c>
      <c r="AT697" s="616">
        <f t="shared" ref="AT697:BD697" si="780">AT692*O$450</f>
        <v>0</v>
      </c>
      <c r="AU697" s="616">
        <f t="shared" si="780"/>
        <v>0</v>
      </c>
      <c r="AV697" s="616">
        <f t="shared" si="780"/>
        <v>0</v>
      </c>
      <c r="AW697" s="616">
        <f t="shared" si="780"/>
        <v>0</v>
      </c>
      <c r="AX697" s="616">
        <f t="shared" si="780"/>
        <v>0</v>
      </c>
      <c r="AY697" s="616">
        <f t="shared" si="780"/>
        <v>0</v>
      </c>
      <c r="AZ697" s="616">
        <f t="shared" si="780"/>
        <v>0</v>
      </c>
      <c r="BA697" s="616">
        <f t="shared" si="780"/>
        <v>0</v>
      </c>
      <c r="BB697" s="616">
        <f t="shared" si="780"/>
        <v>0</v>
      </c>
      <c r="BC697" s="616">
        <f t="shared" si="780"/>
        <v>0</v>
      </c>
      <c r="BD697" s="616">
        <f t="shared" si="780"/>
        <v>0</v>
      </c>
      <c r="BE697" s="616">
        <f>BE692*N$450</f>
        <v>0</v>
      </c>
      <c r="BF697" s="616">
        <f t="shared" ref="BF697:BP697" si="781">BF692*O$450</f>
        <v>0</v>
      </c>
      <c r="BG697" s="616">
        <f t="shared" si="781"/>
        <v>0</v>
      </c>
      <c r="BH697" s="616">
        <f t="shared" si="781"/>
        <v>0</v>
      </c>
      <c r="BI697" s="616">
        <f t="shared" si="781"/>
        <v>0</v>
      </c>
      <c r="BJ697" s="616">
        <f t="shared" si="781"/>
        <v>0</v>
      </c>
      <c r="BK697" s="616">
        <f t="shared" si="781"/>
        <v>0</v>
      </c>
      <c r="BL697" s="616">
        <f t="shared" si="781"/>
        <v>0</v>
      </c>
      <c r="BM697" s="616">
        <f t="shared" si="781"/>
        <v>0</v>
      </c>
      <c r="BN697" s="616">
        <f t="shared" si="781"/>
        <v>0</v>
      </c>
      <c r="BO697" s="616">
        <f t="shared" si="781"/>
        <v>0</v>
      </c>
      <c r="BP697" s="616">
        <f t="shared" si="781"/>
        <v>0</v>
      </c>
      <c r="BQ697" s="616">
        <f>BQ692*N$450</f>
        <v>0</v>
      </c>
      <c r="BR697" s="616">
        <f t="shared" ref="BR697:CB697" si="782">BR692*O$450</f>
        <v>0</v>
      </c>
      <c r="BS697" s="616">
        <f t="shared" si="782"/>
        <v>0</v>
      </c>
      <c r="BT697" s="616">
        <f t="shared" si="782"/>
        <v>0</v>
      </c>
      <c r="BU697" s="616">
        <f t="shared" si="782"/>
        <v>0</v>
      </c>
      <c r="BV697" s="616">
        <f t="shared" si="782"/>
        <v>0</v>
      </c>
      <c r="BW697" s="616">
        <f t="shared" si="782"/>
        <v>0</v>
      </c>
      <c r="BX697" s="616">
        <f t="shared" si="782"/>
        <v>0</v>
      </c>
      <c r="BY697" s="616">
        <f t="shared" si="782"/>
        <v>0</v>
      </c>
      <c r="BZ697" s="616">
        <f t="shared" si="782"/>
        <v>0</v>
      </c>
      <c r="CA697" s="616">
        <f t="shared" si="782"/>
        <v>0</v>
      </c>
      <c r="CB697" s="616">
        <f t="shared" si="782"/>
        <v>0</v>
      </c>
      <c r="CC697" s="616">
        <f>CC692*N$450</f>
        <v>0</v>
      </c>
      <c r="CD697" s="616">
        <f t="shared" ref="CD697:CN697" si="783">CD692*O$450</f>
        <v>0</v>
      </c>
      <c r="CE697" s="616">
        <f t="shared" si="783"/>
        <v>0</v>
      </c>
      <c r="CF697" s="616">
        <f t="shared" si="783"/>
        <v>0</v>
      </c>
      <c r="CG697" s="616">
        <f t="shared" si="783"/>
        <v>0</v>
      </c>
      <c r="CH697" s="616">
        <f t="shared" si="783"/>
        <v>0</v>
      </c>
      <c r="CI697" s="616">
        <f t="shared" si="783"/>
        <v>0</v>
      </c>
      <c r="CJ697" s="616">
        <f t="shared" si="783"/>
        <v>0</v>
      </c>
      <c r="CK697" s="616">
        <f t="shared" si="783"/>
        <v>0</v>
      </c>
      <c r="CL697" s="616">
        <f t="shared" si="783"/>
        <v>0</v>
      </c>
      <c r="CM697" s="616">
        <f t="shared" si="783"/>
        <v>0</v>
      </c>
      <c r="CN697" s="616">
        <f t="shared" si="783"/>
        <v>0</v>
      </c>
    </row>
    <row r="698" spans="8:92">
      <c r="H698" s="602" t="s">
        <v>940</v>
      </c>
      <c r="L698" s="618"/>
      <c r="M698" s="600"/>
      <c r="N698" s="615"/>
      <c r="O698" s="615"/>
      <c r="P698" s="615"/>
      <c r="Q698" s="615"/>
      <c r="R698" s="615"/>
      <c r="S698" s="615"/>
      <c r="U698" s="616"/>
      <c r="V698" s="616"/>
      <c r="W698" s="616"/>
      <c r="X698" s="616"/>
      <c r="Y698" s="616"/>
      <c r="Z698" s="616"/>
      <c r="AA698" s="616"/>
      <c r="AB698" s="616"/>
      <c r="AC698" s="616"/>
      <c r="AD698" s="616"/>
      <c r="AE698" s="616"/>
      <c r="AF698" s="616"/>
      <c r="AG698" s="616"/>
      <c r="AH698" s="616"/>
      <c r="AI698" s="616"/>
      <c r="AJ698" s="616"/>
      <c r="AK698" s="616"/>
      <c r="AL698" s="616"/>
      <c r="AM698" s="616"/>
      <c r="AN698" s="616"/>
      <c r="AO698" s="616"/>
      <c r="AP698" s="616"/>
      <c r="AQ698" s="616"/>
      <c r="AR698" s="616"/>
      <c r="AS698" s="616"/>
      <c r="AT698" s="616"/>
      <c r="AU698" s="616"/>
      <c r="AV698" s="616"/>
      <c r="AW698" s="616"/>
      <c r="AX698" s="616"/>
      <c r="AY698" s="616"/>
      <c r="AZ698" s="616"/>
      <c r="BA698" s="616"/>
      <c r="BB698" s="616"/>
      <c r="BC698" s="616"/>
      <c r="BD698" s="616"/>
      <c r="BE698" s="616"/>
      <c r="BF698" s="616"/>
      <c r="BG698" s="616"/>
      <c r="BH698" s="616"/>
      <c r="BI698" s="616"/>
      <c r="BJ698" s="616"/>
      <c r="BK698" s="616"/>
      <c r="BL698" s="616"/>
      <c r="BM698" s="616"/>
      <c r="BN698" s="616"/>
      <c r="BO698" s="616"/>
      <c r="BP698" s="616"/>
      <c r="BQ698" s="616"/>
      <c r="BR698" s="616"/>
      <c r="BS698" s="616"/>
      <c r="BT698" s="616"/>
      <c r="BU698" s="616"/>
      <c r="BV698" s="616"/>
      <c r="BW698" s="616"/>
      <c r="BX698" s="616"/>
      <c r="BY698" s="616"/>
      <c r="BZ698" s="616"/>
      <c r="CA698" s="616"/>
      <c r="CB698" s="616"/>
      <c r="CC698" s="616"/>
      <c r="CD698" s="616"/>
      <c r="CE698" s="616"/>
      <c r="CF698" s="616"/>
      <c r="CG698" s="616"/>
      <c r="CH698" s="616"/>
      <c r="CI698" s="616"/>
      <c r="CJ698" s="616"/>
      <c r="CK698" s="616"/>
      <c r="CL698" s="616"/>
      <c r="CM698" s="616"/>
      <c r="CN698" s="616"/>
    </row>
    <row r="699" spans="8:92">
      <c r="H699" s="602" t="s">
        <v>940</v>
      </c>
      <c r="L699" s="618" t="s">
        <v>1247</v>
      </c>
      <c r="M699" s="600" t="s">
        <v>974</v>
      </c>
      <c r="N699" s="615">
        <f>SUM(U699:AF699)</f>
        <v>0</v>
      </c>
      <c r="O699" s="615">
        <f>SUM(AG699:AR699)</f>
        <v>0</v>
      </c>
      <c r="P699" s="615">
        <f>SUM(AS699:BD699)</f>
        <v>0</v>
      </c>
      <c r="Q699" s="615">
        <f>SUM(BE699:BP699)</f>
        <v>0</v>
      </c>
      <c r="R699" s="615">
        <f>SUM(BQ699:CB699)</f>
        <v>0</v>
      </c>
      <c r="S699" s="615">
        <f>SUM(CC699:CN699)</f>
        <v>0</v>
      </c>
      <c r="U699" s="616">
        <f>N$438</f>
        <v>0</v>
      </c>
      <c r="V699" s="616">
        <f t="shared" ref="V699:AF699" si="784">O$438</f>
        <v>0</v>
      </c>
      <c r="W699" s="616">
        <f t="shared" si="784"/>
        <v>0</v>
      </c>
      <c r="X699" s="616">
        <f t="shared" si="784"/>
        <v>0</v>
      </c>
      <c r="Y699" s="616">
        <f t="shared" si="784"/>
        <v>0</v>
      </c>
      <c r="Z699" s="616">
        <f t="shared" si="784"/>
        <v>0</v>
      </c>
      <c r="AA699" s="616">
        <f t="shared" si="784"/>
        <v>0</v>
      </c>
      <c r="AB699" s="616">
        <f t="shared" si="784"/>
        <v>0</v>
      </c>
      <c r="AC699" s="616">
        <f t="shared" si="784"/>
        <v>0</v>
      </c>
      <c r="AD699" s="616">
        <f t="shared" si="784"/>
        <v>0</v>
      </c>
      <c r="AE699" s="616">
        <f t="shared" si="784"/>
        <v>0</v>
      </c>
      <c r="AF699" s="616">
        <f t="shared" si="784"/>
        <v>0</v>
      </c>
      <c r="AG699" s="616">
        <f>N$438</f>
        <v>0</v>
      </c>
      <c r="AH699" s="616">
        <f t="shared" ref="AH699:AR699" si="785">O$438</f>
        <v>0</v>
      </c>
      <c r="AI699" s="616">
        <f t="shared" si="785"/>
        <v>0</v>
      </c>
      <c r="AJ699" s="616">
        <f t="shared" si="785"/>
        <v>0</v>
      </c>
      <c r="AK699" s="616">
        <f t="shared" si="785"/>
        <v>0</v>
      </c>
      <c r="AL699" s="616">
        <f t="shared" si="785"/>
        <v>0</v>
      </c>
      <c r="AM699" s="616">
        <f t="shared" si="785"/>
        <v>0</v>
      </c>
      <c r="AN699" s="616">
        <f t="shared" si="785"/>
        <v>0</v>
      </c>
      <c r="AO699" s="616">
        <f t="shared" si="785"/>
        <v>0</v>
      </c>
      <c r="AP699" s="616">
        <f t="shared" si="785"/>
        <v>0</v>
      </c>
      <c r="AQ699" s="616">
        <f t="shared" si="785"/>
        <v>0</v>
      </c>
      <c r="AR699" s="616">
        <f t="shared" si="785"/>
        <v>0</v>
      </c>
      <c r="AS699" s="616">
        <f>N$438</f>
        <v>0</v>
      </c>
      <c r="AT699" s="616">
        <f t="shared" ref="AT699:BD699" si="786">O$438</f>
        <v>0</v>
      </c>
      <c r="AU699" s="616">
        <f t="shared" si="786"/>
        <v>0</v>
      </c>
      <c r="AV699" s="616">
        <f t="shared" si="786"/>
        <v>0</v>
      </c>
      <c r="AW699" s="616">
        <f t="shared" si="786"/>
        <v>0</v>
      </c>
      <c r="AX699" s="616">
        <f t="shared" si="786"/>
        <v>0</v>
      </c>
      <c r="AY699" s="616">
        <f t="shared" si="786"/>
        <v>0</v>
      </c>
      <c r="AZ699" s="616">
        <f t="shared" si="786"/>
        <v>0</v>
      </c>
      <c r="BA699" s="616">
        <f t="shared" si="786"/>
        <v>0</v>
      </c>
      <c r="BB699" s="616">
        <f t="shared" si="786"/>
        <v>0</v>
      </c>
      <c r="BC699" s="616">
        <f t="shared" si="786"/>
        <v>0</v>
      </c>
      <c r="BD699" s="616">
        <f t="shared" si="786"/>
        <v>0</v>
      </c>
      <c r="BE699" s="616">
        <f>N$438</f>
        <v>0</v>
      </c>
      <c r="BF699" s="616">
        <f t="shared" ref="BF699:BP699" si="787">O$438</f>
        <v>0</v>
      </c>
      <c r="BG699" s="616">
        <f t="shared" si="787"/>
        <v>0</v>
      </c>
      <c r="BH699" s="616">
        <f t="shared" si="787"/>
        <v>0</v>
      </c>
      <c r="BI699" s="616">
        <f t="shared" si="787"/>
        <v>0</v>
      </c>
      <c r="BJ699" s="616">
        <f t="shared" si="787"/>
        <v>0</v>
      </c>
      <c r="BK699" s="616">
        <f t="shared" si="787"/>
        <v>0</v>
      </c>
      <c r="BL699" s="616">
        <f t="shared" si="787"/>
        <v>0</v>
      </c>
      <c r="BM699" s="616">
        <f t="shared" si="787"/>
        <v>0</v>
      </c>
      <c r="BN699" s="616">
        <f t="shared" si="787"/>
        <v>0</v>
      </c>
      <c r="BO699" s="616">
        <f t="shared" si="787"/>
        <v>0</v>
      </c>
      <c r="BP699" s="616">
        <f t="shared" si="787"/>
        <v>0</v>
      </c>
      <c r="BQ699" s="616">
        <f>N$438</f>
        <v>0</v>
      </c>
      <c r="BR699" s="616">
        <f t="shared" ref="BR699:CB699" si="788">O$438</f>
        <v>0</v>
      </c>
      <c r="BS699" s="616">
        <f t="shared" si="788"/>
        <v>0</v>
      </c>
      <c r="BT699" s="616">
        <f t="shared" si="788"/>
        <v>0</v>
      </c>
      <c r="BU699" s="616">
        <f t="shared" si="788"/>
        <v>0</v>
      </c>
      <c r="BV699" s="616">
        <f t="shared" si="788"/>
        <v>0</v>
      </c>
      <c r="BW699" s="616">
        <f t="shared" si="788"/>
        <v>0</v>
      </c>
      <c r="BX699" s="616">
        <f t="shared" si="788"/>
        <v>0</v>
      </c>
      <c r="BY699" s="616">
        <f t="shared" si="788"/>
        <v>0</v>
      </c>
      <c r="BZ699" s="616">
        <f t="shared" si="788"/>
        <v>0</v>
      </c>
      <c r="CA699" s="616">
        <f t="shared" si="788"/>
        <v>0</v>
      </c>
      <c r="CB699" s="616">
        <f t="shared" si="788"/>
        <v>0</v>
      </c>
      <c r="CC699" s="616">
        <f>N$438</f>
        <v>0</v>
      </c>
      <c r="CD699" s="616">
        <f t="shared" ref="CD699:CN699" si="789">O$438</f>
        <v>0</v>
      </c>
      <c r="CE699" s="616">
        <f t="shared" si="789"/>
        <v>0</v>
      </c>
      <c r="CF699" s="616">
        <f t="shared" si="789"/>
        <v>0</v>
      </c>
      <c r="CG699" s="616">
        <f t="shared" si="789"/>
        <v>0</v>
      </c>
      <c r="CH699" s="616">
        <f t="shared" si="789"/>
        <v>0</v>
      </c>
      <c r="CI699" s="616">
        <f t="shared" si="789"/>
        <v>0</v>
      </c>
      <c r="CJ699" s="616">
        <f t="shared" si="789"/>
        <v>0</v>
      </c>
      <c r="CK699" s="616">
        <f t="shared" si="789"/>
        <v>0</v>
      </c>
      <c r="CL699" s="616">
        <f t="shared" si="789"/>
        <v>0</v>
      </c>
      <c r="CM699" s="616">
        <f t="shared" si="789"/>
        <v>0</v>
      </c>
      <c r="CN699" s="616">
        <f t="shared" si="789"/>
        <v>0</v>
      </c>
    </row>
    <row r="700" spans="8:92">
      <c r="H700" s="602" t="s">
        <v>940</v>
      </c>
      <c r="L700" s="618" t="s">
        <v>908</v>
      </c>
      <c r="M700" s="600" t="s">
        <v>974</v>
      </c>
      <c r="N700" s="615">
        <f>SUM(U700:AF700)</f>
        <v>0</v>
      </c>
      <c r="O700" s="615">
        <f>SUM(AG700:AR700)</f>
        <v>0</v>
      </c>
      <c r="P700" s="615">
        <f>SUM(AS700:BD700)</f>
        <v>0</v>
      </c>
      <c r="Q700" s="615">
        <f>SUM(BE700:BP700)</f>
        <v>0</v>
      </c>
      <c r="R700" s="615">
        <f>SUM(BQ700:CB700)</f>
        <v>0</v>
      </c>
      <c r="S700" s="615">
        <f>SUM(CC700:CN700)</f>
        <v>0</v>
      </c>
      <c r="U700" s="616">
        <f>U687*N$439</f>
        <v>0</v>
      </c>
      <c r="V700" s="616">
        <f t="shared" ref="V700:AF700" si="790">V687*O$439</f>
        <v>0</v>
      </c>
      <c r="W700" s="616">
        <f t="shared" si="790"/>
        <v>0</v>
      </c>
      <c r="X700" s="616">
        <f t="shared" si="790"/>
        <v>0</v>
      </c>
      <c r="Y700" s="616">
        <f t="shared" si="790"/>
        <v>0</v>
      </c>
      <c r="Z700" s="616">
        <f t="shared" si="790"/>
        <v>0</v>
      </c>
      <c r="AA700" s="616">
        <f t="shared" si="790"/>
        <v>0</v>
      </c>
      <c r="AB700" s="616">
        <f t="shared" si="790"/>
        <v>0</v>
      </c>
      <c r="AC700" s="616">
        <f t="shared" si="790"/>
        <v>0</v>
      </c>
      <c r="AD700" s="616">
        <f t="shared" si="790"/>
        <v>0</v>
      </c>
      <c r="AE700" s="616">
        <f t="shared" si="790"/>
        <v>0</v>
      </c>
      <c r="AF700" s="616">
        <f t="shared" si="790"/>
        <v>0</v>
      </c>
      <c r="AG700" s="616">
        <f>AG687*N$439</f>
        <v>0</v>
      </c>
      <c r="AH700" s="616">
        <f t="shared" ref="AH700:AR700" si="791">AH687*O$439</f>
        <v>0</v>
      </c>
      <c r="AI700" s="616">
        <f t="shared" si="791"/>
        <v>0</v>
      </c>
      <c r="AJ700" s="616">
        <f t="shared" si="791"/>
        <v>0</v>
      </c>
      <c r="AK700" s="616">
        <f t="shared" si="791"/>
        <v>0</v>
      </c>
      <c r="AL700" s="616">
        <f t="shared" si="791"/>
        <v>0</v>
      </c>
      <c r="AM700" s="616">
        <f t="shared" si="791"/>
        <v>0</v>
      </c>
      <c r="AN700" s="616">
        <f t="shared" si="791"/>
        <v>0</v>
      </c>
      <c r="AO700" s="616">
        <f t="shared" si="791"/>
        <v>0</v>
      </c>
      <c r="AP700" s="616">
        <f t="shared" si="791"/>
        <v>0</v>
      </c>
      <c r="AQ700" s="616">
        <f t="shared" si="791"/>
        <v>0</v>
      </c>
      <c r="AR700" s="616">
        <f t="shared" si="791"/>
        <v>0</v>
      </c>
      <c r="AS700" s="616">
        <f>AS687*N$439</f>
        <v>0</v>
      </c>
      <c r="AT700" s="616">
        <f t="shared" ref="AT700:BD700" si="792">AT687*O$439</f>
        <v>0</v>
      </c>
      <c r="AU700" s="616">
        <f t="shared" si="792"/>
        <v>0</v>
      </c>
      <c r="AV700" s="616">
        <f t="shared" si="792"/>
        <v>0</v>
      </c>
      <c r="AW700" s="616">
        <f t="shared" si="792"/>
        <v>0</v>
      </c>
      <c r="AX700" s="616">
        <f t="shared" si="792"/>
        <v>0</v>
      </c>
      <c r="AY700" s="616">
        <f t="shared" si="792"/>
        <v>0</v>
      </c>
      <c r="AZ700" s="616">
        <f t="shared" si="792"/>
        <v>0</v>
      </c>
      <c r="BA700" s="616">
        <f t="shared" si="792"/>
        <v>0</v>
      </c>
      <c r="BB700" s="616">
        <f t="shared" si="792"/>
        <v>0</v>
      </c>
      <c r="BC700" s="616">
        <f t="shared" si="792"/>
        <v>0</v>
      </c>
      <c r="BD700" s="616">
        <f t="shared" si="792"/>
        <v>0</v>
      </c>
      <c r="BE700" s="616">
        <f>BE687*N$439</f>
        <v>0</v>
      </c>
      <c r="BF700" s="616">
        <f t="shared" ref="BF700:BP700" si="793">BF687*O$439</f>
        <v>0</v>
      </c>
      <c r="BG700" s="616">
        <f t="shared" si="793"/>
        <v>0</v>
      </c>
      <c r="BH700" s="616">
        <f t="shared" si="793"/>
        <v>0</v>
      </c>
      <c r="BI700" s="616">
        <f t="shared" si="793"/>
        <v>0</v>
      </c>
      <c r="BJ700" s="616">
        <f t="shared" si="793"/>
        <v>0</v>
      </c>
      <c r="BK700" s="616">
        <f t="shared" si="793"/>
        <v>0</v>
      </c>
      <c r="BL700" s="616">
        <f t="shared" si="793"/>
        <v>0</v>
      </c>
      <c r="BM700" s="616">
        <f t="shared" si="793"/>
        <v>0</v>
      </c>
      <c r="BN700" s="616">
        <f t="shared" si="793"/>
        <v>0</v>
      </c>
      <c r="BO700" s="616">
        <f t="shared" si="793"/>
        <v>0</v>
      </c>
      <c r="BP700" s="616">
        <f t="shared" si="793"/>
        <v>0</v>
      </c>
      <c r="BQ700" s="616">
        <f>BQ687*N$439</f>
        <v>0</v>
      </c>
      <c r="BR700" s="616">
        <f t="shared" ref="BR700:CB700" si="794">BR687*O$439</f>
        <v>0</v>
      </c>
      <c r="BS700" s="616">
        <f t="shared" si="794"/>
        <v>0</v>
      </c>
      <c r="BT700" s="616">
        <f t="shared" si="794"/>
        <v>0</v>
      </c>
      <c r="BU700" s="616">
        <f t="shared" si="794"/>
        <v>0</v>
      </c>
      <c r="BV700" s="616">
        <f t="shared" si="794"/>
        <v>0</v>
      </c>
      <c r="BW700" s="616">
        <f t="shared" si="794"/>
        <v>0</v>
      </c>
      <c r="BX700" s="616">
        <f t="shared" si="794"/>
        <v>0</v>
      </c>
      <c r="BY700" s="616">
        <f t="shared" si="794"/>
        <v>0</v>
      </c>
      <c r="BZ700" s="616">
        <f t="shared" si="794"/>
        <v>0</v>
      </c>
      <c r="CA700" s="616">
        <f t="shared" si="794"/>
        <v>0</v>
      </c>
      <c r="CB700" s="616">
        <f t="shared" si="794"/>
        <v>0</v>
      </c>
      <c r="CC700" s="616">
        <f>CC687*N$439</f>
        <v>0</v>
      </c>
      <c r="CD700" s="616">
        <f t="shared" ref="CD700:CN700" si="795">CD687*O$439</f>
        <v>0</v>
      </c>
      <c r="CE700" s="616">
        <f t="shared" si="795"/>
        <v>0</v>
      </c>
      <c r="CF700" s="616">
        <f t="shared" si="795"/>
        <v>0</v>
      </c>
      <c r="CG700" s="616">
        <f t="shared" si="795"/>
        <v>0</v>
      </c>
      <c r="CH700" s="616">
        <f t="shared" si="795"/>
        <v>0</v>
      </c>
      <c r="CI700" s="616">
        <f t="shared" si="795"/>
        <v>0</v>
      </c>
      <c r="CJ700" s="616">
        <f t="shared" si="795"/>
        <v>0</v>
      </c>
      <c r="CK700" s="616">
        <f t="shared" si="795"/>
        <v>0</v>
      </c>
      <c r="CL700" s="616">
        <f t="shared" si="795"/>
        <v>0</v>
      </c>
      <c r="CM700" s="616">
        <f t="shared" si="795"/>
        <v>0</v>
      </c>
      <c r="CN700" s="616">
        <f t="shared" si="795"/>
        <v>0</v>
      </c>
    </row>
    <row r="701" spans="8:92">
      <c r="H701" s="602" t="s">
        <v>940</v>
      </c>
      <c r="L701" s="618" t="s">
        <v>1304</v>
      </c>
      <c r="M701" s="600" t="s">
        <v>974</v>
      </c>
      <c r="N701" s="615">
        <f>SUM(U701:AF701)</f>
        <v>0</v>
      </c>
      <c r="O701" s="615">
        <f>SUM(AG701:AR701)</f>
        <v>0</v>
      </c>
      <c r="P701" s="615">
        <f>SUM(AS701:BD701)</f>
        <v>0</v>
      </c>
      <c r="Q701" s="615">
        <f>SUM(BE701:BP701)</f>
        <v>0</v>
      </c>
      <c r="R701" s="615">
        <f>SUM(BQ701:CB701)</f>
        <v>0</v>
      </c>
      <c r="S701" s="615">
        <f>SUM(CC701:CN701)</f>
        <v>0</v>
      </c>
      <c r="U701" s="616">
        <f>SUM(U694:U697,U699:U700)</f>
        <v>0</v>
      </c>
      <c r="V701" s="616">
        <f t="shared" ref="V701:CG701" si="796">SUM(V694:V697,V699:V700)</f>
        <v>0</v>
      </c>
      <c r="W701" s="616">
        <f t="shared" si="796"/>
        <v>0</v>
      </c>
      <c r="X701" s="616">
        <f t="shared" si="796"/>
        <v>0</v>
      </c>
      <c r="Y701" s="616">
        <f t="shared" si="796"/>
        <v>0</v>
      </c>
      <c r="Z701" s="616">
        <f t="shared" si="796"/>
        <v>0</v>
      </c>
      <c r="AA701" s="616">
        <f t="shared" si="796"/>
        <v>0</v>
      </c>
      <c r="AB701" s="616">
        <f t="shared" si="796"/>
        <v>0</v>
      </c>
      <c r="AC701" s="616">
        <f t="shared" si="796"/>
        <v>0</v>
      </c>
      <c r="AD701" s="616">
        <f t="shared" si="796"/>
        <v>0</v>
      </c>
      <c r="AE701" s="616">
        <f t="shared" si="796"/>
        <v>0</v>
      </c>
      <c r="AF701" s="616">
        <f t="shared" si="796"/>
        <v>0</v>
      </c>
      <c r="AG701" s="616">
        <f t="shared" si="796"/>
        <v>0</v>
      </c>
      <c r="AH701" s="616">
        <f t="shared" si="796"/>
        <v>0</v>
      </c>
      <c r="AI701" s="616">
        <f t="shared" si="796"/>
        <v>0</v>
      </c>
      <c r="AJ701" s="616">
        <f t="shared" si="796"/>
        <v>0</v>
      </c>
      <c r="AK701" s="616">
        <f t="shared" si="796"/>
        <v>0</v>
      </c>
      <c r="AL701" s="616">
        <f t="shared" si="796"/>
        <v>0</v>
      </c>
      <c r="AM701" s="616">
        <f t="shared" si="796"/>
        <v>0</v>
      </c>
      <c r="AN701" s="616">
        <f t="shared" si="796"/>
        <v>0</v>
      </c>
      <c r="AO701" s="616">
        <f t="shared" si="796"/>
        <v>0</v>
      </c>
      <c r="AP701" s="616">
        <f t="shared" si="796"/>
        <v>0</v>
      </c>
      <c r="AQ701" s="616">
        <f t="shared" si="796"/>
        <v>0</v>
      </c>
      <c r="AR701" s="616">
        <f t="shared" si="796"/>
        <v>0</v>
      </c>
      <c r="AS701" s="616">
        <f t="shared" si="796"/>
        <v>0</v>
      </c>
      <c r="AT701" s="616">
        <f t="shared" si="796"/>
        <v>0</v>
      </c>
      <c r="AU701" s="616">
        <f t="shared" si="796"/>
        <v>0</v>
      </c>
      <c r="AV701" s="616">
        <f t="shared" si="796"/>
        <v>0</v>
      </c>
      <c r="AW701" s="616">
        <f t="shared" si="796"/>
        <v>0</v>
      </c>
      <c r="AX701" s="616">
        <f t="shared" si="796"/>
        <v>0</v>
      </c>
      <c r="AY701" s="616">
        <f t="shared" si="796"/>
        <v>0</v>
      </c>
      <c r="AZ701" s="616">
        <f t="shared" si="796"/>
        <v>0</v>
      </c>
      <c r="BA701" s="616">
        <f t="shared" si="796"/>
        <v>0</v>
      </c>
      <c r="BB701" s="616">
        <f t="shared" si="796"/>
        <v>0</v>
      </c>
      <c r="BC701" s="616">
        <f t="shared" si="796"/>
        <v>0</v>
      </c>
      <c r="BD701" s="616">
        <f t="shared" si="796"/>
        <v>0</v>
      </c>
      <c r="BE701" s="616">
        <f t="shared" si="796"/>
        <v>0</v>
      </c>
      <c r="BF701" s="616">
        <f t="shared" si="796"/>
        <v>0</v>
      </c>
      <c r="BG701" s="616">
        <f t="shared" si="796"/>
        <v>0</v>
      </c>
      <c r="BH701" s="616">
        <f t="shared" si="796"/>
        <v>0</v>
      </c>
      <c r="BI701" s="616">
        <f t="shared" si="796"/>
        <v>0</v>
      </c>
      <c r="BJ701" s="616">
        <f t="shared" si="796"/>
        <v>0</v>
      </c>
      <c r="BK701" s="616">
        <f t="shared" si="796"/>
        <v>0</v>
      </c>
      <c r="BL701" s="616">
        <f t="shared" si="796"/>
        <v>0</v>
      </c>
      <c r="BM701" s="616">
        <f t="shared" si="796"/>
        <v>0</v>
      </c>
      <c r="BN701" s="616">
        <f t="shared" si="796"/>
        <v>0</v>
      </c>
      <c r="BO701" s="616">
        <f t="shared" si="796"/>
        <v>0</v>
      </c>
      <c r="BP701" s="616">
        <f t="shared" si="796"/>
        <v>0</v>
      </c>
      <c r="BQ701" s="616">
        <f t="shared" si="796"/>
        <v>0</v>
      </c>
      <c r="BR701" s="616">
        <f t="shared" si="796"/>
        <v>0</v>
      </c>
      <c r="BS701" s="616">
        <f t="shared" si="796"/>
        <v>0</v>
      </c>
      <c r="BT701" s="616">
        <f t="shared" si="796"/>
        <v>0</v>
      </c>
      <c r="BU701" s="616">
        <f t="shared" si="796"/>
        <v>0</v>
      </c>
      <c r="BV701" s="616">
        <f t="shared" si="796"/>
        <v>0</v>
      </c>
      <c r="BW701" s="616">
        <f t="shared" si="796"/>
        <v>0</v>
      </c>
      <c r="BX701" s="616">
        <f t="shared" si="796"/>
        <v>0</v>
      </c>
      <c r="BY701" s="616">
        <f t="shared" si="796"/>
        <v>0</v>
      </c>
      <c r="BZ701" s="616">
        <f t="shared" si="796"/>
        <v>0</v>
      </c>
      <c r="CA701" s="616">
        <f t="shared" si="796"/>
        <v>0</v>
      </c>
      <c r="CB701" s="616">
        <f t="shared" si="796"/>
        <v>0</v>
      </c>
      <c r="CC701" s="616">
        <f t="shared" si="796"/>
        <v>0</v>
      </c>
      <c r="CD701" s="616">
        <f t="shared" si="796"/>
        <v>0</v>
      </c>
      <c r="CE701" s="616">
        <f t="shared" si="796"/>
        <v>0</v>
      </c>
      <c r="CF701" s="616">
        <f t="shared" si="796"/>
        <v>0</v>
      </c>
      <c r="CG701" s="616">
        <f t="shared" si="796"/>
        <v>0</v>
      </c>
      <c r="CH701" s="616">
        <f t="shared" ref="CH701:CN701" si="797">SUM(CH694:CH697,CH699:CH700)</f>
        <v>0</v>
      </c>
      <c r="CI701" s="616">
        <f t="shared" si="797"/>
        <v>0</v>
      </c>
      <c r="CJ701" s="616">
        <f t="shared" si="797"/>
        <v>0</v>
      </c>
      <c r="CK701" s="616">
        <f t="shared" si="797"/>
        <v>0</v>
      </c>
      <c r="CL701" s="616">
        <f t="shared" si="797"/>
        <v>0</v>
      </c>
      <c r="CM701" s="616">
        <f t="shared" si="797"/>
        <v>0</v>
      </c>
      <c r="CN701" s="616">
        <f t="shared" si="797"/>
        <v>0</v>
      </c>
    </row>
    <row r="702" spans="8:92">
      <c r="H702" s="602" t="s">
        <v>940</v>
      </c>
      <c r="L702" s="618" t="s">
        <v>909</v>
      </c>
      <c r="M702" s="600" t="s">
        <v>974</v>
      </c>
      <c r="N702" s="615">
        <f>SUM(U702:AF702)</f>
        <v>0</v>
      </c>
      <c r="O702" s="615">
        <f>SUM(AG702:AR702)</f>
        <v>0</v>
      </c>
      <c r="P702" s="615">
        <f>SUM(AS702:BD702)</f>
        <v>0</v>
      </c>
      <c r="Q702" s="615">
        <f>SUM(BE702:BP702)</f>
        <v>0</v>
      </c>
      <c r="R702" s="615">
        <f>SUM(BQ702:CB702)</f>
        <v>0</v>
      </c>
      <c r="S702" s="615">
        <f>SUM(CC702:CN702)</f>
        <v>0</v>
      </c>
      <c r="U702" s="616">
        <f>U701*N$440/100</f>
        <v>0</v>
      </c>
      <c r="V702" s="616">
        <f t="shared" ref="V702:AF702" si="798">V701*O$440/100</f>
        <v>0</v>
      </c>
      <c r="W702" s="616">
        <f t="shared" si="798"/>
        <v>0</v>
      </c>
      <c r="X702" s="616">
        <f t="shared" si="798"/>
        <v>0</v>
      </c>
      <c r="Y702" s="616">
        <f t="shared" si="798"/>
        <v>0</v>
      </c>
      <c r="Z702" s="616">
        <f t="shared" si="798"/>
        <v>0</v>
      </c>
      <c r="AA702" s="616">
        <f t="shared" si="798"/>
        <v>0</v>
      </c>
      <c r="AB702" s="616">
        <f t="shared" si="798"/>
        <v>0</v>
      </c>
      <c r="AC702" s="616">
        <f t="shared" si="798"/>
        <v>0</v>
      </c>
      <c r="AD702" s="616">
        <f t="shared" si="798"/>
        <v>0</v>
      </c>
      <c r="AE702" s="616">
        <f t="shared" si="798"/>
        <v>0</v>
      </c>
      <c r="AF702" s="616">
        <f t="shared" si="798"/>
        <v>0</v>
      </c>
      <c r="AG702" s="616">
        <f>AG701*N$440/100</f>
        <v>0</v>
      </c>
      <c r="AH702" s="616">
        <f t="shared" ref="AH702:AR702" si="799">AH701*O$440/100</f>
        <v>0</v>
      </c>
      <c r="AI702" s="616">
        <f t="shared" si="799"/>
        <v>0</v>
      </c>
      <c r="AJ702" s="616">
        <f t="shared" si="799"/>
        <v>0</v>
      </c>
      <c r="AK702" s="616">
        <f t="shared" si="799"/>
        <v>0</v>
      </c>
      <c r="AL702" s="616">
        <f t="shared" si="799"/>
        <v>0</v>
      </c>
      <c r="AM702" s="616">
        <f t="shared" si="799"/>
        <v>0</v>
      </c>
      <c r="AN702" s="616">
        <f t="shared" si="799"/>
        <v>0</v>
      </c>
      <c r="AO702" s="616">
        <f t="shared" si="799"/>
        <v>0</v>
      </c>
      <c r="AP702" s="616">
        <f t="shared" si="799"/>
        <v>0</v>
      </c>
      <c r="AQ702" s="616">
        <f t="shared" si="799"/>
        <v>0</v>
      </c>
      <c r="AR702" s="616">
        <f t="shared" si="799"/>
        <v>0</v>
      </c>
      <c r="AS702" s="616">
        <f>AS701*N$440/100</f>
        <v>0</v>
      </c>
      <c r="AT702" s="616">
        <f t="shared" ref="AT702:BD702" si="800">AT701*O$440/100</f>
        <v>0</v>
      </c>
      <c r="AU702" s="616">
        <f t="shared" si="800"/>
        <v>0</v>
      </c>
      <c r="AV702" s="616">
        <f t="shared" si="800"/>
        <v>0</v>
      </c>
      <c r="AW702" s="616">
        <f t="shared" si="800"/>
        <v>0</v>
      </c>
      <c r="AX702" s="616">
        <f t="shared" si="800"/>
        <v>0</v>
      </c>
      <c r="AY702" s="616">
        <f t="shared" si="800"/>
        <v>0</v>
      </c>
      <c r="AZ702" s="616">
        <f t="shared" si="800"/>
        <v>0</v>
      </c>
      <c r="BA702" s="616">
        <f t="shared" si="800"/>
        <v>0</v>
      </c>
      <c r="BB702" s="616">
        <f t="shared" si="800"/>
        <v>0</v>
      </c>
      <c r="BC702" s="616">
        <f t="shared" si="800"/>
        <v>0</v>
      </c>
      <c r="BD702" s="616">
        <f t="shared" si="800"/>
        <v>0</v>
      </c>
      <c r="BE702" s="616">
        <f>BE701*N$440/100</f>
        <v>0</v>
      </c>
      <c r="BF702" s="616">
        <f t="shared" ref="BF702:BP702" si="801">BF701*O$440/100</f>
        <v>0</v>
      </c>
      <c r="BG702" s="616">
        <f t="shared" si="801"/>
        <v>0</v>
      </c>
      <c r="BH702" s="616">
        <f t="shared" si="801"/>
        <v>0</v>
      </c>
      <c r="BI702" s="616">
        <f t="shared" si="801"/>
        <v>0</v>
      </c>
      <c r="BJ702" s="616">
        <f t="shared" si="801"/>
        <v>0</v>
      </c>
      <c r="BK702" s="616">
        <f t="shared" si="801"/>
        <v>0</v>
      </c>
      <c r="BL702" s="616">
        <f t="shared" si="801"/>
        <v>0</v>
      </c>
      <c r="BM702" s="616">
        <f t="shared" si="801"/>
        <v>0</v>
      </c>
      <c r="BN702" s="616">
        <f t="shared" si="801"/>
        <v>0</v>
      </c>
      <c r="BO702" s="616">
        <f t="shared" si="801"/>
        <v>0</v>
      </c>
      <c r="BP702" s="616">
        <f t="shared" si="801"/>
        <v>0</v>
      </c>
      <c r="BQ702" s="616">
        <f>BQ701*N$440/100</f>
        <v>0</v>
      </c>
      <c r="BR702" s="616">
        <f t="shared" ref="BR702:CB702" si="802">BR701*O$440/100</f>
        <v>0</v>
      </c>
      <c r="BS702" s="616">
        <f t="shared" si="802"/>
        <v>0</v>
      </c>
      <c r="BT702" s="616">
        <f t="shared" si="802"/>
        <v>0</v>
      </c>
      <c r="BU702" s="616">
        <f t="shared" si="802"/>
        <v>0</v>
      </c>
      <c r="BV702" s="616">
        <f t="shared" si="802"/>
        <v>0</v>
      </c>
      <c r="BW702" s="616">
        <f t="shared" si="802"/>
        <v>0</v>
      </c>
      <c r="BX702" s="616">
        <f t="shared" si="802"/>
        <v>0</v>
      </c>
      <c r="BY702" s="616">
        <f t="shared" si="802"/>
        <v>0</v>
      </c>
      <c r="BZ702" s="616">
        <f t="shared" si="802"/>
        <v>0</v>
      </c>
      <c r="CA702" s="616">
        <f t="shared" si="802"/>
        <v>0</v>
      </c>
      <c r="CB702" s="616">
        <f t="shared" si="802"/>
        <v>0</v>
      </c>
      <c r="CC702" s="616">
        <f>CC701*N$440/100</f>
        <v>0</v>
      </c>
      <c r="CD702" s="616">
        <f t="shared" ref="CD702:CN702" si="803">CD701*O$440/100</f>
        <v>0</v>
      </c>
      <c r="CE702" s="616">
        <f t="shared" si="803"/>
        <v>0</v>
      </c>
      <c r="CF702" s="616">
        <f t="shared" si="803"/>
        <v>0</v>
      </c>
      <c r="CG702" s="616">
        <f t="shared" si="803"/>
        <v>0</v>
      </c>
      <c r="CH702" s="616">
        <f t="shared" si="803"/>
        <v>0</v>
      </c>
      <c r="CI702" s="616">
        <f t="shared" si="803"/>
        <v>0</v>
      </c>
      <c r="CJ702" s="616">
        <f t="shared" si="803"/>
        <v>0</v>
      </c>
      <c r="CK702" s="616">
        <f t="shared" si="803"/>
        <v>0</v>
      </c>
      <c r="CL702" s="616">
        <f t="shared" si="803"/>
        <v>0</v>
      </c>
      <c r="CM702" s="616">
        <f t="shared" si="803"/>
        <v>0</v>
      </c>
      <c r="CN702" s="616">
        <f t="shared" si="803"/>
        <v>0</v>
      </c>
    </row>
    <row r="703" spans="8:92">
      <c r="H703" s="602" t="s">
        <v>940</v>
      </c>
      <c r="L703" s="618"/>
      <c r="M703" s="600"/>
      <c r="N703" s="615"/>
      <c r="O703" s="615"/>
      <c r="P703" s="615"/>
      <c r="Q703" s="615"/>
      <c r="R703" s="615"/>
      <c r="S703" s="615"/>
      <c r="U703" s="616"/>
      <c r="V703" s="616"/>
      <c r="W703" s="616"/>
      <c r="X703" s="616"/>
      <c r="Y703" s="616"/>
      <c r="Z703" s="616"/>
      <c r="AA703" s="616"/>
      <c r="AB703" s="616"/>
      <c r="AC703" s="616"/>
      <c r="AD703" s="616"/>
      <c r="AE703" s="616"/>
      <c r="AF703" s="616"/>
      <c r="AG703" s="616"/>
      <c r="AH703" s="616"/>
      <c r="AI703" s="616"/>
      <c r="AJ703" s="616"/>
      <c r="AK703" s="616"/>
      <c r="AL703" s="616"/>
      <c r="AM703" s="616"/>
      <c r="AN703" s="616"/>
      <c r="AO703" s="616"/>
      <c r="AP703" s="616"/>
      <c r="AQ703" s="616"/>
      <c r="AR703" s="616"/>
      <c r="AS703" s="616"/>
      <c r="AT703" s="616"/>
      <c r="AU703" s="616"/>
      <c r="AV703" s="616"/>
      <c r="AW703" s="616"/>
      <c r="AX703" s="616"/>
      <c r="AY703" s="616"/>
      <c r="AZ703" s="616"/>
      <c r="BA703" s="616"/>
      <c r="BB703" s="616"/>
      <c r="BC703" s="616"/>
      <c r="BD703" s="616"/>
      <c r="BE703" s="616"/>
      <c r="BF703" s="616"/>
      <c r="BG703" s="616"/>
      <c r="BH703" s="616"/>
      <c r="BI703" s="616"/>
      <c r="BJ703" s="616"/>
      <c r="BK703" s="616"/>
      <c r="BL703" s="616"/>
      <c r="BM703" s="616"/>
      <c r="BN703" s="616"/>
      <c r="BO703" s="616"/>
      <c r="BP703" s="616"/>
      <c r="BQ703" s="616"/>
      <c r="BR703" s="616"/>
      <c r="BS703" s="616"/>
      <c r="BT703" s="616"/>
      <c r="BU703" s="616"/>
      <c r="BV703" s="616"/>
      <c r="BW703" s="616"/>
      <c r="BX703" s="616"/>
      <c r="BY703" s="616"/>
      <c r="BZ703" s="616"/>
      <c r="CA703" s="616"/>
      <c r="CB703" s="616"/>
      <c r="CC703" s="616"/>
      <c r="CD703" s="616"/>
      <c r="CE703" s="616"/>
      <c r="CF703" s="616"/>
      <c r="CG703" s="616"/>
      <c r="CH703" s="616"/>
      <c r="CI703" s="616"/>
      <c r="CJ703" s="616"/>
      <c r="CK703" s="616"/>
      <c r="CL703" s="616"/>
      <c r="CM703" s="616"/>
      <c r="CN703" s="616"/>
    </row>
    <row r="704" spans="8:92">
      <c r="H704" s="602" t="s">
        <v>940</v>
      </c>
      <c r="L704" s="618" t="s">
        <v>1305</v>
      </c>
      <c r="M704" s="600" t="s">
        <v>974</v>
      </c>
      <c r="N704" s="615">
        <f>SUM(U704:AF704)</f>
        <v>0</v>
      </c>
      <c r="O704" s="615">
        <f>SUM(AG704:AR704)</f>
        <v>0</v>
      </c>
      <c r="P704" s="615">
        <f>SUM(AS704:BD704)</f>
        <v>0</v>
      </c>
      <c r="Q704" s="615">
        <f>SUM(BE704:BP704)</f>
        <v>0</v>
      </c>
      <c r="R704" s="615">
        <f>SUM(BQ704:CB704)</f>
        <v>0</v>
      </c>
      <c r="S704" s="615">
        <f>SUM(CC704:CN704)</f>
        <v>0</v>
      </c>
      <c r="U704" s="616">
        <f>SUM(U701:U702)</f>
        <v>0</v>
      </c>
      <c r="V704" s="616">
        <f t="shared" ref="V704:CG704" si="804">SUM(V701:V702)</f>
        <v>0</v>
      </c>
      <c r="W704" s="616">
        <f t="shared" si="804"/>
        <v>0</v>
      </c>
      <c r="X704" s="616">
        <f t="shared" si="804"/>
        <v>0</v>
      </c>
      <c r="Y704" s="616">
        <f t="shared" si="804"/>
        <v>0</v>
      </c>
      <c r="Z704" s="616">
        <f t="shared" si="804"/>
        <v>0</v>
      </c>
      <c r="AA704" s="616">
        <f t="shared" si="804"/>
        <v>0</v>
      </c>
      <c r="AB704" s="616">
        <f t="shared" si="804"/>
        <v>0</v>
      </c>
      <c r="AC704" s="616">
        <f t="shared" si="804"/>
        <v>0</v>
      </c>
      <c r="AD704" s="616">
        <f t="shared" si="804"/>
        <v>0</v>
      </c>
      <c r="AE704" s="616">
        <f t="shared" si="804"/>
        <v>0</v>
      </c>
      <c r="AF704" s="616">
        <f t="shared" si="804"/>
        <v>0</v>
      </c>
      <c r="AG704" s="616">
        <f t="shared" si="804"/>
        <v>0</v>
      </c>
      <c r="AH704" s="616">
        <f t="shared" si="804"/>
        <v>0</v>
      </c>
      <c r="AI704" s="616">
        <f t="shared" si="804"/>
        <v>0</v>
      </c>
      <c r="AJ704" s="616">
        <f t="shared" si="804"/>
        <v>0</v>
      </c>
      <c r="AK704" s="616">
        <f t="shared" si="804"/>
        <v>0</v>
      </c>
      <c r="AL704" s="616">
        <f t="shared" si="804"/>
        <v>0</v>
      </c>
      <c r="AM704" s="616">
        <f t="shared" si="804"/>
        <v>0</v>
      </c>
      <c r="AN704" s="616">
        <f t="shared" si="804"/>
        <v>0</v>
      </c>
      <c r="AO704" s="616">
        <f t="shared" si="804"/>
        <v>0</v>
      </c>
      <c r="AP704" s="616">
        <f t="shared" si="804"/>
        <v>0</v>
      </c>
      <c r="AQ704" s="616">
        <f t="shared" si="804"/>
        <v>0</v>
      </c>
      <c r="AR704" s="616">
        <f t="shared" si="804"/>
        <v>0</v>
      </c>
      <c r="AS704" s="616">
        <f t="shared" si="804"/>
        <v>0</v>
      </c>
      <c r="AT704" s="616">
        <f t="shared" si="804"/>
        <v>0</v>
      </c>
      <c r="AU704" s="616">
        <f t="shared" si="804"/>
        <v>0</v>
      </c>
      <c r="AV704" s="616">
        <f t="shared" si="804"/>
        <v>0</v>
      </c>
      <c r="AW704" s="616">
        <f t="shared" si="804"/>
        <v>0</v>
      </c>
      <c r="AX704" s="616">
        <f t="shared" si="804"/>
        <v>0</v>
      </c>
      <c r="AY704" s="616">
        <f t="shared" si="804"/>
        <v>0</v>
      </c>
      <c r="AZ704" s="616">
        <f t="shared" si="804"/>
        <v>0</v>
      </c>
      <c r="BA704" s="616">
        <f t="shared" si="804"/>
        <v>0</v>
      </c>
      <c r="BB704" s="616">
        <f t="shared" si="804"/>
        <v>0</v>
      </c>
      <c r="BC704" s="616">
        <f t="shared" si="804"/>
        <v>0</v>
      </c>
      <c r="BD704" s="616">
        <f t="shared" si="804"/>
        <v>0</v>
      </c>
      <c r="BE704" s="616">
        <f t="shared" si="804"/>
        <v>0</v>
      </c>
      <c r="BF704" s="616">
        <f t="shared" si="804"/>
        <v>0</v>
      </c>
      <c r="BG704" s="616">
        <f t="shared" si="804"/>
        <v>0</v>
      </c>
      <c r="BH704" s="616">
        <f t="shared" si="804"/>
        <v>0</v>
      </c>
      <c r="BI704" s="616">
        <f t="shared" si="804"/>
        <v>0</v>
      </c>
      <c r="BJ704" s="616">
        <f t="shared" si="804"/>
        <v>0</v>
      </c>
      <c r="BK704" s="616">
        <f t="shared" si="804"/>
        <v>0</v>
      </c>
      <c r="BL704" s="616">
        <f t="shared" si="804"/>
        <v>0</v>
      </c>
      <c r="BM704" s="616">
        <f t="shared" si="804"/>
        <v>0</v>
      </c>
      <c r="BN704" s="616">
        <f t="shared" si="804"/>
        <v>0</v>
      </c>
      <c r="BO704" s="616">
        <f t="shared" si="804"/>
        <v>0</v>
      </c>
      <c r="BP704" s="616">
        <f t="shared" si="804"/>
        <v>0</v>
      </c>
      <c r="BQ704" s="616">
        <f t="shared" si="804"/>
        <v>0</v>
      </c>
      <c r="BR704" s="616">
        <f t="shared" si="804"/>
        <v>0</v>
      </c>
      <c r="BS704" s="616">
        <f t="shared" si="804"/>
        <v>0</v>
      </c>
      <c r="BT704" s="616">
        <f t="shared" si="804"/>
        <v>0</v>
      </c>
      <c r="BU704" s="616">
        <f t="shared" si="804"/>
        <v>0</v>
      </c>
      <c r="BV704" s="616">
        <f t="shared" si="804"/>
        <v>0</v>
      </c>
      <c r="BW704" s="616">
        <f t="shared" si="804"/>
        <v>0</v>
      </c>
      <c r="BX704" s="616">
        <f t="shared" si="804"/>
        <v>0</v>
      </c>
      <c r="BY704" s="616">
        <f t="shared" si="804"/>
        <v>0</v>
      </c>
      <c r="BZ704" s="616">
        <f t="shared" si="804"/>
        <v>0</v>
      </c>
      <c r="CA704" s="616">
        <f t="shared" si="804"/>
        <v>0</v>
      </c>
      <c r="CB704" s="616">
        <f t="shared" si="804"/>
        <v>0</v>
      </c>
      <c r="CC704" s="616">
        <f t="shared" si="804"/>
        <v>0</v>
      </c>
      <c r="CD704" s="616">
        <f t="shared" si="804"/>
        <v>0</v>
      </c>
      <c r="CE704" s="616">
        <f t="shared" si="804"/>
        <v>0</v>
      </c>
      <c r="CF704" s="616">
        <f t="shared" si="804"/>
        <v>0</v>
      </c>
      <c r="CG704" s="616">
        <f t="shared" si="804"/>
        <v>0</v>
      </c>
      <c r="CH704" s="616">
        <f t="shared" ref="CH704:CN704" si="805">SUM(CH701:CH702)</f>
        <v>0</v>
      </c>
      <c r="CI704" s="616">
        <f t="shared" si="805"/>
        <v>0</v>
      </c>
      <c r="CJ704" s="616">
        <f t="shared" si="805"/>
        <v>0</v>
      </c>
      <c r="CK704" s="616">
        <f t="shared" si="805"/>
        <v>0</v>
      </c>
      <c r="CL704" s="616">
        <f t="shared" si="805"/>
        <v>0</v>
      </c>
      <c r="CM704" s="616">
        <f t="shared" si="805"/>
        <v>0</v>
      </c>
      <c r="CN704" s="616">
        <f t="shared" si="805"/>
        <v>0</v>
      </c>
    </row>
    <row r="705" spans="8:92" ht="13.5" thickBot="1">
      <c r="H705" s="602" t="s">
        <v>940</v>
      </c>
    </row>
    <row r="706" spans="8:92" ht="13.5" thickTop="1">
      <c r="H706" s="602" t="s">
        <v>940</v>
      </c>
      <c r="L706" s="757" t="s">
        <v>1315</v>
      </c>
      <c r="M706" s="758"/>
      <c r="N706" s="758"/>
      <c r="O706" s="758"/>
      <c r="P706" s="758"/>
      <c r="Q706" s="758"/>
      <c r="R706" s="758"/>
      <c r="S706" s="758"/>
      <c r="T706" s="758"/>
      <c r="U706" s="758"/>
      <c r="V706" s="758"/>
      <c r="W706" s="758"/>
      <c r="X706" s="758"/>
      <c r="Y706" s="758"/>
      <c r="Z706" s="758"/>
      <c r="AA706" s="758"/>
      <c r="AB706" s="758"/>
      <c r="AC706" s="758"/>
      <c r="AD706" s="758"/>
      <c r="AE706" s="758"/>
      <c r="AF706" s="758"/>
      <c r="AG706" s="758"/>
      <c r="AH706" s="758"/>
      <c r="AI706" s="758"/>
      <c r="AJ706" s="758"/>
      <c r="AK706" s="758"/>
      <c r="AL706" s="758"/>
      <c r="AM706" s="758"/>
      <c r="AN706" s="758"/>
      <c r="AO706" s="758"/>
      <c r="AP706" s="758"/>
      <c r="AQ706" s="758"/>
      <c r="AR706" s="758"/>
      <c r="AS706" s="758"/>
      <c r="AT706" s="758"/>
      <c r="AU706" s="758"/>
      <c r="AV706" s="758"/>
      <c r="AW706" s="758"/>
      <c r="AX706" s="758"/>
      <c r="AY706" s="758"/>
      <c r="AZ706" s="758"/>
      <c r="BA706" s="758"/>
      <c r="BB706" s="758"/>
      <c r="BC706" s="758"/>
      <c r="BD706" s="758"/>
      <c r="BE706" s="758"/>
      <c r="BF706" s="758"/>
      <c r="BG706" s="758"/>
      <c r="BH706" s="758"/>
      <c r="BI706" s="758"/>
      <c r="BJ706" s="758"/>
      <c r="BK706" s="758"/>
      <c r="BL706" s="758"/>
      <c r="BM706" s="758"/>
      <c r="BN706" s="758"/>
      <c r="BO706" s="758"/>
      <c r="BP706" s="758"/>
      <c r="BQ706" s="758"/>
      <c r="BR706" s="758"/>
      <c r="BS706" s="758"/>
      <c r="BT706" s="758"/>
      <c r="BU706" s="758"/>
      <c r="BV706" s="758"/>
      <c r="BW706" s="758"/>
      <c r="BX706" s="758"/>
      <c r="BY706" s="758"/>
      <c r="BZ706" s="758"/>
      <c r="CA706" s="758"/>
      <c r="CB706" s="758"/>
      <c r="CC706" s="758"/>
      <c r="CD706" s="758"/>
      <c r="CE706" s="758"/>
      <c r="CF706" s="758"/>
      <c r="CG706" s="758"/>
      <c r="CH706" s="758"/>
      <c r="CI706" s="758"/>
      <c r="CJ706" s="758"/>
      <c r="CK706" s="758"/>
      <c r="CL706" s="758"/>
      <c r="CM706" s="758"/>
      <c r="CN706" s="758"/>
    </row>
    <row r="707" spans="8:92">
      <c r="H707" s="602" t="s">
        <v>940</v>
      </c>
      <c r="L707" s="609"/>
      <c r="M707" s="609" t="s">
        <v>359</v>
      </c>
      <c r="N707" s="704" t="s">
        <v>929</v>
      </c>
      <c r="O707" s="704" t="s">
        <v>1193</v>
      </c>
      <c r="P707" s="704" t="s">
        <v>1194</v>
      </c>
      <c r="Q707" s="704" t="s">
        <v>1195</v>
      </c>
      <c r="R707" s="704" t="s">
        <v>1196</v>
      </c>
      <c r="S707" s="704" t="s">
        <v>1197</v>
      </c>
      <c r="T707" s="753"/>
      <c r="U707" s="692" t="s">
        <v>929</v>
      </c>
      <c r="AF707" s="753"/>
      <c r="AG707" s="704" t="s">
        <v>1193</v>
      </c>
      <c r="AR707" s="753"/>
      <c r="AS707" s="704" t="s">
        <v>1194</v>
      </c>
      <c r="BD707" s="753"/>
      <c r="BE707" s="704" t="s">
        <v>1195</v>
      </c>
      <c r="BP707" s="753"/>
      <c r="BQ707" s="704" t="s">
        <v>1196</v>
      </c>
      <c r="CB707" s="753"/>
      <c r="CC707" s="704" t="s">
        <v>1197</v>
      </c>
    </row>
    <row r="708" spans="8:92">
      <c r="H708" s="602" t="s">
        <v>940</v>
      </c>
      <c r="L708" s="611"/>
      <c r="M708" s="611"/>
      <c r="N708" s="754" t="s">
        <v>405</v>
      </c>
      <c r="O708" s="754" t="s">
        <v>405</v>
      </c>
      <c r="P708" s="754" t="s">
        <v>405</v>
      </c>
      <c r="Q708" s="754" t="s">
        <v>405</v>
      </c>
      <c r="R708" s="754" t="s">
        <v>405</v>
      </c>
      <c r="S708" s="754" t="s">
        <v>405</v>
      </c>
      <c r="T708" s="755"/>
      <c r="U708" s="754" t="s">
        <v>1259</v>
      </c>
      <c r="V708" s="754" t="s">
        <v>1260</v>
      </c>
      <c r="W708" s="754" t="s">
        <v>1261</v>
      </c>
      <c r="X708" s="754" t="s">
        <v>1262</v>
      </c>
      <c r="Y708" s="754" t="s">
        <v>947</v>
      </c>
      <c r="Z708" s="754" t="s">
        <v>1263</v>
      </c>
      <c r="AA708" s="754" t="s">
        <v>1264</v>
      </c>
      <c r="AB708" s="754" t="s">
        <v>1265</v>
      </c>
      <c r="AC708" s="754" t="s">
        <v>1266</v>
      </c>
      <c r="AD708" s="754" t="s">
        <v>1267</v>
      </c>
      <c r="AE708" s="754" t="s">
        <v>1268</v>
      </c>
      <c r="AF708" s="756" t="s">
        <v>1269</v>
      </c>
      <c r="AG708" s="754" t="s">
        <v>1259</v>
      </c>
      <c r="AH708" s="754" t="s">
        <v>1260</v>
      </c>
      <c r="AI708" s="754" t="s">
        <v>1261</v>
      </c>
      <c r="AJ708" s="754" t="s">
        <v>1262</v>
      </c>
      <c r="AK708" s="754" t="s">
        <v>947</v>
      </c>
      <c r="AL708" s="754" t="s">
        <v>1263</v>
      </c>
      <c r="AM708" s="754" t="s">
        <v>1264</v>
      </c>
      <c r="AN708" s="754" t="s">
        <v>1265</v>
      </c>
      <c r="AO708" s="754" t="s">
        <v>1266</v>
      </c>
      <c r="AP708" s="754" t="s">
        <v>1267</v>
      </c>
      <c r="AQ708" s="754" t="s">
        <v>1268</v>
      </c>
      <c r="AR708" s="756" t="s">
        <v>1269</v>
      </c>
      <c r="AS708" s="754" t="s">
        <v>1259</v>
      </c>
      <c r="AT708" s="754" t="s">
        <v>1260</v>
      </c>
      <c r="AU708" s="754" t="s">
        <v>1261</v>
      </c>
      <c r="AV708" s="754" t="s">
        <v>1262</v>
      </c>
      <c r="AW708" s="754" t="s">
        <v>947</v>
      </c>
      <c r="AX708" s="754" t="s">
        <v>1263</v>
      </c>
      <c r="AY708" s="754" t="s">
        <v>1264</v>
      </c>
      <c r="AZ708" s="754" t="s">
        <v>1265</v>
      </c>
      <c r="BA708" s="754" t="s">
        <v>1266</v>
      </c>
      <c r="BB708" s="754" t="s">
        <v>1267</v>
      </c>
      <c r="BC708" s="754" t="s">
        <v>1268</v>
      </c>
      <c r="BD708" s="756" t="s">
        <v>1269</v>
      </c>
      <c r="BE708" s="754" t="s">
        <v>1259</v>
      </c>
      <c r="BF708" s="754" t="s">
        <v>1260</v>
      </c>
      <c r="BG708" s="754" t="s">
        <v>1261</v>
      </c>
      <c r="BH708" s="754" t="s">
        <v>1262</v>
      </c>
      <c r="BI708" s="754" t="s">
        <v>947</v>
      </c>
      <c r="BJ708" s="754" t="s">
        <v>1263</v>
      </c>
      <c r="BK708" s="754" t="s">
        <v>1264</v>
      </c>
      <c r="BL708" s="754" t="s">
        <v>1265</v>
      </c>
      <c r="BM708" s="754" t="s">
        <v>1266</v>
      </c>
      <c r="BN708" s="754" t="s">
        <v>1267</v>
      </c>
      <c r="BO708" s="754" t="s">
        <v>1268</v>
      </c>
      <c r="BP708" s="756" t="s">
        <v>1269</v>
      </c>
      <c r="BQ708" s="754" t="s">
        <v>1259</v>
      </c>
      <c r="BR708" s="754" t="s">
        <v>1260</v>
      </c>
      <c r="BS708" s="754" t="s">
        <v>1261</v>
      </c>
      <c r="BT708" s="754" t="s">
        <v>1262</v>
      </c>
      <c r="BU708" s="754" t="s">
        <v>947</v>
      </c>
      <c r="BV708" s="754" t="s">
        <v>1263</v>
      </c>
      <c r="BW708" s="754" t="s">
        <v>1264</v>
      </c>
      <c r="BX708" s="754" t="s">
        <v>1265</v>
      </c>
      <c r="BY708" s="754" t="s">
        <v>1266</v>
      </c>
      <c r="BZ708" s="754" t="s">
        <v>1267</v>
      </c>
      <c r="CA708" s="754" t="s">
        <v>1268</v>
      </c>
      <c r="CB708" s="756" t="s">
        <v>1269</v>
      </c>
      <c r="CC708" s="754" t="s">
        <v>1259</v>
      </c>
      <c r="CD708" s="754" t="s">
        <v>1260</v>
      </c>
      <c r="CE708" s="754" t="s">
        <v>1261</v>
      </c>
      <c r="CF708" s="754" t="s">
        <v>1262</v>
      </c>
      <c r="CG708" s="754" t="s">
        <v>947</v>
      </c>
      <c r="CH708" s="754" t="s">
        <v>1263</v>
      </c>
      <c r="CI708" s="754" t="s">
        <v>1264</v>
      </c>
      <c r="CJ708" s="754" t="s">
        <v>1265</v>
      </c>
      <c r="CK708" s="754" t="s">
        <v>1266</v>
      </c>
      <c r="CL708" s="754" t="s">
        <v>1267</v>
      </c>
      <c r="CM708" s="754" t="s">
        <v>1268</v>
      </c>
      <c r="CN708" s="754" t="s">
        <v>1269</v>
      </c>
    </row>
    <row r="709" spans="8:92">
      <c r="H709" s="602" t="s">
        <v>940</v>
      </c>
    </row>
    <row r="710" spans="8:92">
      <c r="H710" s="602" t="s">
        <v>940</v>
      </c>
      <c r="L710" s="618" t="s">
        <v>1290</v>
      </c>
      <c r="M710" s="600" t="str">
        <f>$M$496</f>
        <v>Therms</v>
      </c>
      <c r="N710" s="615" t="e">
        <f>SUM(U710:AF710)</f>
        <v>#N/A</v>
      </c>
      <c r="O710" s="615" t="e">
        <f>SUM(AG710:AR710)</f>
        <v>#N/A</v>
      </c>
      <c r="P710" s="615" t="e">
        <f>SUM(AS710:BD710)</f>
        <v>#N/A</v>
      </c>
      <c r="Q710" s="615" t="e">
        <f>SUM(BE710:BP710)</f>
        <v>#N/A</v>
      </c>
      <c r="R710" s="615" t="e">
        <f>SUM(BQ710:CB710)</f>
        <v>#N/A</v>
      </c>
      <c r="S710" s="615" t="e">
        <f>SUM(CC710:CN710)</f>
        <v>#N/A</v>
      </c>
      <c r="U710" s="616" t="e">
        <f>U497</f>
        <v>#N/A</v>
      </c>
      <c r="V710" s="616" t="e">
        <f t="shared" ref="V710:CG710" si="806">V497</f>
        <v>#N/A</v>
      </c>
      <c r="W710" s="616" t="e">
        <f t="shared" si="806"/>
        <v>#N/A</v>
      </c>
      <c r="X710" s="616" t="e">
        <f t="shared" si="806"/>
        <v>#N/A</v>
      </c>
      <c r="Y710" s="616" t="e">
        <f t="shared" si="806"/>
        <v>#N/A</v>
      </c>
      <c r="Z710" s="616" t="e">
        <f t="shared" si="806"/>
        <v>#N/A</v>
      </c>
      <c r="AA710" s="616" t="e">
        <f t="shared" si="806"/>
        <v>#N/A</v>
      </c>
      <c r="AB710" s="616" t="e">
        <f t="shared" si="806"/>
        <v>#N/A</v>
      </c>
      <c r="AC710" s="616" t="e">
        <f t="shared" si="806"/>
        <v>#N/A</v>
      </c>
      <c r="AD710" s="616" t="e">
        <f t="shared" si="806"/>
        <v>#N/A</v>
      </c>
      <c r="AE710" s="616" t="e">
        <f t="shared" si="806"/>
        <v>#N/A</v>
      </c>
      <c r="AF710" s="616" t="e">
        <f t="shared" si="806"/>
        <v>#N/A</v>
      </c>
      <c r="AG710" s="616" t="e">
        <f t="shared" si="806"/>
        <v>#N/A</v>
      </c>
      <c r="AH710" s="616" t="e">
        <f t="shared" si="806"/>
        <v>#N/A</v>
      </c>
      <c r="AI710" s="616" t="e">
        <f t="shared" si="806"/>
        <v>#N/A</v>
      </c>
      <c r="AJ710" s="616" t="e">
        <f t="shared" si="806"/>
        <v>#N/A</v>
      </c>
      <c r="AK710" s="616" t="e">
        <f t="shared" si="806"/>
        <v>#N/A</v>
      </c>
      <c r="AL710" s="616" t="e">
        <f t="shared" si="806"/>
        <v>#N/A</v>
      </c>
      <c r="AM710" s="616" t="e">
        <f t="shared" si="806"/>
        <v>#N/A</v>
      </c>
      <c r="AN710" s="616" t="e">
        <f t="shared" si="806"/>
        <v>#N/A</v>
      </c>
      <c r="AO710" s="616" t="e">
        <f t="shared" si="806"/>
        <v>#N/A</v>
      </c>
      <c r="AP710" s="616" t="e">
        <f t="shared" si="806"/>
        <v>#N/A</v>
      </c>
      <c r="AQ710" s="616" t="e">
        <f t="shared" si="806"/>
        <v>#N/A</v>
      </c>
      <c r="AR710" s="616" t="e">
        <f t="shared" si="806"/>
        <v>#N/A</v>
      </c>
      <c r="AS710" s="616" t="e">
        <f t="shared" si="806"/>
        <v>#N/A</v>
      </c>
      <c r="AT710" s="616" t="e">
        <f t="shared" si="806"/>
        <v>#N/A</v>
      </c>
      <c r="AU710" s="616" t="e">
        <f t="shared" si="806"/>
        <v>#N/A</v>
      </c>
      <c r="AV710" s="616" t="e">
        <f t="shared" si="806"/>
        <v>#N/A</v>
      </c>
      <c r="AW710" s="616" t="e">
        <f t="shared" si="806"/>
        <v>#N/A</v>
      </c>
      <c r="AX710" s="616" t="e">
        <f t="shared" si="806"/>
        <v>#N/A</v>
      </c>
      <c r="AY710" s="616" t="e">
        <f t="shared" si="806"/>
        <v>#N/A</v>
      </c>
      <c r="AZ710" s="616" t="e">
        <f t="shared" si="806"/>
        <v>#N/A</v>
      </c>
      <c r="BA710" s="616" t="e">
        <f t="shared" si="806"/>
        <v>#N/A</v>
      </c>
      <c r="BB710" s="616" t="e">
        <f t="shared" si="806"/>
        <v>#N/A</v>
      </c>
      <c r="BC710" s="616" t="e">
        <f t="shared" si="806"/>
        <v>#N/A</v>
      </c>
      <c r="BD710" s="616" t="e">
        <f t="shared" si="806"/>
        <v>#N/A</v>
      </c>
      <c r="BE710" s="616" t="e">
        <f t="shared" si="806"/>
        <v>#N/A</v>
      </c>
      <c r="BF710" s="616" t="e">
        <f t="shared" si="806"/>
        <v>#N/A</v>
      </c>
      <c r="BG710" s="616" t="e">
        <f t="shared" si="806"/>
        <v>#N/A</v>
      </c>
      <c r="BH710" s="616" t="e">
        <f t="shared" si="806"/>
        <v>#N/A</v>
      </c>
      <c r="BI710" s="616" t="e">
        <f t="shared" si="806"/>
        <v>#N/A</v>
      </c>
      <c r="BJ710" s="616" t="e">
        <f t="shared" si="806"/>
        <v>#N/A</v>
      </c>
      <c r="BK710" s="616" t="e">
        <f t="shared" si="806"/>
        <v>#N/A</v>
      </c>
      <c r="BL710" s="616" t="e">
        <f t="shared" si="806"/>
        <v>#N/A</v>
      </c>
      <c r="BM710" s="616" t="e">
        <f t="shared" si="806"/>
        <v>#N/A</v>
      </c>
      <c r="BN710" s="616" t="e">
        <f t="shared" si="806"/>
        <v>#N/A</v>
      </c>
      <c r="BO710" s="616" t="e">
        <f t="shared" si="806"/>
        <v>#N/A</v>
      </c>
      <c r="BP710" s="616" t="e">
        <f t="shared" si="806"/>
        <v>#N/A</v>
      </c>
      <c r="BQ710" s="616" t="e">
        <f t="shared" si="806"/>
        <v>#N/A</v>
      </c>
      <c r="BR710" s="616" t="e">
        <f t="shared" si="806"/>
        <v>#N/A</v>
      </c>
      <c r="BS710" s="616" t="e">
        <f t="shared" si="806"/>
        <v>#N/A</v>
      </c>
      <c r="BT710" s="616" t="e">
        <f t="shared" si="806"/>
        <v>#N/A</v>
      </c>
      <c r="BU710" s="616" t="e">
        <f t="shared" si="806"/>
        <v>#N/A</v>
      </c>
      <c r="BV710" s="616" t="e">
        <f t="shared" si="806"/>
        <v>#N/A</v>
      </c>
      <c r="BW710" s="616" t="e">
        <f t="shared" si="806"/>
        <v>#N/A</v>
      </c>
      <c r="BX710" s="616" t="e">
        <f t="shared" si="806"/>
        <v>#N/A</v>
      </c>
      <c r="BY710" s="616" t="e">
        <f t="shared" si="806"/>
        <v>#N/A</v>
      </c>
      <c r="BZ710" s="616" t="e">
        <f t="shared" si="806"/>
        <v>#N/A</v>
      </c>
      <c r="CA710" s="616" t="e">
        <f t="shared" si="806"/>
        <v>#N/A</v>
      </c>
      <c r="CB710" s="616" t="e">
        <f t="shared" si="806"/>
        <v>#N/A</v>
      </c>
      <c r="CC710" s="616" t="e">
        <f t="shared" si="806"/>
        <v>#N/A</v>
      </c>
      <c r="CD710" s="616" t="e">
        <f t="shared" si="806"/>
        <v>#N/A</v>
      </c>
      <c r="CE710" s="616" t="e">
        <f t="shared" si="806"/>
        <v>#N/A</v>
      </c>
      <c r="CF710" s="616" t="e">
        <f t="shared" si="806"/>
        <v>#N/A</v>
      </c>
      <c r="CG710" s="616" t="e">
        <f t="shared" si="806"/>
        <v>#N/A</v>
      </c>
      <c r="CH710" s="616" t="e">
        <f t="shared" ref="CH710:CN710" si="807">CH497</f>
        <v>#N/A</v>
      </c>
      <c r="CI710" s="616" t="e">
        <f t="shared" si="807"/>
        <v>#N/A</v>
      </c>
      <c r="CJ710" s="616" t="e">
        <f t="shared" si="807"/>
        <v>#N/A</v>
      </c>
      <c r="CK710" s="616" t="e">
        <f t="shared" si="807"/>
        <v>#N/A</v>
      </c>
      <c r="CL710" s="616" t="e">
        <f t="shared" si="807"/>
        <v>#N/A</v>
      </c>
      <c r="CM710" s="616" t="e">
        <f t="shared" si="807"/>
        <v>#N/A</v>
      </c>
      <c r="CN710" s="616" t="e">
        <f t="shared" si="807"/>
        <v>#N/A</v>
      </c>
    </row>
    <row r="711" spans="8:92">
      <c r="H711" s="602" t="s">
        <v>940</v>
      </c>
      <c r="L711" s="609"/>
      <c r="N711" s="615"/>
      <c r="O711" s="615"/>
      <c r="P711" s="615"/>
      <c r="Q711" s="615"/>
      <c r="R711" s="615"/>
      <c r="S711" s="615"/>
    </row>
    <row r="712" spans="8:92">
      <c r="H712" s="602" t="s">
        <v>940</v>
      </c>
      <c r="L712" s="618" t="s">
        <v>1296</v>
      </c>
      <c r="M712" s="600" t="str">
        <f>$M$496</f>
        <v>Therms</v>
      </c>
      <c r="N712" s="615" t="e">
        <f>SUM(U712:AF712)</f>
        <v>#N/A</v>
      </c>
      <c r="O712" s="615" t="e">
        <f>SUM(AG712:AR712)</f>
        <v>#N/A</v>
      </c>
      <c r="P712" s="615" t="e">
        <f>SUM(AS712:BD712)</f>
        <v>#N/A</v>
      </c>
      <c r="Q712" s="615" t="e">
        <f>SUM(BE712:BP712)</f>
        <v>#N/A</v>
      </c>
      <c r="R712" s="615" t="e">
        <f>SUM(BQ712:CB712)</f>
        <v>#N/A</v>
      </c>
      <c r="S712" s="615" t="e">
        <f>SUM(CC712:CN712)</f>
        <v>#N/A</v>
      </c>
      <c r="U712" s="616" t="e">
        <f t="shared" ref="U712:AF712" si="808">MIN(U710,N$442)</f>
        <v>#N/A</v>
      </c>
      <c r="V712" s="616" t="e">
        <f t="shared" si="808"/>
        <v>#N/A</v>
      </c>
      <c r="W712" s="616" t="e">
        <f t="shared" si="808"/>
        <v>#N/A</v>
      </c>
      <c r="X712" s="616" t="e">
        <f t="shared" si="808"/>
        <v>#N/A</v>
      </c>
      <c r="Y712" s="616" t="e">
        <f t="shared" si="808"/>
        <v>#N/A</v>
      </c>
      <c r="Z712" s="616" t="e">
        <f t="shared" si="808"/>
        <v>#N/A</v>
      </c>
      <c r="AA712" s="616" t="e">
        <f t="shared" si="808"/>
        <v>#N/A</v>
      </c>
      <c r="AB712" s="616" t="e">
        <f t="shared" si="808"/>
        <v>#N/A</v>
      </c>
      <c r="AC712" s="616" t="e">
        <f t="shared" si="808"/>
        <v>#N/A</v>
      </c>
      <c r="AD712" s="616" t="e">
        <f t="shared" si="808"/>
        <v>#N/A</v>
      </c>
      <c r="AE712" s="616" t="e">
        <f t="shared" si="808"/>
        <v>#N/A</v>
      </c>
      <c r="AF712" s="616" t="e">
        <f t="shared" si="808"/>
        <v>#N/A</v>
      </c>
      <c r="AG712" s="616" t="e">
        <f t="shared" ref="AG712:AR712" si="809">MIN(AG710,N$442)</f>
        <v>#N/A</v>
      </c>
      <c r="AH712" s="616" t="e">
        <f t="shared" si="809"/>
        <v>#N/A</v>
      </c>
      <c r="AI712" s="616" t="e">
        <f t="shared" si="809"/>
        <v>#N/A</v>
      </c>
      <c r="AJ712" s="616" t="e">
        <f t="shared" si="809"/>
        <v>#N/A</v>
      </c>
      <c r="AK712" s="616" t="e">
        <f t="shared" si="809"/>
        <v>#N/A</v>
      </c>
      <c r="AL712" s="616" t="e">
        <f t="shared" si="809"/>
        <v>#N/A</v>
      </c>
      <c r="AM712" s="616" t="e">
        <f t="shared" si="809"/>
        <v>#N/A</v>
      </c>
      <c r="AN712" s="616" t="e">
        <f t="shared" si="809"/>
        <v>#N/A</v>
      </c>
      <c r="AO712" s="616" t="e">
        <f t="shared" si="809"/>
        <v>#N/A</v>
      </c>
      <c r="AP712" s="616" t="e">
        <f t="shared" si="809"/>
        <v>#N/A</v>
      </c>
      <c r="AQ712" s="616" t="e">
        <f t="shared" si="809"/>
        <v>#N/A</v>
      </c>
      <c r="AR712" s="616" t="e">
        <f t="shared" si="809"/>
        <v>#N/A</v>
      </c>
      <c r="AS712" s="616" t="e">
        <f t="shared" ref="AS712:BD712" si="810">MIN(AS710,N$442)</f>
        <v>#N/A</v>
      </c>
      <c r="AT712" s="616" t="e">
        <f t="shared" si="810"/>
        <v>#N/A</v>
      </c>
      <c r="AU712" s="616" t="e">
        <f t="shared" si="810"/>
        <v>#N/A</v>
      </c>
      <c r="AV712" s="616" t="e">
        <f t="shared" si="810"/>
        <v>#N/A</v>
      </c>
      <c r="AW712" s="616" t="e">
        <f t="shared" si="810"/>
        <v>#N/A</v>
      </c>
      <c r="AX712" s="616" t="e">
        <f t="shared" si="810"/>
        <v>#N/A</v>
      </c>
      <c r="AY712" s="616" t="e">
        <f t="shared" si="810"/>
        <v>#N/A</v>
      </c>
      <c r="AZ712" s="616" t="e">
        <f t="shared" si="810"/>
        <v>#N/A</v>
      </c>
      <c r="BA712" s="616" t="e">
        <f t="shared" si="810"/>
        <v>#N/A</v>
      </c>
      <c r="BB712" s="616" t="e">
        <f t="shared" si="810"/>
        <v>#N/A</v>
      </c>
      <c r="BC712" s="616" t="e">
        <f t="shared" si="810"/>
        <v>#N/A</v>
      </c>
      <c r="BD712" s="616" t="e">
        <f t="shared" si="810"/>
        <v>#N/A</v>
      </c>
      <c r="BE712" s="616" t="e">
        <f t="shared" ref="BE712:BP712" si="811">MIN(BE710,N$442)</f>
        <v>#N/A</v>
      </c>
      <c r="BF712" s="616" t="e">
        <f t="shared" si="811"/>
        <v>#N/A</v>
      </c>
      <c r="BG712" s="616" t="e">
        <f t="shared" si="811"/>
        <v>#N/A</v>
      </c>
      <c r="BH712" s="616" t="e">
        <f t="shared" si="811"/>
        <v>#N/A</v>
      </c>
      <c r="BI712" s="616" t="e">
        <f t="shared" si="811"/>
        <v>#N/A</v>
      </c>
      <c r="BJ712" s="616" t="e">
        <f t="shared" si="811"/>
        <v>#N/A</v>
      </c>
      <c r="BK712" s="616" t="e">
        <f t="shared" si="811"/>
        <v>#N/A</v>
      </c>
      <c r="BL712" s="616" t="e">
        <f t="shared" si="811"/>
        <v>#N/A</v>
      </c>
      <c r="BM712" s="616" t="e">
        <f t="shared" si="811"/>
        <v>#N/A</v>
      </c>
      <c r="BN712" s="616" t="e">
        <f t="shared" si="811"/>
        <v>#N/A</v>
      </c>
      <c r="BO712" s="616" t="e">
        <f t="shared" si="811"/>
        <v>#N/A</v>
      </c>
      <c r="BP712" s="616" t="e">
        <f t="shared" si="811"/>
        <v>#N/A</v>
      </c>
      <c r="BQ712" s="616" t="e">
        <f t="shared" ref="BQ712:CB712" si="812">MIN(BQ710,N$442)</f>
        <v>#N/A</v>
      </c>
      <c r="BR712" s="616" t="e">
        <f t="shared" si="812"/>
        <v>#N/A</v>
      </c>
      <c r="BS712" s="616" t="e">
        <f t="shared" si="812"/>
        <v>#N/A</v>
      </c>
      <c r="BT712" s="616" t="e">
        <f t="shared" si="812"/>
        <v>#N/A</v>
      </c>
      <c r="BU712" s="616" t="e">
        <f t="shared" si="812"/>
        <v>#N/A</v>
      </c>
      <c r="BV712" s="616" t="e">
        <f t="shared" si="812"/>
        <v>#N/A</v>
      </c>
      <c r="BW712" s="616" t="e">
        <f t="shared" si="812"/>
        <v>#N/A</v>
      </c>
      <c r="BX712" s="616" t="e">
        <f t="shared" si="812"/>
        <v>#N/A</v>
      </c>
      <c r="BY712" s="616" t="e">
        <f t="shared" si="812"/>
        <v>#N/A</v>
      </c>
      <c r="BZ712" s="616" t="e">
        <f t="shared" si="812"/>
        <v>#N/A</v>
      </c>
      <c r="CA712" s="616" t="e">
        <f t="shared" si="812"/>
        <v>#N/A</v>
      </c>
      <c r="CB712" s="616" t="e">
        <f t="shared" si="812"/>
        <v>#N/A</v>
      </c>
      <c r="CC712" s="616" t="e">
        <f t="shared" ref="CC712:CN712" si="813">MIN(CC710,N$442)</f>
        <v>#N/A</v>
      </c>
      <c r="CD712" s="616" t="e">
        <f t="shared" si="813"/>
        <v>#N/A</v>
      </c>
      <c r="CE712" s="616" t="e">
        <f t="shared" si="813"/>
        <v>#N/A</v>
      </c>
      <c r="CF712" s="616" t="e">
        <f t="shared" si="813"/>
        <v>#N/A</v>
      </c>
      <c r="CG712" s="616" t="e">
        <f t="shared" si="813"/>
        <v>#N/A</v>
      </c>
      <c r="CH712" s="616" t="e">
        <f t="shared" si="813"/>
        <v>#N/A</v>
      </c>
      <c r="CI712" s="616" t="e">
        <f t="shared" si="813"/>
        <v>#N/A</v>
      </c>
      <c r="CJ712" s="616" t="e">
        <f t="shared" si="813"/>
        <v>#N/A</v>
      </c>
      <c r="CK712" s="616" t="e">
        <f t="shared" si="813"/>
        <v>#N/A</v>
      </c>
      <c r="CL712" s="616" t="e">
        <f t="shared" si="813"/>
        <v>#N/A</v>
      </c>
      <c r="CM712" s="616" t="e">
        <f t="shared" si="813"/>
        <v>#N/A</v>
      </c>
      <c r="CN712" s="616" t="e">
        <f t="shared" si="813"/>
        <v>#N/A</v>
      </c>
    </row>
    <row r="713" spans="8:92">
      <c r="H713" s="602" t="s">
        <v>940</v>
      </c>
      <c r="L713" s="618" t="s">
        <v>1297</v>
      </c>
      <c r="M713" s="600" t="str">
        <f>$M$496</f>
        <v>Therms</v>
      </c>
      <c r="N713" s="615" t="e">
        <f>SUM(U713:AF713)</f>
        <v>#N/A</v>
      </c>
      <c r="O713" s="615" t="e">
        <f>SUM(AG713:AR713)</f>
        <v>#N/A</v>
      </c>
      <c r="P713" s="615" t="e">
        <f>SUM(AS713:BD713)</f>
        <v>#N/A</v>
      </c>
      <c r="Q713" s="615" t="e">
        <f>SUM(BE713:BP713)</f>
        <v>#N/A</v>
      </c>
      <c r="R713" s="615" t="e">
        <f>SUM(BQ713:CB713)</f>
        <v>#N/A</v>
      </c>
      <c r="S713" s="615" t="e">
        <f>SUM(CC713:CN713)</f>
        <v>#N/A</v>
      </c>
      <c r="U713" s="616" t="e">
        <f t="shared" ref="U713:AF713" si="814">MIN(U710-U712,N$443)</f>
        <v>#N/A</v>
      </c>
      <c r="V713" s="616" t="e">
        <f t="shared" si="814"/>
        <v>#N/A</v>
      </c>
      <c r="W713" s="616" t="e">
        <f t="shared" si="814"/>
        <v>#N/A</v>
      </c>
      <c r="X713" s="616" t="e">
        <f t="shared" si="814"/>
        <v>#N/A</v>
      </c>
      <c r="Y713" s="616" t="e">
        <f t="shared" si="814"/>
        <v>#N/A</v>
      </c>
      <c r="Z713" s="616" t="e">
        <f t="shared" si="814"/>
        <v>#N/A</v>
      </c>
      <c r="AA713" s="616" t="e">
        <f t="shared" si="814"/>
        <v>#N/A</v>
      </c>
      <c r="AB713" s="616" t="e">
        <f t="shared" si="814"/>
        <v>#N/A</v>
      </c>
      <c r="AC713" s="616" t="e">
        <f t="shared" si="814"/>
        <v>#N/A</v>
      </c>
      <c r="AD713" s="616" t="e">
        <f t="shared" si="814"/>
        <v>#N/A</v>
      </c>
      <c r="AE713" s="616" t="e">
        <f t="shared" si="814"/>
        <v>#N/A</v>
      </c>
      <c r="AF713" s="616" t="e">
        <f t="shared" si="814"/>
        <v>#N/A</v>
      </c>
      <c r="AG713" s="616" t="e">
        <f t="shared" ref="AG713:AR713" si="815">MIN(AG710-AG712,N$443)</f>
        <v>#N/A</v>
      </c>
      <c r="AH713" s="616" t="e">
        <f t="shared" si="815"/>
        <v>#N/A</v>
      </c>
      <c r="AI713" s="616" t="e">
        <f t="shared" si="815"/>
        <v>#N/A</v>
      </c>
      <c r="AJ713" s="616" t="e">
        <f t="shared" si="815"/>
        <v>#N/A</v>
      </c>
      <c r="AK713" s="616" t="e">
        <f t="shared" si="815"/>
        <v>#N/A</v>
      </c>
      <c r="AL713" s="616" t="e">
        <f t="shared" si="815"/>
        <v>#N/A</v>
      </c>
      <c r="AM713" s="616" t="e">
        <f t="shared" si="815"/>
        <v>#N/A</v>
      </c>
      <c r="AN713" s="616" t="e">
        <f t="shared" si="815"/>
        <v>#N/A</v>
      </c>
      <c r="AO713" s="616" t="e">
        <f t="shared" si="815"/>
        <v>#N/A</v>
      </c>
      <c r="AP713" s="616" t="e">
        <f t="shared" si="815"/>
        <v>#N/A</v>
      </c>
      <c r="AQ713" s="616" t="e">
        <f t="shared" si="815"/>
        <v>#N/A</v>
      </c>
      <c r="AR713" s="616" t="e">
        <f t="shared" si="815"/>
        <v>#N/A</v>
      </c>
      <c r="AS713" s="616" t="e">
        <f t="shared" ref="AS713:BD713" si="816">MIN(AS710-AS712,N$443)</f>
        <v>#N/A</v>
      </c>
      <c r="AT713" s="616" t="e">
        <f t="shared" si="816"/>
        <v>#N/A</v>
      </c>
      <c r="AU713" s="616" t="e">
        <f t="shared" si="816"/>
        <v>#N/A</v>
      </c>
      <c r="AV713" s="616" t="e">
        <f t="shared" si="816"/>
        <v>#N/A</v>
      </c>
      <c r="AW713" s="616" t="e">
        <f t="shared" si="816"/>
        <v>#N/A</v>
      </c>
      <c r="AX713" s="616" t="e">
        <f t="shared" si="816"/>
        <v>#N/A</v>
      </c>
      <c r="AY713" s="616" t="e">
        <f t="shared" si="816"/>
        <v>#N/A</v>
      </c>
      <c r="AZ713" s="616" t="e">
        <f t="shared" si="816"/>
        <v>#N/A</v>
      </c>
      <c r="BA713" s="616" t="e">
        <f t="shared" si="816"/>
        <v>#N/A</v>
      </c>
      <c r="BB713" s="616" t="e">
        <f t="shared" si="816"/>
        <v>#N/A</v>
      </c>
      <c r="BC713" s="616" t="e">
        <f t="shared" si="816"/>
        <v>#N/A</v>
      </c>
      <c r="BD713" s="616" t="e">
        <f t="shared" si="816"/>
        <v>#N/A</v>
      </c>
      <c r="BE713" s="616" t="e">
        <f t="shared" ref="BE713:BP713" si="817">MIN(BE710-BE712,N$443)</f>
        <v>#N/A</v>
      </c>
      <c r="BF713" s="616" t="e">
        <f t="shared" si="817"/>
        <v>#N/A</v>
      </c>
      <c r="BG713" s="616" t="e">
        <f t="shared" si="817"/>
        <v>#N/A</v>
      </c>
      <c r="BH713" s="616" t="e">
        <f t="shared" si="817"/>
        <v>#N/A</v>
      </c>
      <c r="BI713" s="616" t="e">
        <f t="shared" si="817"/>
        <v>#N/A</v>
      </c>
      <c r="BJ713" s="616" t="e">
        <f t="shared" si="817"/>
        <v>#N/A</v>
      </c>
      <c r="BK713" s="616" t="e">
        <f t="shared" si="817"/>
        <v>#N/A</v>
      </c>
      <c r="BL713" s="616" t="e">
        <f t="shared" si="817"/>
        <v>#N/A</v>
      </c>
      <c r="BM713" s="616" t="e">
        <f t="shared" si="817"/>
        <v>#N/A</v>
      </c>
      <c r="BN713" s="616" t="e">
        <f t="shared" si="817"/>
        <v>#N/A</v>
      </c>
      <c r="BO713" s="616" t="e">
        <f t="shared" si="817"/>
        <v>#N/A</v>
      </c>
      <c r="BP713" s="616" t="e">
        <f t="shared" si="817"/>
        <v>#N/A</v>
      </c>
      <c r="BQ713" s="616" t="e">
        <f t="shared" ref="BQ713:CB713" si="818">MIN(BQ710-BQ712,N$443)</f>
        <v>#N/A</v>
      </c>
      <c r="BR713" s="616" t="e">
        <f t="shared" si="818"/>
        <v>#N/A</v>
      </c>
      <c r="BS713" s="616" t="e">
        <f t="shared" si="818"/>
        <v>#N/A</v>
      </c>
      <c r="BT713" s="616" t="e">
        <f t="shared" si="818"/>
        <v>#N/A</v>
      </c>
      <c r="BU713" s="616" t="e">
        <f t="shared" si="818"/>
        <v>#N/A</v>
      </c>
      <c r="BV713" s="616" t="e">
        <f t="shared" si="818"/>
        <v>#N/A</v>
      </c>
      <c r="BW713" s="616" t="e">
        <f t="shared" si="818"/>
        <v>#N/A</v>
      </c>
      <c r="BX713" s="616" t="e">
        <f t="shared" si="818"/>
        <v>#N/A</v>
      </c>
      <c r="BY713" s="616" t="e">
        <f t="shared" si="818"/>
        <v>#N/A</v>
      </c>
      <c r="BZ713" s="616" t="e">
        <f t="shared" si="818"/>
        <v>#N/A</v>
      </c>
      <c r="CA713" s="616" t="e">
        <f t="shared" si="818"/>
        <v>#N/A</v>
      </c>
      <c r="CB713" s="616" t="e">
        <f t="shared" si="818"/>
        <v>#N/A</v>
      </c>
      <c r="CC713" s="616" t="e">
        <f t="shared" ref="CC713:CN713" si="819">MIN(CC710-CC712,N$443)</f>
        <v>#N/A</v>
      </c>
      <c r="CD713" s="616" t="e">
        <f t="shared" si="819"/>
        <v>#N/A</v>
      </c>
      <c r="CE713" s="616" t="e">
        <f t="shared" si="819"/>
        <v>#N/A</v>
      </c>
      <c r="CF713" s="616" t="e">
        <f t="shared" si="819"/>
        <v>#N/A</v>
      </c>
      <c r="CG713" s="616" t="e">
        <f t="shared" si="819"/>
        <v>#N/A</v>
      </c>
      <c r="CH713" s="616" t="e">
        <f t="shared" si="819"/>
        <v>#N/A</v>
      </c>
      <c r="CI713" s="616" t="e">
        <f t="shared" si="819"/>
        <v>#N/A</v>
      </c>
      <c r="CJ713" s="616" t="e">
        <f t="shared" si="819"/>
        <v>#N/A</v>
      </c>
      <c r="CK713" s="616" t="e">
        <f t="shared" si="819"/>
        <v>#N/A</v>
      </c>
      <c r="CL713" s="616" t="e">
        <f t="shared" si="819"/>
        <v>#N/A</v>
      </c>
      <c r="CM713" s="616" t="e">
        <f t="shared" si="819"/>
        <v>#N/A</v>
      </c>
      <c r="CN713" s="616" t="e">
        <f t="shared" si="819"/>
        <v>#N/A</v>
      </c>
    </row>
    <row r="714" spans="8:92">
      <c r="H714" s="602" t="s">
        <v>940</v>
      </c>
      <c r="L714" s="618" t="s">
        <v>1298</v>
      </c>
      <c r="M714" s="600" t="str">
        <f>$M$496</f>
        <v>Therms</v>
      </c>
      <c r="N714" s="615" t="e">
        <f>SUM(U714:AF714)</f>
        <v>#N/A</v>
      </c>
      <c r="O714" s="615" t="e">
        <f>SUM(AG714:AR714)</f>
        <v>#N/A</v>
      </c>
      <c r="P714" s="615" t="e">
        <f>SUM(AS714:BD714)</f>
        <v>#N/A</v>
      </c>
      <c r="Q714" s="615" t="e">
        <f>SUM(BE714:BP714)</f>
        <v>#N/A</v>
      </c>
      <c r="R714" s="615" t="e">
        <f>SUM(BQ714:CB714)</f>
        <v>#N/A</v>
      </c>
      <c r="S714" s="615" t="e">
        <f>SUM(CC714:CN714)</f>
        <v>#N/A</v>
      </c>
      <c r="U714" s="616" t="e">
        <f t="shared" ref="U714:AF714" si="820">MIN(U710-(U712+U713),N$444)</f>
        <v>#N/A</v>
      </c>
      <c r="V714" s="616" t="e">
        <f t="shared" si="820"/>
        <v>#N/A</v>
      </c>
      <c r="W714" s="616" t="e">
        <f t="shared" si="820"/>
        <v>#N/A</v>
      </c>
      <c r="X714" s="616" t="e">
        <f t="shared" si="820"/>
        <v>#N/A</v>
      </c>
      <c r="Y714" s="616" t="e">
        <f t="shared" si="820"/>
        <v>#N/A</v>
      </c>
      <c r="Z714" s="616" t="e">
        <f t="shared" si="820"/>
        <v>#N/A</v>
      </c>
      <c r="AA714" s="616" t="e">
        <f t="shared" si="820"/>
        <v>#N/A</v>
      </c>
      <c r="AB714" s="616" t="e">
        <f t="shared" si="820"/>
        <v>#N/A</v>
      </c>
      <c r="AC714" s="616" t="e">
        <f t="shared" si="820"/>
        <v>#N/A</v>
      </c>
      <c r="AD714" s="616" t="e">
        <f t="shared" si="820"/>
        <v>#N/A</v>
      </c>
      <c r="AE714" s="616" t="e">
        <f t="shared" si="820"/>
        <v>#N/A</v>
      </c>
      <c r="AF714" s="616" t="e">
        <f t="shared" si="820"/>
        <v>#N/A</v>
      </c>
      <c r="AG714" s="616" t="e">
        <f t="shared" ref="AG714:AR714" si="821">MIN(AG710-(AG712+AG713),N$444)</f>
        <v>#N/A</v>
      </c>
      <c r="AH714" s="616" t="e">
        <f t="shared" si="821"/>
        <v>#N/A</v>
      </c>
      <c r="AI714" s="616" t="e">
        <f t="shared" si="821"/>
        <v>#N/A</v>
      </c>
      <c r="AJ714" s="616" t="e">
        <f t="shared" si="821"/>
        <v>#N/A</v>
      </c>
      <c r="AK714" s="616" t="e">
        <f t="shared" si="821"/>
        <v>#N/A</v>
      </c>
      <c r="AL714" s="616" t="e">
        <f t="shared" si="821"/>
        <v>#N/A</v>
      </c>
      <c r="AM714" s="616" t="e">
        <f t="shared" si="821"/>
        <v>#N/A</v>
      </c>
      <c r="AN714" s="616" t="e">
        <f t="shared" si="821"/>
        <v>#N/A</v>
      </c>
      <c r="AO714" s="616" t="e">
        <f t="shared" si="821"/>
        <v>#N/A</v>
      </c>
      <c r="AP714" s="616" t="e">
        <f t="shared" si="821"/>
        <v>#N/A</v>
      </c>
      <c r="AQ714" s="616" t="e">
        <f t="shared" si="821"/>
        <v>#N/A</v>
      </c>
      <c r="AR714" s="616" t="e">
        <f t="shared" si="821"/>
        <v>#N/A</v>
      </c>
      <c r="AS714" s="616" t="e">
        <f t="shared" ref="AS714:BD714" si="822">MIN(AS710-(AS712+AS713),N$444)</f>
        <v>#N/A</v>
      </c>
      <c r="AT714" s="616" t="e">
        <f t="shared" si="822"/>
        <v>#N/A</v>
      </c>
      <c r="AU714" s="616" t="e">
        <f t="shared" si="822"/>
        <v>#N/A</v>
      </c>
      <c r="AV714" s="616" t="e">
        <f t="shared" si="822"/>
        <v>#N/A</v>
      </c>
      <c r="AW714" s="616" t="e">
        <f t="shared" si="822"/>
        <v>#N/A</v>
      </c>
      <c r="AX714" s="616" t="e">
        <f t="shared" si="822"/>
        <v>#N/A</v>
      </c>
      <c r="AY714" s="616" t="e">
        <f t="shared" si="822"/>
        <v>#N/A</v>
      </c>
      <c r="AZ714" s="616" t="e">
        <f t="shared" si="822"/>
        <v>#N/A</v>
      </c>
      <c r="BA714" s="616" t="e">
        <f t="shared" si="822"/>
        <v>#N/A</v>
      </c>
      <c r="BB714" s="616" t="e">
        <f t="shared" si="822"/>
        <v>#N/A</v>
      </c>
      <c r="BC714" s="616" t="e">
        <f t="shared" si="822"/>
        <v>#N/A</v>
      </c>
      <c r="BD714" s="616" t="e">
        <f t="shared" si="822"/>
        <v>#N/A</v>
      </c>
      <c r="BE714" s="616" t="e">
        <f t="shared" ref="BE714:BP714" si="823">MIN(BE710-(BE712+BE713),N$444)</f>
        <v>#N/A</v>
      </c>
      <c r="BF714" s="616" t="e">
        <f t="shared" si="823"/>
        <v>#N/A</v>
      </c>
      <c r="BG714" s="616" t="e">
        <f t="shared" si="823"/>
        <v>#N/A</v>
      </c>
      <c r="BH714" s="616" t="e">
        <f t="shared" si="823"/>
        <v>#N/A</v>
      </c>
      <c r="BI714" s="616" t="e">
        <f t="shared" si="823"/>
        <v>#N/A</v>
      </c>
      <c r="BJ714" s="616" t="e">
        <f t="shared" si="823"/>
        <v>#N/A</v>
      </c>
      <c r="BK714" s="616" t="e">
        <f t="shared" si="823"/>
        <v>#N/A</v>
      </c>
      <c r="BL714" s="616" t="e">
        <f t="shared" si="823"/>
        <v>#N/A</v>
      </c>
      <c r="BM714" s="616" t="e">
        <f t="shared" si="823"/>
        <v>#N/A</v>
      </c>
      <c r="BN714" s="616" t="e">
        <f t="shared" si="823"/>
        <v>#N/A</v>
      </c>
      <c r="BO714" s="616" t="e">
        <f t="shared" si="823"/>
        <v>#N/A</v>
      </c>
      <c r="BP714" s="616" t="e">
        <f t="shared" si="823"/>
        <v>#N/A</v>
      </c>
      <c r="BQ714" s="616" t="e">
        <f t="shared" ref="BQ714:CB714" si="824">MIN(BQ710-(BQ712+BQ713),N$444)</f>
        <v>#N/A</v>
      </c>
      <c r="BR714" s="616" t="e">
        <f t="shared" si="824"/>
        <v>#N/A</v>
      </c>
      <c r="BS714" s="616" t="e">
        <f t="shared" si="824"/>
        <v>#N/A</v>
      </c>
      <c r="BT714" s="616" t="e">
        <f t="shared" si="824"/>
        <v>#N/A</v>
      </c>
      <c r="BU714" s="616" t="e">
        <f t="shared" si="824"/>
        <v>#N/A</v>
      </c>
      <c r="BV714" s="616" t="e">
        <f t="shared" si="824"/>
        <v>#N/A</v>
      </c>
      <c r="BW714" s="616" t="e">
        <f t="shared" si="824"/>
        <v>#N/A</v>
      </c>
      <c r="BX714" s="616" t="e">
        <f t="shared" si="824"/>
        <v>#N/A</v>
      </c>
      <c r="BY714" s="616" t="e">
        <f t="shared" si="824"/>
        <v>#N/A</v>
      </c>
      <c r="BZ714" s="616" t="e">
        <f t="shared" si="824"/>
        <v>#N/A</v>
      </c>
      <c r="CA714" s="616" t="e">
        <f t="shared" si="824"/>
        <v>#N/A</v>
      </c>
      <c r="CB714" s="616" t="e">
        <f t="shared" si="824"/>
        <v>#N/A</v>
      </c>
      <c r="CC714" s="616" t="e">
        <f t="shared" ref="CC714:CN714" si="825">MIN(CC710-(CC712+CC713),N$444)</f>
        <v>#N/A</v>
      </c>
      <c r="CD714" s="616" t="e">
        <f t="shared" si="825"/>
        <v>#N/A</v>
      </c>
      <c r="CE714" s="616" t="e">
        <f t="shared" si="825"/>
        <v>#N/A</v>
      </c>
      <c r="CF714" s="616" t="e">
        <f t="shared" si="825"/>
        <v>#N/A</v>
      </c>
      <c r="CG714" s="616" t="e">
        <f t="shared" si="825"/>
        <v>#N/A</v>
      </c>
      <c r="CH714" s="616" t="e">
        <f t="shared" si="825"/>
        <v>#N/A</v>
      </c>
      <c r="CI714" s="616" t="e">
        <f t="shared" si="825"/>
        <v>#N/A</v>
      </c>
      <c r="CJ714" s="616" t="e">
        <f t="shared" si="825"/>
        <v>#N/A</v>
      </c>
      <c r="CK714" s="616" t="e">
        <f t="shared" si="825"/>
        <v>#N/A</v>
      </c>
      <c r="CL714" s="616" t="e">
        <f t="shared" si="825"/>
        <v>#N/A</v>
      </c>
      <c r="CM714" s="616" t="e">
        <f t="shared" si="825"/>
        <v>#N/A</v>
      </c>
      <c r="CN714" s="616" t="e">
        <f t="shared" si="825"/>
        <v>#N/A</v>
      </c>
    </row>
    <row r="715" spans="8:92">
      <c r="H715" s="602" t="s">
        <v>940</v>
      </c>
      <c r="L715" s="618" t="s">
        <v>1299</v>
      </c>
      <c r="M715" s="600" t="str">
        <f>$M$496</f>
        <v>Therms</v>
      </c>
      <c r="N715" s="615" t="e">
        <f>SUM(U715:AF715)</f>
        <v>#N/A</v>
      </c>
      <c r="O715" s="615" t="e">
        <f>SUM(AG715:AR715)</f>
        <v>#N/A</v>
      </c>
      <c r="P715" s="615" t="e">
        <f>SUM(AS715:BD715)</f>
        <v>#N/A</v>
      </c>
      <c r="Q715" s="615" t="e">
        <f>SUM(BE715:BP715)</f>
        <v>#N/A</v>
      </c>
      <c r="R715" s="615" t="e">
        <f>SUM(BQ715:CB715)</f>
        <v>#N/A</v>
      </c>
      <c r="S715" s="615" t="e">
        <f>SUM(CC715:CN715)</f>
        <v>#N/A</v>
      </c>
      <c r="U715" s="616" t="e">
        <f t="shared" ref="U715:AF715" si="826">MIN(U710-(U712+U713+U714),N$445)</f>
        <v>#N/A</v>
      </c>
      <c r="V715" s="616" t="e">
        <f t="shared" si="826"/>
        <v>#N/A</v>
      </c>
      <c r="W715" s="616" t="e">
        <f t="shared" si="826"/>
        <v>#N/A</v>
      </c>
      <c r="X715" s="616" t="e">
        <f t="shared" si="826"/>
        <v>#N/A</v>
      </c>
      <c r="Y715" s="616" t="e">
        <f t="shared" si="826"/>
        <v>#N/A</v>
      </c>
      <c r="Z715" s="616" t="e">
        <f t="shared" si="826"/>
        <v>#N/A</v>
      </c>
      <c r="AA715" s="616" t="e">
        <f t="shared" si="826"/>
        <v>#N/A</v>
      </c>
      <c r="AB715" s="616" t="e">
        <f t="shared" si="826"/>
        <v>#N/A</v>
      </c>
      <c r="AC715" s="616" t="e">
        <f t="shared" si="826"/>
        <v>#N/A</v>
      </c>
      <c r="AD715" s="616" t="e">
        <f t="shared" si="826"/>
        <v>#N/A</v>
      </c>
      <c r="AE715" s="616" t="e">
        <f t="shared" si="826"/>
        <v>#N/A</v>
      </c>
      <c r="AF715" s="616" t="e">
        <f t="shared" si="826"/>
        <v>#N/A</v>
      </c>
      <c r="AG715" s="616" t="e">
        <f t="shared" ref="AG715:AR715" si="827">MIN(AG710-(AG712+AG713+AG714),N$445)</f>
        <v>#N/A</v>
      </c>
      <c r="AH715" s="616" t="e">
        <f t="shared" si="827"/>
        <v>#N/A</v>
      </c>
      <c r="AI715" s="616" t="e">
        <f t="shared" si="827"/>
        <v>#N/A</v>
      </c>
      <c r="AJ715" s="616" t="e">
        <f t="shared" si="827"/>
        <v>#N/A</v>
      </c>
      <c r="AK715" s="616" t="e">
        <f t="shared" si="827"/>
        <v>#N/A</v>
      </c>
      <c r="AL715" s="616" t="e">
        <f t="shared" si="827"/>
        <v>#N/A</v>
      </c>
      <c r="AM715" s="616" t="e">
        <f t="shared" si="827"/>
        <v>#N/A</v>
      </c>
      <c r="AN715" s="616" t="e">
        <f t="shared" si="827"/>
        <v>#N/A</v>
      </c>
      <c r="AO715" s="616" t="e">
        <f t="shared" si="827"/>
        <v>#N/A</v>
      </c>
      <c r="AP715" s="616" t="e">
        <f t="shared" si="827"/>
        <v>#N/A</v>
      </c>
      <c r="AQ715" s="616" t="e">
        <f t="shared" si="827"/>
        <v>#N/A</v>
      </c>
      <c r="AR715" s="616" t="e">
        <f t="shared" si="827"/>
        <v>#N/A</v>
      </c>
      <c r="AS715" s="616" t="e">
        <f t="shared" ref="AS715:BD715" si="828">MIN(AS710-(AS712+AS713+AS714),N$445)</f>
        <v>#N/A</v>
      </c>
      <c r="AT715" s="616" t="e">
        <f t="shared" si="828"/>
        <v>#N/A</v>
      </c>
      <c r="AU715" s="616" t="e">
        <f t="shared" si="828"/>
        <v>#N/A</v>
      </c>
      <c r="AV715" s="616" t="e">
        <f t="shared" si="828"/>
        <v>#N/A</v>
      </c>
      <c r="AW715" s="616" t="e">
        <f t="shared" si="828"/>
        <v>#N/A</v>
      </c>
      <c r="AX715" s="616" t="e">
        <f t="shared" si="828"/>
        <v>#N/A</v>
      </c>
      <c r="AY715" s="616" t="e">
        <f t="shared" si="828"/>
        <v>#N/A</v>
      </c>
      <c r="AZ715" s="616" t="e">
        <f t="shared" si="828"/>
        <v>#N/A</v>
      </c>
      <c r="BA715" s="616" t="e">
        <f t="shared" si="828"/>
        <v>#N/A</v>
      </c>
      <c r="BB715" s="616" t="e">
        <f t="shared" si="828"/>
        <v>#N/A</v>
      </c>
      <c r="BC715" s="616" t="e">
        <f t="shared" si="828"/>
        <v>#N/A</v>
      </c>
      <c r="BD715" s="616" t="e">
        <f t="shared" si="828"/>
        <v>#N/A</v>
      </c>
      <c r="BE715" s="616" t="e">
        <f t="shared" ref="BE715:BP715" si="829">MIN(BE710-(BE712+BE713+BE714),N$445)</f>
        <v>#N/A</v>
      </c>
      <c r="BF715" s="616" t="e">
        <f t="shared" si="829"/>
        <v>#N/A</v>
      </c>
      <c r="BG715" s="616" t="e">
        <f t="shared" si="829"/>
        <v>#N/A</v>
      </c>
      <c r="BH715" s="616" t="e">
        <f t="shared" si="829"/>
        <v>#N/A</v>
      </c>
      <c r="BI715" s="616" t="e">
        <f t="shared" si="829"/>
        <v>#N/A</v>
      </c>
      <c r="BJ715" s="616" t="e">
        <f t="shared" si="829"/>
        <v>#N/A</v>
      </c>
      <c r="BK715" s="616" t="e">
        <f t="shared" si="829"/>
        <v>#N/A</v>
      </c>
      <c r="BL715" s="616" t="e">
        <f t="shared" si="829"/>
        <v>#N/A</v>
      </c>
      <c r="BM715" s="616" t="e">
        <f t="shared" si="829"/>
        <v>#N/A</v>
      </c>
      <c r="BN715" s="616" t="e">
        <f t="shared" si="829"/>
        <v>#N/A</v>
      </c>
      <c r="BO715" s="616" t="e">
        <f t="shared" si="829"/>
        <v>#N/A</v>
      </c>
      <c r="BP715" s="616" t="e">
        <f t="shared" si="829"/>
        <v>#N/A</v>
      </c>
      <c r="BQ715" s="616" t="e">
        <f t="shared" ref="BQ715:CB715" si="830">MIN(BQ710-(BQ712+BQ713+BQ714),N$445)</f>
        <v>#N/A</v>
      </c>
      <c r="BR715" s="616" t="e">
        <f t="shared" si="830"/>
        <v>#N/A</v>
      </c>
      <c r="BS715" s="616" t="e">
        <f t="shared" si="830"/>
        <v>#N/A</v>
      </c>
      <c r="BT715" s="616" t="e">
        <f t="shared" si="830"/>
        <v>#N/A</v>
      </c>
      <c r="BU715" s="616" t="e">
        <f t="shared" si="830"/>
        <v>#N/A</v>
      </c>
      <c r="BV715" s="616" t="e">
        <f t="shared" si="830"/>
        <v>#N/A</v>
      </c>
      <c r="BW715" s="616" t="e">
        <f t="shared" si="830"/>
        <v>#N/A</v>
      </c>
      <c r="BX715" s="616" t="e">
        <f t="shared" si="830"/>
        <v>#N/A</v>
      </c>
      <c r="BY715" s="616" t="e">
        <f t="shared" si="830"/>
        <v>#N/A</v>
      </c>
      <c r="BZ715" s="616" t="e">
        <f t="shared" si="830"/>
        <v>#N/A</v>
      </c>
      <c r="CA715" s="616" t="e">
        <f t="shared" si="830"/>
        <v>#N/A</v>
      </c>
      <c r="CB715" s="616" t="e">
        <f t="shared" si="830"/>
        <v>#N/A</v>
      </c>
      <c r="CC715" s="616" t="e">
        <f t="shared" ref="CC715:CN715" si="831">MIN(CC710-(CC712+CC713+CC714),N$445)</f>
        <v>#N/A</v>
      </c>
      <c r="CD715" s="616" t="e">
        <f t="shared" si="831"/>
        <v>#N/A</v>
      </c>
      <c r="CE715" s="616" t="e">
        <f t="shared" si="831"/>
        <v>#N/A</v>
      </c>
      <c r="CF715" s="616" t="e">
        <f t="shared" si="831"/>
        <v>#N/A</v>
      </c>
      <c r="CG715" s="616" t="e">
        <f t="shared" si="831"/>
        <v>#N/A</v>
      </c>
      <c r="CH715" s="616" t="e">
        <f t="shared" si="831"/>
        <v>#N/A</v>
      </c>
      <c r="CI715" s="616" t="e">
        <f t="shared" si="831"/>
        <v>#N/A</v>
      </c>
      <c r="CJ715" s="616" t="e">
        <f t="shared" si="831"/>
        <v>#N/A</v>
      </c>
      <c r="CK715" s="616" t="e">
        <f t="shared" si="831"/>
        <v>#N/A</v>
      </c>
      <c r="CL715" s="616" t="e">
        <f t="shared" si="831"/>
        <v>#N/A</v>
      </c>
      <c r="CM715" s="616" t="e">
        <f t="shared" si="831"/>
        <v>#N/A</v>
      </c>
      <c r="CN715" s="616" t="e">
        <f t="shared" si="831"/>
        <v>#N/A</v>
      </c>
    </row>
    <row r="716" spans="8:92">
      <c r="H716" s="602" t="s">
        <v>940</v>
      </c>
      <c r="L716" s="618"/>
      <c r="M716" s="600"/>
      <c r="N716" s="615"/>
      <c r="O716" s="615"/>
      <c r="P716" s="615"/>
      <c r="Q716" s="615"/>
      <c r="R716" s="615"/>
      <c r="S716" s="615"/>
    </row>
    <row r="717" spans="8:92">
      <c r="H717" s="602" t="s">
        <v>940</v>
      </c>
      <c r="L717" s="618" t="s">
        <v>1300</v>
      </c>
      <c r="M717" s="600" t="s">
        <v>974</v>
      </c>
      <c r="N717" s="615" t="e">
        <f>SUM(U717:AF717)</f>
        <v>#N/A</v>
      </c>
      <c r="O717" s="615" t="e">
        <f>SUM(AG717:AR717)</f>
        <v>#N/A</v>
      </c>
      <c r="P717" s="615" t="e">
        <f>SUM(AS717:BD717)</f>
        <v>#N/A</v>
      </c>
      <c r="Q717" s="615" t="e">
        <f>SUM(BE717:BP717)</f>
        <v>#N/A</v>
      </c>
      <c r="R717" s="615" t="e">
        <f>SUM(BQ717:CB717)</f>
        <v>#N/A</v>
      </c>
      <c r="S717" s="615" t="e">
        <f>SUM(CC717:CN717)</f>
        <v>#N/A</v>
      </c>
      <c r="U717" s="616" t="e">
        <f t="shared" ref="U717:AF717" si="832">U712*N$447</f>
        <v>#N/A</v>
      </c>
      <c r="V717" s="616" t="e">
        <f t="shared" si="832"/>
        <v>#N/A</v>
      </c>
      <c r="W717" s="616" t="e">
        <f t="shared" si="832"/>
        <v>#N/A</v>
      </c>
      <c r="X717" s="616" t="e">
        <f t="shared" si="832"/>
        <v>#N/A</v>
      </c>
      <c r="Y717" s="616" t="e">
        <f t="shared" si="832"/>
        <v>#N/A</v>
      </c>
      <c r="Z717" s="616" t="e">
        <f t="shared" si="832"/>
        <v>#N/A</v>
      </c>
      <c r="AA717" s="616" t="e">
        <f t="shared" si="832"/>
        <v>#N/A</v>
      </c>
      <c r="AB717" s="616" t="e">
        <f t="shared" si="832"/>
        <v>#N/A</v>
      </c>
      <c r="AC717" s="616" t="e">
        <f t="shared" si="832"/>
        <v>#N/A</v>
      </c>
      <c r="AD717" s="616" t="e">
        <f t="shared" si="832"/>
        <v>#N/A</v>
      </c>
      <c r="AE717" s="616" t="e">
        <f t="shared" si="832"/>
        <v>#N/A</v>
      </c>
      <c r="AF717" s="616" t="e">
        <f t="shared" si="832"/>
        <v>#N/A</v>
      </c>
      <c r="AG717" s="616" t="e">
        <f t="shared" ref="AG717:AR717" si="833">AG712*N$447</f>
        <v>#N/A</v>
      </c>
      <c r="AH717" s="616" t="e">
        <f t="shared" si="833"/>
        <v>#N/A</v>
      </c>
      <c r="AI717" s="616" t="e">
        <f t="shared" si="833"/>
        <v>#N/A</v>
      </c>
      <c r="AJ717" s="616" t="e">
        <f t="shared" si="833"/>
        <v>#N/A</v>
      </c>
      <c r="AK717" s="616" t="e">
        <f t="shared" si="833"/>
        <v>#N/A</v>
      </c>
      <c r="AL717" s="616" t="e">
        <f t="shared" si="833"/>
        <v>#N/A</v>
      </c>
      <c r="AM717" s="616" t="e">
        <f t="shared" si="833"/>
        <v>#N/A</v>
      </c>
      <c r="AN717" s="616" t="e">
        <f t="shared" si="833"/>
        <v>#N/A</v>
      </c>
      <c r="AO717" s="616" t="e">
        <f t="shared" si="833"/>
        <v>#N/A</v>
      </c>
      <c r="AP717" s="616" t="e">
        <f t="shared" si="833"/>
        <v>#N/A</v>
      </c>
      <c r="AQ717" s="616" t="e">
        <f t="shared" si="833"/>
        <v>#N/A</v>
      </c>
      <c r="AR717" s="616" t="e">
        <f t="shared" si="833"/>
        <v>#N/A</v>
      </c>
      <c r="AS717" s="616" t="e">
        <f t="shared" ref="AS717:BD717" si="834">AS712*N$447</f>
        <v>#N/A</v>
      </c>
      <c r="AT717" s="616" t="e">
        <f t="shared" si="834"/>
        <v>#N/A</v>
      </c>
      <c r="AU717" s="616" t="e">
        <f t="shared" si="834"/>
        <v>#N/A</v>
      </c>
      <c r="AV717" s="616" t="e">
        <f t="shared" si="834"/>
        <v>#N/A</v>
      </c>
      <c r="AW717" s="616" t="e">
        <f t="shared" si="834"/>
        <v>#N/A</v>
      </c>
      <c r="AX717" s="616" t="e">
        <f t="shared" si="834"/>
        <v>#N/A</v>
      </c>
      <c r="AY717" s="616" t="e">
        <f t="shared" si="834"/>
        <v>#N/A</v>
      </c>
      <c r="AZ717" s="616" t="e">
        <f t="shared" si="834"/>
        <v>#N/A</v>
      </c>
      <c r="BA717" s="616" t="e">
        <f t="shared" si="834"/>
        <v>#N/A</v>
      </c>
      <c r="BB717" s="616" t="e">
        <f t="shared" si="834"/>
        <v>#N/A</v>
      </c>
      <c r="BC717" s="616" t="e">
        <f t="shared" si="834"/>
        <v>#N/A</v>
      </c>
      <c r="BD717" s="616" t="e">
        <f t="shared" si="834"/>
        <v>#N/A</v>
      </c>
      <c r="BE717" s="616" t="e">
        <f t="shared" ref="BE717:BP717" si="835">BE712*N$447</f>
        <v>#N/A</v>
      </c>
      <c r="BF717" s="616" t="e">
        <f t="shared" si="835"/>
        <v>#N/A</v>
      </c>
      <c r="BG717" s="616" t="e">
        <f t="shared" si="835"/>
        <v>#N/A</v>
      </c>
      <c r="BH717" s="616" t="e">
        <f t="shared" si="835"/>
        <v>#N/A</v>
      </c>
      <c r="BI717" s="616" t="e">
        <f t="shared" si="835"/>
        <v>#N/A</v>
      </c>
      <c r="BJ717" s="616" t="e">
        <f t="shared" si="835"/>
        <v>#N/A</v>
      </c>
      <c r="BK717" s="616" t="e">
        <f t="shared" si="835"/>
        <v>#N/A</v>
      </c>
      <c r="BL717" s="616" t="e">
        <f t="shared" si="835"/>
        <v>#N/A</v>
      </c>
      <c r="BM717" s="616" t="e">
        <f t="shared" si="835"/>
        <v>#N/A</v>
      </c>
      <c r="BN717" s="616" t="e">
        <f t="shared" si="835"/>
        <v>#N/A</v>
      </c>
      <c r="BO717" s="616" t="e">
        <f t="shared" si="835"/>
        <v>#N/A</v>
      </c>
      <c r="BP717" s="616" t="e">
        <f t="shared" si="835"/>
        <v>#N/A</v>
      </c>
      <c r="BQ717" s="616" t="e">
        <f t="shared" ref="BQ717:CB717" si="836">BQ712*N$447</f>
        <v>#N/A</v>
      </c>
      <c r="BR717" s="616" t="e">
        <f t="shared" si="836"/>
        <v>#N/A</v>
      </c>
      <c r="BS717" s="616" t="e">
        <f t="shared" si="836"/>
        <v>#N/A</v>
      </c>
      <c r="BT717" s="616" t="e">
        <f t="shared" si="836"/>
        <v>#N/A</v>
      </c>
      <c r="BU717" s="616" t="e">
        <f t="shared" si="836"/>
        <v>#N/A</v>
      </c>
      <c r="BV717" s="616" t="e">
        <f t="shared" si="836"/>
        <v>#N/A</v>
      </c>
      <c r="BW717" s="616" t="e">
        <f t="shared" si="836"/>
        <v>#N/A</v>
      </c>
      <c r="BX717" s="616" t="e">
        <f t="shared" si="836"/>
        <v>#N/A</v>
      </c>
      <c r="BY717" s="616" t="e">
        <f t="shared" si="836"/>
        <v>#N/A</v>
      </c>
      <c r="BZ717" s="616" t="e">
        <f t="shared" si="836"/>
        <v>#N/A</v>
      </c>
      <c r="CA717" s="616" t="e">
        <f t="shared" si="836"/>
        <v>#N/A</v>
      </c>
      <c r="CB717" s="616" t="e">
        <f t="shared" si="836"/>
        <v>#N/A</v>
      </c>
      <c r="CC717" s="616" t="e">
        <f t="shared" ref="CC717:CN717" si="837">CC712*N$447</f>
        <v>#N/A</v>
      </c>
      <c r="CD717" s="616" t="e">
        <f t="shared" si="837"/>
        <v>#N/A</v>
      </c>
      <c r="CE717" s="616" t="e">
        <f t="shared" si="837"/>
        <v>#N/A</v>
      </c>
      <c r="CF717" s="616" t="e">
        <f t="shared" si="837"/>
        <v>#N/A</v>
      </c>
      <c r="CG717" s="616" t="e">
        <f t="shared" si="837"/>
        <v>#N/A</v>
      </c>
      <c r="CH717" s="616" t="e">
        <f t="shared" si="837"/>
        <v>#N/A</v>
      </c>
      <c r="CI717" s="616" t="e">
        <f t="shared" si="837"/>
        <v>#N/A</v>
      </c>
      <c r="CJ717" s="616" t="e">
        <f t="shared" si="837"/>
        <v>#N/A</v>
      </c>
      <c r="CK717" s="616" t="e">
        <f t="shared" si="837"/>
        <v>#N/A</v>
      </c>
      <c r="CL717" s="616" t="e">
        <f t="shared" si="837"/>
        <v>#N/A</v>
      </c>
      <c r="CM717" s="616" t="e">
        <f t="shared" si="837"/>
        <v>#N/A</v>
      </c>
      <c r="CN717" s="616" t="e">
        <f t="shared" si="837"/>
        <v>#N/A</v>
      </c>
    </row>
    <row r="718" spans="8:92">
      <c r="H718" s="602" t="s">
        <v>940</v>
      </c>
      <c r="L718" s="618" t="s">
        <v>1301</v>
      </c>
      <c r="M718" s="600" t="s">
        <v>974</v>
      </c>
      <c r="N718" s="615" t="e">
        <f>SUM(U718:AF718)</f>
        <v>#N/A</v>
      </c>
      <c r="O718" s="615" t="e">
        <f>SUM(AG718:AR718)</f>
        <v>#N/A</v>
      </c>
      <c r="P718" s="615" t="e">
        <f>SUM(AS718:BD718)</f>
        <v>#N/A</v>
      </c>
      <c r="Q718" s="615" t="e">
        <f>SUM(BE718:BP718)</f>
        <v>#N/A</v>
      </c>
      <c r="R718" s="615" t="e">
        <f>SUM(BQ718:CB718)</f>
        <v>#N/A</v>
      </c>
      <c r="S718" s="615" t="e">
        <f>SUM(CC718:CN718)</f>
        <v>#N/A</v>
      </c>
      <c r="U718" s="616" t="e">
        <f t="shared" ref="U718:AF718" si="838">U713*N$448</f>
        <v>#N/A</v>
      </c>
      <c r="V718" s="616" t="e">
        <f t="shared" si="838"/>
        <v>#N/A</v>
      </c>
      <c r="W718" s="616" t="e">
        <f t="shared" si="838"/>
        <v>#N/A</v>
      </c>
      <c r="X718" s="616" t="e">
        <f t="shared" si="838"/>
        <v>#N/A</v>
      </c>
      <c r="Y718" s="616" t="e">
        <f t="shared" si="838"/>
        <v>#N/A</v>
      </c>
      <c r="Z718" s="616" t="e">
        <f t="shared" si="838"/>
        <v>#N/A</v>
      </c>
      <c r="AA718" s="616" t="e">
        <f t="shared" si="838"/>
        <v>#N/A</v>
      </c>
      <c r="AB718" s="616" t="e">
        <f t="shared" si="838"/>
        <v>#N/A</v>
      </c>
      <c r="AC718" s="616" t="e">
        <f t="shared" si="838"/>
        <v>#N/A</v>
      </c>
      <c r="AD718" s="616" t="e">
        <f t="shared" si="838"/>
        <v>#N/A</v>
      </c>
      <c r="AE718" s="616" t="e">
        <f t="shared" si="838"/>
        <v>#N/A</v>
      </c>
      <c r="AF718" s="616" t="e">
        <f t="shared" si="838"/>
        <v>#N/A</v>
      </c>
      <c r="AG718" s="616" t="e">
        <f t="shared" ref="AG718:AR718" si="839">AG713*N$448</f>
        <v>#N/A</v>
      </c>
      <c r="AH718" s="616" t="e">
        <f t="shared" si="839"/>
        <v>#N/A</v>
      </c>
      <c r="AI718" s="616" t="e">
        <f t="shared" si="839"/>
        <v>#N/A</v>
      </c>
      <c r="AJ718" s="616" t="e">
        <f t="shared" si="839"/>
        <v>#N/A</v>
      </c>
      <c r="AK718" s="616" t="e">
        <f t="shared" si="839"/>
        <v>#N/A</v>
      </c>
      <c r="AL718" s="616" t="e">
        <f t="shared" si="839"/>
        <v>#N/A</v>
      </c>
      <c r="AM718" s="616" t="e">
        <f t="shared" si="839"/>
        <v>#N/A</v>
      </c>
      <c r="AN718" s="616" t="e">
        <f t="shared" si="839"/>
        <v>#N/A</v>
      </c>
      <c r="AO718" s="616" t="e">
        <f t="shared" si="839"/>
        <v>#N/A</v>
      </c>
      <c r="AP718" s="616" t="e">
        <f t="shared" si="839"/>
        <v>#N/A</v>
      </c>
      <c r="AQ718" s="616" t="e">
        <f t="shared" si="839"/>
        <v>#N/A</v>
      </c>
      <c r="AR718" s="616" t="e">
        <f t="shared" si="839"/>
        <v>#N/A</v>
      </c>
      <c r="AS718" s="616" t="e">
        <f t="shared" ref="AS718:BD718" si="840">AS713*N$448</f>
        <v>#N/A</v>
      </c>
      <c r="AT718" s="616" t="e">
        <f t="shared" si="840"/>
        <v>#N/A</v>
      </c>
      <c r="AU718" s="616" t="e">
        <f t="shared" si="840"/>
        <v>#N/A</v>
      </c>
      <c r="AV718" s="616" t="e">
        <f t="shared" si="840"/>
        <v>#N/A</v>
      </c>
      <c r="AW718" s="616" t="e">
        <f t="shared" si="840"/>
        <v>#N/A</v>
      </c>
      <c r="AX718" s="616" t="e">
        <f t="shared" si="840"/>
        <v>#N/A</v>
      </c>
      <c r="AY718" s="616" t="e">
        <f t="shared" si="840"/>
        <v>#N/A</v>
      </c>
      <c r="AZ718" s="616" t="e">
        <f t="shared" si="840"/>
        <v>#N/A</v>
      </c>
      <c r="BA718" s="616" t="e">
        <f t="shared" si="840"/>
        <v>#N/A</v>
      </c>
      <c r="BB718" s="616" t="e">
        <f t="shared" si="840"/>
        <v>#N/A</v>
      </c>
      <c r="BC718" s="616" t="e">
        <f t="shared" si="840"/>
        <v>#N/A</v>
      </c>
      <c r="BD718" s="616" t="e">
        <f t="shared" si="840"/>
        <v>#N/A</v>
      </c>
      <c r="BE718" s="616" t="e">
        <f t="shared" ref="BE718:BP718" si="841">BE713*N$448</f>
        <v>#N/A</v>
      </c>
      <c r="BF718" s="616" t="e">
        <f t="shared" si="841"/>
        <v>#N/A</v>
      </c>
      <c r="BG718" s="616" t="e">
        <f t="shared" si="841"/>
        <v>#N/A</v>
      </c>
      <c r="BH718" s="616" t="e">
        <f t="shared" si="841"/>
        <v>#N/A</v>
      </c>
      <c r="BI718" s="616" t="e">
        <f t="shared" si="841"/>
        <v>#N/A</v>
      </c>
      <c r="BJ718" s="616" t="e">
        <f t="shared" si="841"/>
        <v>#N/A</v>
      </c>
      <c r="BK718" s="616" t="e">
        <f t="shared" si="841"/>
        <v>#N/A</v>
      </c>
      <c r="BL718" s="616" t="e">
        <f t="shared" si="841"/>
        <v>#N/A</v>
      </c>
      <c r="BM718" s="616" t="e">
        <f t="shared" si="841"/>
        <v>#N/A</v>
      </c>
      <c r="BN718" s="616" t="e">
        <f t="shared" si="841"/>
        <v>#N/A</v>
      </c>
      <c r="BO718" s="616" t="e">
        <f t="shared" si="841"/>
        <v>#N/A</v>
      </c>
      <c r="BP718" s="616" t="e">
        <f t="shared" si="841"/>
        <v>#N/A</v>
      </c>
      <c r="BQ718" s="616" t="e">
        <f t="shared" ref="BQ718:CB718" si="842">BQ713*N$448</f>
        <v>#N/A</v>
      </c>
      <c r="BR718" s="616" t="e">
        <f t="shared" si="842"/>
        <v>#N/A</v>
      </c>
      <c r="BS718" s="616" t="e">
        <f t="shared" si="842"/>
        <v>#N/A</v>
      </c>
      <c r="BT718" s="616" t="e">
        <f t="shared" si="842"/>
        <v>#N/A</v>
      </c>
      <c r="BU718" s="616" t="e">
        <f t="shared" si="842"/>
        <v>#N/A</v>
      </c>
      <c r="BV718" s="616" t="e">
        <f t="shared" si="842"/>
        <v>#N/A</v>
      </c>
      <c r="BW718" s="616" t="e">
        <f t="shared" si="842"/>
        <v>#N/A</v>
      </c>
      <c r="BX718" s="616" t="e">
        <f t="shared" si="842"/>
        <v>#N/A</v>
      </c>
      <c r="BY718" s="616" t="e">
        <f t="shared" si="842"/>
        <v>#N/A</v>
      </c>
      <c r="BZ718" s="616" t="e">
        <f t="shared" si="842"/>
        <v>#N/A</v>
      </c>
      <c r="CA718" s="616" t="e">
        <f t="shared" si="842"/>
        <v>#N/A</v>
      </c>
      <c r="CB718" s="616" t="e">
        <f t="shared" si="842"/>
        <v>#N/A</v>
      </c>
      <c r="CC718" s="616" t="e">
        <f t="shared" ref="CC718:CN718" si="843">CC713*N$448</f>
        <v>#N/A</v>
      </c>
      <c r="CD718" s="616" t="e">
        <f t="shared" si="843"/>
        <v>#N/A</v>
      </c>
      <c r="CE718" s="616" t="e">
        <f t="shared" si="843"/>
        <v>#N/A</v>
      </c>
      <c r="CF718" s="616" t="e">
        <f t="shared" si="843"/>
        <v>#N/A</v>
      </c>
      <c r="CG718" s="616" t="e">
        <f t="shared" si="843"/>
        <v>#N/A</v>
      </c>
      <c r="CH718" s="616" t="e">
        <f t="shared" si="843"/>
        <v>#N/A</v>
      </c>
      <c r="CI718" s="616" t="e">
        <f t="shared" si="843"/>
        <v>#N/A</v>
      </c>
      <c r="CJ718" s="616" t="e">
        <f t="shared" si="843"/>
        <v>#N/A</v>
      </c>
      <c r="CK718" s="616" t="e">
        <f t="shared" si="843"/>
        <v>#N/A</v>
      </c>
      <c r="CL718" s="616" t="e">
        <f t="shared" si="843"/>
        <v>#N/A</v>
      </c>
      <c r="CM718" s="616" t="e">
        <f t="shared" si="843"/>
        <v>#N/A</v>
      </c>
      <c r="CN718" s="616" t="e">
        <f t="shared" si="843"/>
        <v>#N/A</v>
      </c>
    </row>
    <row r="719" spans="8:92">
      <c r="H719" s="602" t="s">
        <v>940</v>
      </c>
      <c r="L719" s="618" t="s">
        <v>1302</v>
      </c>
      <c r="M719" s="600" t="s">
        <v>974</v>
      </c>
      <c r="N719" s="615" t="e">
        <f>SUM(U719:AF719)</f>
        <v>#N/A</v>
      </c>
      <c r="O719" s="615" t="e">
        <f>SUM(AG719:AR719)</f>
        <v>#N/A</v>
      </c>
      <c r="P719" s="615" t="e">
        <f>SUM(AS719:BD719)</f>
        <v>#N/A</v>
      </c>
      <c r="Q719" s="615" t="e">
        <f>SUM(BE719:BP719)</f>
        <v>#N/A</v>
      </c>
      <c r="R719" s="615" t="e">
        <f>SUM(BQ719:CB719)</f>
        <v>#N/A</v>
      </c>
      <c r="S719" s="615" t="e">
        <f>SUM(CC719:CN719)</f>
        <v>#N/A</v>
      </c>
      <c r="U719" s="616" t="e">
        <f t="shared" ref="U719:AF719" si="844">U714*N$449</f>
        <v>#N/A</v>
      </c>
      <c r="V719" s="616" t="e">
        <f t="shared" si="844"/>
        <v>#N/A</v>
      </c>
      <c r="W719" s="616" t="e">
        <f t="shared" si="844"/>
        <v>#N/A</v>
      </c>
      <c r="X719" s="616" t="e">
        <f t="shared" si="844"/>
        <v>#N/A</v>
      </c>
      <c r="Y719" s="616" t="e">
        <f t="shared" si="844"/>
        <v>#N/A</v>
      </c>
      <c r="Z719" s="616" t="e">
        <f t="shared" si="844"/>
        <v>#N/A</v>
      </c>
      <c r="AA719" s="616" t="e">
        <f t="shared" si="844"/>
        <v>#N/A</v>
      </c>
      <c r="AB719" s="616" t="e">
        <f t="shared" si="844"/>
        <v>#N/A</v>
      </c>
      <c r="AC719" s="616" t="e">
        <f t="shared" si="844"/>
        <v>#N/A</v>
      </c>
      <c r="AD719" s="616" t="e">
        <f t="shared" si="844"/>
        <v>#N/A</v>
      </c>
      <c r="AE719" s="616" t="e">
        <f t="shared" si="844"/>
        <v>#N/A</v>
      </c>
      <c r="AF719" s="616" t="e">
        <f t="shared" si="844"/>
        <v>#N/A</v>
      </c>
      <c r="AG719" s="616" t="e">
        <f t="shared" ref="AG719:AR719" si="845">AG714*N$449</f>
        <v>#N/A</v>
      </c>
      <c r="AH719" s="616" t="e">
        <f t="shared" si="845"/>
        <v>#N/A</v>
      </c>
      <c r="AI719" s="616" t="e">
        <f t="shared" si="845"/>
        <v>#N/A</v>
      </c>
      <c r="AJ719" s="616" t="e">
        <f t="shared" si="845"/>
        <v>#N/A</v>
      </c>
      <c r="AK719" s="616" t="e">
        <f t="shared" si="845"/>
        <v>#N/A</v>
      </c>
      <c r="AL719" s="616" t="e">
        <f t="shared" si="845"/>
        <v>#N/A</v>
      </c>
      <c r="AM719" s="616" t="e">
        <f t="shared" si="845"/>
        <v>#N/A</v>
      </c>
      <c r="AN719" s="616" t="e">
        <f t="shared" si="845"/>
        <v>#N/A</v>
      </c>
      <c r="AO719" s="616" t="e">
        <f t="shared" si="845"/>
        <v>#N/A</v>
      </c>
      <c r="AP719" s="616" t="e">
        <f t="shared" si="845"/>
        <v>#N/A</v>
      </c>
      <c r="AQ719" s="616" t="e">
        <f t="shared" si="845"/>
        <v>#N/A</v>
      </c>
      <c r="AR719" s="616" t="e">
        <f t="shared" si="845"/>
        <v>#N/A</v>
      </c>
      <c r="AS719" s="616" t="e">
        <f t="shared" ref="AS719:BD719" si="846">AS714*N$449</f>
        <v>#N/A</v>
      </c>
      <c r="AT719" s="616" t="e">
        <f t="shared" si="846"/>
        <v>#N/A</v>
      </c>
      <c r="AU719" s="616" t="e">
        <f t="shared" si="846"/>
        <v>#N/A</v>
      </c>
      <c r="AV719" s="616" t="e">
        <f t="shared" si="846"/>
        <v>#N/A</v>
      </c>
      <c r="AW719" s="616" t="e">
        <f t="shared" si="846"/>
        <v>#N/A</v>
      </c>
      <c r="AX719" s="616" t="e">
        <f t="shared" si="846"/>
        <v>#N/A</v>
      </c>
      <c r="AY719" s="616" t="e">
        <f t="shared" si="846"/>
        <v>#N/A</v>
      </c>
      <c r="AZ719" s="616" t="e">
        <f t="shared" si="846"/>
        <v>#N/A</v>
      </c>
      <c r="BA719" s="616" t="e">
        <f t="shared" si="846"/>
        <v>#N/A</v>
      </c>
      <c r="BB719" s="616" t="e">
        <f t="shared" si="846"/>
        <v>#N/A</v>
      </c>
      <c r="BC719" s="616" t="e">
        <f t="shared" si="846"/>
        <v>#N/A</v>
      </c>
      <c r="BD719" s="616" t="e">
        <f t="shared" si="846"/>
        <v>#N/A</v>
      </c>
      <c r="BE719" s="616" t="e">
        <f t="shared" ref="BE719:BP719" si="847">BE714*N$449</f>
        <v>#N/A</v>
      </c>
      <c r="BF719" s="616" t="e">
        <f t="shared" si="847"/>
        <v>#N/A</v>
      </c>
      <c r="BG719" s="616" t="e">
        <f t="shared" si="847"/>
        <v>#N/A</v>
      </c>
      <c r="BH719" s="616" t="e">
        <f t="shared" si="847"/>
        <v>#N/A</v>
      </c>
      <c r="BI719" s="616" t="e">
        <f t="shared" si="847"/>
        <v>#N/A</v>
      </c>
      <c r="BJ719" s="616" t="e">
        <f t="shared" si="847"/>
        <v>#N/A</v>
      </c>
      <c r="BK719" s="616" t="e">
        <f t="shared" si="847"/>
        <v>#N/A</v>
      </c>
      <c r="BL719" s="616" t="e">
        <f t="shared" si="847"/>
        <v>#N/A</v>
      </c>
      <c r="BM719" s="616" t="e">
        <f t="shared" si="847"/>
        <v>#N/A</v>
      </c>
      <c r="BN719" s="616" t="e">
        <f t="shared" si="847"/>
        <v>#N/A</v>
      </c>
      <c r="BO719" s="616" t="e">
        <f t="shared" si="847"/>
        <v>#N/A</v>
      </c>
      <c r="BP719" s="616" t="e">
        <f t="shared" si="847"/>
        <v>#N/A</v>
      </c>
      <c r="BQ719" s="616" t="e">
        <f t="shared" ref="BQ719:CB719" si="848">BQ714*N$449</f>
        <v>#N/A</v>
      </c>
      <c r="BR719" s="616" t="e">
        <f t="shared" si="848"/>
        <v>#N/A</v>
      </c>
      <c r="BS719" s="616" t="e">
        <f t="shared" si="848"/>
        <v>#N/A</v>
      </c>
      <c r="BT719" s="616" t="e">
        <f t="shared" si="848"/>
        <v>#N/A</v>
      </c>
      <c r="BU719" s="616" t="e">
        <f t="shared" si="848"/>
        <v>#N/A</v>
      </c>
      <c r="BV719" s="616" t="e">
        <f t="shared" si="848"/>
        <v>#N/A</v>
      </c>
      <c r="BW719" s="616" t="e">
        <f t="shared" si="848"/>
        <v>#N/A</v>
      </c>
      <c r="BX719" s="616" t="e">
        <f t="shared" si="848"/>
        <v>#N/A</v>
      </c>
      <c r="BY719" s="616" t="e">
        <f t="shared" si="848"/>
        <v>#N/A</v>
      </c>
      <c r="BZ719" s="616" t="e">
        <f t="shared" si="848"/>
        <v>#N/A</v>
      </c>
      <c r="CA719" s="616" t="e">
        <f t="shared" si="848"/>
        <v>#N/A</v>
      </c>
      <c r="CB719" s="616" t="e">
        <f t="shared" si="848"/>
        <v>#N/A</v>
      </c>
      <c r="CC719" s="616" t="e">
        <f t="shared" ref="CC719:CN719" si="849">CC714*N$449</f>
        <v>#N/A</v>
      </c>
      <c r="CD719" s="616" t="e">
        <f t="shared" si="849"/>
        <v>#N/A</v>
      </c>
      <c r="CE719" s="616" t="e">
        <f t="shared" si="849"/>
        <v>#N/A</v>
      </c>
      <c r="CF719" s="616" t="e">
        <f t="shared" si="849"/>
        <v>#N/A</v>
      </c>
      <c r="CG719" s="616" t="e">
        <f t="shared" si="849"/>
        <v>#N/A</v>
      </c>
      <c r="CH719" s="616" t="e">
        <f t="shared" si="849"/>
        <v>#N/A</v>
      </c>
      <c r="CI719" s="616" t="e">
        <f t="shared" si="849"/>
        <v>#N/A</v>
      </c>
      <c r="CJ719" s="616" t="e">
        <f t="shared" si="849"/>
        <v>#N/A</v>
      </c>
      <c r="CK719" s="616" t="e">
        <f t="shared" si="849"/>
        <v>#N/A</v>
      </c>
      <c r="CL719" s="616" t="e">
        <f t="shared" si="849"/>
        <v>#N/A</v>
      </c>
      <c r="CM719" s="616" t="e">
        <f t="shared" si="849"/>
        <v>#N/A</v>
      </c>
      <c r="CN719" s="616" t="e">
        <f t="shared" si="849"/>
        <v>#N/A</v>
      </c>
    </row>
    <row r="720" spans="8:92">
      <c r="H720" s="602" t="s">
        <v>940</v>
      </c>
      <c r="L720" s="618" t="s">
        <v>1303</v>
      </c>
      <c r="M720" s="600" t="s">
        <v>974</v>
      </c>
      <c r="N720" s="615" t="e">
        <f>SUM(U720:AF720)</f>
        <v>#N/A</v>
      </c>
      <c r="O720" s="615" t="e">
        <f>SUM(AG720:AR720)</f>
        <v>#N/A</v>
      </c>
      <c r="P720" s="615" t="e">
        <f>SUM(AS720:BD720)</f>
        <v>#N/A</v>
      </c>
      <c r="Q720" s="615" t="e">
        <f>SUM(BE720:BP720)</f>
        <v>#N/A</v>
      </c>
      <c r="R720" s="615" t="e">
        <f>SUM(BQ720:CB720)</f>
        <v>#N/A</v>
      </c>
      <c r="S720" s="615" t="e">
        <f>SUM(CC720:CN720)</f>
        <v>#N/A</v>
      </c>
      <c r="U720" s="616" t="e">
        <f t="shared" ref="U720:AF720" si="850">U715*N$450</f>
        <v>#N/A</v>
      </c>
      <c r="V720" s="616" t="e">
        <f t="shared" si="850"/>
        <v>#N/A</v>
      </c>
      <c r="W720" s="616" t="e">
        <f t="shared" si="850"/>
        <v>#N/A</v>
      </c>
      <c r="X720" s="616" t="e">
        <f t="shared" si="850"/>
        <v>#N/A</v>
      </c>
      <c r="Y720" s="616" t="e">
        <f t="shared" si="850"/>
        <v>#N/A</v>
      </c>
      <c r="Z720" s="616" t="e">
        <f t="shared" si="850"/>
        <v>#N/A</v>
      </c>
      <c r="AA720" s="616" t="e">
        <f t="shared" si="850"/>
        <v>#N/A</v>
      </c>
      <c r="AB720" s="616" t="e">
        <f t="shared" si="850"/>
        <v>#N/A</v>
      </c>
      <c r="AC720" s="616" t="e">
        <f t="shared" si="850"/>
        <v>#N/A</v>
      </c>
      <c r="AD720" s="616" t="e">
        <f t="shared" si="850"/>
        <v>#N/A</v>
      </c>
      <c r="AE720" s="616" t="e">
        <f t="shared" si="850"/>
        <v>#N/A</v>
      </c>
      <c r="AF720" s="616" t="e">
        <f t="shared" si="850"/>
        <v>#N/A</v>
      </c>
      <c r="AG720" s="616" t="e">
        <f t="shared" ref="AG720:AR720" si="851">AG715*N$450</f>
        <v>#N/A</v>
      </c>
      <c r="AH720" s="616" t="e">
        <f t="shared" si="851"/>
        <v>#N/A</v>
      </c>
      <c r="AI720" s="616" t="e">
        <f t="shared" si="851"/>
        <v>#N/A</v>
      </c>
      <c r="AJ720" s="616" t="e">
        <f t="shared" si="851"/>
        <v>#N/A</v>
      </c>
      <c r="AK720" s="616" t="e">
        <f t="shared" si="851"/>
        <v>#N/A</v>
      </c>
      <c r="AL720" s="616" t="e">
        <f t="shared" si="851"/>
        <v>#N/A</v>
      </c>
      <c r="AM720" s="616" t="e">
        <f t="shared" si="851"/>
        <v>#N/A</v>
      </c>
      <c r="AN720" s="616" t="e">
        <f t="shared" si="851"/>
        <v>#N/A</v>
      </c>
      <c r="AO720" s="616" t="e">
        <f t="shared" si="851"/>
        <v>#N/A</v>
      </c>
      <c r="AP720" s="616" t="e">
        <f t="shared" si="851"/>
        <v>#N/A</v>
      </c>
      <c r="AQ720" s="616" t="e">
        <f t="shared" si="851"/>
        <v>#N/A</v>
      </c>
      <c r="AR720" s="616" t="e">
        <f t="shared" si="851"/>
        <v>#N/A</v>
      </c>
      <c r="AS720" s="616" t="e">
        <f t="shared" ref="AS720:BD720" si="852">AS715*N$450</f>
        <v>#N/A</v>
      </c>
      <c r="AT720" s="616" t="e">
        <f t="shared" si="852"/>
        <v>#N/A</v>
      </c>
      <c r="AU720" s="616" t="e">
        <f t="shared" si="852"/>
        <v>#N/A</v>
      </c>
      <c r="AV720" s="616" t="e">
        <f t="shared" si="852"/>
        <v>#N/A</v>
      </c>
      <c r="AW720" s="616" t="e">
        <f t="shared" si="852"/>
        <v>#N/A</v>
      </c>
      <c r="AX720" s="616" t="e">
        <f t="shared" si="852"/>
        <v>#N/A</v>
      </c>
      <c r="AY720" s="616" t="e">
        <f t="shared" si="852"/>
        <v>#N/A</v>
      </c>
      <c r="AZ720" s="616" t="e">
        <f t="shared" si="852"/>
        <v>#N/A</v>
      </c>
      <c r="BA720" s="616" t="e">
        <f t="shared" si="852"/>
        <v>#N/A</v>
      </c>
      <c r="BB720" s="616" t="e">
        <f t="shared" si="852"/>
        <v>#N/A</v>
      </c>
      <c r="BC720" s="616" t="e">
        <f t="shared" si="852"/>
        <v>#N/A</v>
      </c>
      <c r="BD720" s="616" t="e">
        <f t="shared" si="852"/>
        <v>#N/A</v>
      </c>
      <c r="BE720" s="616" t="e">
        <f t="shared" ref="BE720:BP720" si="853">BE715*N$450</f>
        <v>#N/A</v>
      </c>
      <c r="BF720" s="616" t="e">
        <f t="shared" si="853"/>
        <v>#N/A</v>
      </c>
      <c r="BG720" s="616" t="e">
        <f t="shared" si="853"/>
        <v>#N/A</v>
      </c>
      <c r="BH720" s="616" t="e">
        <f t="shared" si="853"/>
        <v>#N/A</v>
      </c>
      <c r="BI720" s="616" t="e">
        <f t="shared" si="853"/>
        <v>#N/A</v>
      </c>
      <c r="BJ720" s="616" t="e">
        <f t="shared" si="853"/>
        <v>#N/A</v>
      </c>
      <c r="BK720" s="616" t="e">
        <f t="shared" si="853"/>
        <v>#N/A</v>
      </c>
      <c r="BL720" s="616" t="e">
        <f t="shared" si="853"/>
        <v>#N/A</v>
      </c>
      <c r="BM720" s="616" t="e">
        <f t="shared" si="853"/>
        <v>#N/A</v>
      </c>
      <c r="BN720" s="616" t="e">
        <f t="shared" si="853"/>
        <v>#N/A</v>
      </c>
      <c r="BO720" s="616" t="e">
        <f t="shared" si="853"/>
        <v>#N/A</v>
      </c>
      <c r="BP720" s="616" t="e">
        <f t="shared" si="853"/>
        <v>#N/A</v>
      </c>
      <c r="BQ720" s="616" t="e">
        <f t="shared" ref="BQ720:CB720" si="854">BQ715*N$450</f>
        <v>#N/A</v>
      </c>
      <c r="BR720" s="616" t="e">
        <f t="shared" si="854"/>
        <v>#N/A</v>
      </c>
      <c r="BS720" s="616" t="e">
        <f t="shared" si="854"/>
        <v>#N/A</v>
      </c>
      <c r="BT720" s="616" t="e">
        <f t="shared" si="854"/>
        <v>#N/A</v>
      </c>
      <c r="BU720" s="616" t="e">
        <f t="shared" si="854"/>
        <v>#N/A</v>
      </c>
      <c r="BV720" s="616" t="e">
        <f t="shared" si="854"/>
        <v>#N/A</v>
      </c>
      <c r="BW720" s="616" t="e">
        <f t="shared" si="854"/>
        <v>#N/A</v>
      </c>
      <c r="BX720" s="616" t="e">
        <f t="shared" si="854"/>
        <v>#N/A</v>
      </c>
      <c r="BY720" s="616" t="e">
        <f t="shared" si="854"/>
        <v>#N/A</v>
      </c>
      <c r="BZ720" s="616" t="e">
        <f t="shared" si="854"/>
        <v>#N/A</v>
      </c>
      <c r="CA720" s="616" t="e">
        <f t="shared" si="854"/>
        <v>#N/A</v>
      </c>
      <c r="CB720" s="616" t="e">
        <f t="shared" si="854"/>
        <v>#N/A</v>
      </c>
      <c r="CC720" s="616" t="e">
        <f t="shared" ref="CC720:CN720" si="855">CC715*N$450</f>
        <v>#N/A</v>
      </c>
      <c r="CD720" s="616" t="e">
        <f t="shared" si="855"/>
        <v>#N/A</v>
      </c>
      <c r="CE720" s="616" t="e">
        <f t="shared" si="855"/>
        <v>#N/A</v>
      </c>
      <c r="CF720" s="616" t="e">
        <f t="shared" si="855"/>
        <v>#N/A</v>
      </c>
      <c r="CG720" s="616" t="e">
        <f t="shared" si="855"/>
        <v>#N/A</v>
      </c>
      <c r="CH720" s="616" t="e">
        <f t="shared" si="855"/>
        <v>#N/A</v>
      </c>
      <c r="CI720" s="616" t="e">
        <f t="shared" si="855"/>
        <v>#N/A</v>
      </c>
      <c r="CJ720" s="616" t="e">
        <f t="shared" si="855"/>
        <v>#N/A</v>
      </c>
      <c r="CK720" s="616" t="e">
        <f t="shared" si="855"/>
        <v>#N/A</v>
      </c>
      <c r="CL720" s="616" t="e">
        <f t="shared" si="855"/>
        <v>#N/A</v>
      </c>
      <c r="CM720" s="616" t="e">
        <f t="shared" si="855"/>
        <v>#N/A</v>
      </c>
      <c r="CN720" s="616" t="e">
        <f t="shared" si="855"/>
        <v>#N/A</v>
      </c>
    </row>
    <row r="721" spans="8:92">
      <c r="H721" s="602" t="s">
        <v>940</v>
      </c>
      <c r="L721" s="618"/>
      <c r="M721" s="600"/>
      <c r="N721" s="615"/>
      <c r="O721" s="615"/>
      <c r="P721" s="615"/>
      <c r="Q721" s="615"/>
      <c r="R721" s="615"/>
      <c r="S721" s="615"/>
      <c r="U721" s="616"/>
      <c r="V721" s="616"/>
      <c r="W721" s="616"/>
      <c r="X721" s="616"/>
      <c r="Y721" s="616"/>
      <c r="Z721" s="616"/>
      <c r="AA721" s="616"/>
      <c r="AB721" s="616"/>
      <c r="AC721" s="616"/>
      <c r="AD721" s="616"/>
      <c r="AE721" s="616"/>
      <c r="AF721" s="616"/>
      <c r="AG721" s="616"/>
      <c r="AH721" s="616"/>
      <c r="AI721" s="616"/>
      <c r="AJ721" s="616"/>
      <c r="AK721" s="616"/>
      <c r="AL721" s="616"/>
      <c r="AM721" s="616"/>
      <c r="AN721" s="616"/>
      <c r="AO721" s="616"/>
      <c r="AP721" s="616"/>
      <c r="AQ721" s="616"/>
      <c r="AR721" s="616"/>
      <c r="AS721" s="616"/>
      <c r="AT721" s="616"/>
      <c r="AU721" s="616"/>
      <c r="AV721" s="616"/>
      <c r="AW721" s="616"/>
      <c r="AX721" s="616"/>
      <c r="AY721" s="616"/>
      <c r="AZ721" s="616"/>
      <c r="BA721" s="616"/>
      <c r="BB721" s="616"/>
      <c r="BC721" s="616"/>
      <c r="BD721" s="616"/>
      <c r="BE721" s="616"/>
      <c r="BF721" s="616"/>
      <c r="BG721" s="616"/>
      <c r="BH721" s="616"/>
      <c r="BI721" s="616"/>
      <c r="BJ721" s="616"/>
      <c r="BK721" s="616"/>
      <c r="BL721" s="616"/>
      <c r="BM721" s="616"/>
      <c r="BN721" s="616"/>
      <c r="BO721" s="616"/>
      <c r="BP721" s="616"/>
      <c r="BQ721" s="616"/>
      <c r="BR721" s="616"/>
      <c r="BS721" s="616"/>
      <c r="BT721" s="616"/>
      <c r="BU721" s="616"/>
      <c r="BV721" s="616"/>
      <c r="BW721" s="616"/>
      <c r="BX721" s="616"/>
      <c r="BY721" s="616"/>
      <c r="BZ721" s="616"/>
      <c r="CA721" s="616"/>
      <c r="CB721" s="616"/>
      <c r="CC721" s="616"/>
      <c r="CD721" s="616"/>
      <c r="CE721" s="616"/>
      <c r="CF721" s="616"/>
      <c r="CG721" s="616"/>
      <c r="CH721" s="616"/>
      <c r="CI721" s="616"/>
      <c r="CJ721" s="616"/>
      <c r="CK721" s="616"/>
      <c r="CL721" s="616"/>
      <c r="CM721" s="616"/>
      <c r="CN721" s="616"/>
    </row>
    <row r="722" spans="8:92">
      <c r="H722" s="602" t="s">
        <v>940</v>
      </c>
      <c r="L722" s="618" t="s">
        <v>1247</v>
      </c>
      <c r="M722" s="600" t="s">
        <v>974</v>
      </c>
      <c r="N722" s="615">
        <f>SUM(U722:AF722)</f>
        <v>0</v>
      </c>
      <c r="O722" s="615">
        <f>SUM(AG722:AR722)</f>
        <v>0</v>
      </c>
      <c r="P722" s="615">
        <f>SUM(AS722:BD722)</f>
        <v>0</v>
      </c>
      <c r="Q722" s="615">
        <f>SUM(BE722:BP722)</f>
        <v>0</v>
      </c>
      <c r="R722" s="615">
        <f>SUM(BQ722:CB722)</f>
        <v>0</v>
      </c>
      <c r="S722" s="615">
        <f>SUM(CC722:CN722)</f>
        <v>0</v>
      </c>
      <c r="U722" s="616">
        <f t="shared" ref="U722:AF722" si="856">N$438</f>
        <v>0</v>
      </c>
      <c r="V722" s="616">
        <f t="shared" si="856"/>
        <v>0</v>
      </c>
      <c r="W722" s="616">
        <f t="shared" si="856"/>
        <v>0</v>
      </c>
      <c r="X722" s="616">
        <f t="shared" si="856"/>
        <v>0</v>
      </c>
      <c r="Y722" s="616">
        <f t="shared" si="856"/>
        <v>0</v>
      </c>
      <c r="Z722" s="616">
        <f t="shared" si="856"/>
        <v>0</v>
      </c>
      <c r="AA722" s="616">
        <f t="shared" si="856"/>
        <v>0</v>
      </c>
      <c r="AB722" s="616">
        <f t="shared" si="856"/>
        <v>0</v>
      </c>
      <c r="AC722" s="616">
        <f t="shared" si="856"/>
        <v>0</v>
      </c>
      <c r="AD722" s="616">
        <f t="shared" si="856"/>
        <v>0</v>
      </c>
      <c r="AE722" s="616">
        <f t="shared" si="856"/>
        <v>0</v>
      </c>
      <c r="AF722" s="616">
        <f t="shared" si="856"/>
        <v>0</v>
      </c>
      <c r="AG722" s="616">
        <f t="shared" ref="AG722:AR722" si="857">N$438</f>
        <v>0</v>
      </c>
      <c r="AH722" s="616">
        <f t="shared" si="857"/>
        <v>0</v>
      </c>
      <c r="AI722" s="616">
        <f t="shared" si="857"/>
        <v>0</v>
      </c>
      <c r="AJ722" s="616">
        <f t="shared" si="857"/>
        <v>0</v>
      </c>
      <c r="AK722" s="616">
        <f t="shared" si="857"/>
        <v>0</v>
      </c>
      <c r="AL722" s="616">
        <f t="shared" si="857"/>
        <v>0</v>
      </c>
      <c r="AM722" s="616">
        <f t="shared" si="857"/>
        <v>0</v>
      </c>
      <c r="AN722" s="616">
        <f t="shared" si="857"/>
        <v>0</v>
      </c>
      <c r="AO722" s="616">
        <f t="shared" si="857"/>
        <v>0</v>
      </c>
      <c r="AP722" s="616">
        <f t="shared" si="857"/>
        <v>0</v>
      </c>
      <c r="AQ722" s="616">
        <f t="shared" si="857"/>
        <v>0</v>
      </c>
      <c r="AR722" s="616">
        <f t="shared" si="857"/>
        <v>0</v>
      </c>
      <c r="AS722" s="616">
        <f t="shared" ref="AS722:BD722" si="858">N$438</f>
        <v>0</v>
      </c>
      <c r="AT722" s="616">
        <f t="shared" si="858"/>
        <v>0</v>
      </c>
      <c r="AU722" s="616">
        <f t="shared" si="858"/>
        <v>0</v>
      </c>
      <c r="AV722" s="616">
        <f t="shared" si="858"/>
        <v>0</v>
      </c>
      <c r="AW722" s="616">
        <f t="shared" si="858"/>
        <v>0</v>
      </c>
      <c r="AX722" s="616">
        <f t="shared" si="858"/>
        <v>0</v>
      </c>
      <c r="AY722" s="616">
        <f t="shared" si="858"/>
        <v>0</v>
      </c>
      <c r="AZ722" s="616">
        <f t="shared" si="858"/>
        <v>0</v>
      </c>
      <c r="BA722" s="616">
        <f t="shared" si="858"/>
        <v>0</v>
      </c>
      <c r="BB722" s="616">
        <f t="shared" si="858"/>
        <v>0</v>
      </c>
      <c r="BC722" s="616">
        <f t="shared" si="858"/>
        <v>0</v>
      </c>
      <c r="BD722" s="616">
        <f t="shared" si="858"/>
        <v>0</v>
      </c>
      <c r="BE722" s="616">
        <f t="shared" ref="BE722:BP722" si="859">N$438</f>
        <v>0</v>
      </c>
      <c r="BF722" s="616">
        <f t="shared" si="859"/>
        <v>0</v>
      </c>
      <c r="BG722" s="616">
        <f t="shared" si="859"/>
        <v>0</v>
      </c>
      <c r="BH722" s="616">
        <f t="shared" si="859"/>
        <v>0</v>
      </c>
      <c r="BI722" s="616">
        <f t="shared" si="859"/>
        <v>0</v>
      </c>
      <c r="BJ722" s="616">
        <f t="shared" si="859"/>
        <v>0</v>
      </c>
      <c r="BK722" s="616">
        <f t="shared" si="859"/>
        <v>0</v>
      </c>
      <c r="BL722" s="616">
        <f t="shared" si="859"/>
        <v>0</v>
      </c>
      <c r="BM722" s="616">
        <f t="shared" si="859"/>
        <v>0</v>
      </c>
      <c r="BN722" s="616">
        <f t="shared" si="859"/>
        <v>0</v>
      </c>
      <c r="BO722" s="616">
        <f t="shared" si="859"/>
        <v>0</v>
      </c>
      <c r="BP722" s="616">
        <f t="shared" si="859"/>
        <v>0</v>
      </c>
      <c r="BQ722" s="616">
        <f t="shared" ref="BQ722:CB722" si="860">N$438</f>
        <v>0</v>
      </c>
      <c r="BR722" s="616">
        <f t="shared" si="860"/>
        <v>0</v>
      </c>
      <c r="BS722" s="616">
        <f t="shared" si="860"/>
        <v>0</v>
      </c>
      <c r="BT722" s="616">
        <f t="shared" si="860"/>
        <v>0</v>
      </c>
      <c r="BU722" s="616">
        <f t="shared" si="860"/>
        <v>0</v>
      </c>
      <c r="BV722" s="616">
        <f t="shared" si="860"/>
        <v>0</v>
      </c>
      <c r="BW722" s="616">
        <f t="shared" si="860"/>
        <v>0</v>
      </c>
      <c r="BX722" s="616">
        <f t="shared" si="860"/>
        <v>0</v>
      </c>
      <c r="BY722" s="616">
        <f t="shared" si="860"/>
        <v>0</v>
      </c>
      <c r="BZ722" s="616">
        <f t="shared" si="860"/>
        <v>0</v>
      </c>
      <c r="CA722" s="616">
        <f t="shared" si="860"/>
        <v>0</v>
      </c>
      <c r="CB722" s="616">
        <f t="shared" si="860"/>
        <v>0</v>
      </c>
      <c r="CC722" s="616">
        <f t="shared" ref="CC722:CN722" si="861">N$438</f>
        <v>0</v>
      </c>
      <c r="CD722" s="616">
        <f t="shared" si="861"/>
        <v>0</v>
      </c>
      <c r="CE722" s="616">
        <f t="shared" si="861"/>
        <v>0</v>
      </c>
      <c r="CF722" s="616">
        <f t="shared" si="861"/>
        <v>0</v>
      </c>
      <c r="CG722" s="616">
        <f t="shared" si="861"/>
        <v>0</v>
      </c>
      <c r="CH722" s="616">
        <f t="shared" si="861"/>
        <v>0</v>
      </c>
      <c r="CI722" s="616">
        <f t="shared" si="861"/>
        <v>0</v>
      </c>
      <c r="CJ722" s="616">
        <f t="shared" si="861"/>
        <v>0</v>
      </c>
      <c r="CK722" s="616">
        <f t="shared" si="861"/>
        <v>0</v>
      </c>
      <c r="CL722" s="616">
        <f t="shared" si="861"/>
        <v>0</v>
      </c>
      <c r="CM722" s="616">
        <f t="shared" si="861"/>
        <v>0</v>
      </c>
      <c r="CN722" s="616">
        <f t="shared" si="861"/>
        <v>0</v>
      </c>
    </row>
    <row r="723" spans="8:92">
      <c r="H723" s="602" t="s">
        <v>940</v>
      </c>
      <c r="L723" s="618" t="s">
        <v>908</v>
      </c>
      <c r="M723" s="600" t="s">
        <v>974</v>
      </c>
      <c r="N723" s="615" t="e">
        <f>SUM(U723:AF723)</f>
        <v>#N/A</v>
      </c>
      <c r="O723" s="615" t="e">
        <f>SUM(AG723:AR723)</f>
        <v>#N/A</v>
      </c>
      <c r="P723" s="615" t="e">
        <f>SUM(AS723:BD723)</f>
        <v>#N/A</v>
      </c>
      <c r="Q723" s="615" t="e">
        <f>SUM(BE723:BP723)</f>
        <v>#N/A</v>
      </c>
      <c r="R723" s="615" t="e">
        <f>SUM(BQ723:CB723)</f>
        <v>#N/A</v>
      </c>
      <c r="S723" s="615" t="e">
        <f>SUM(CC723:CN723)</f>
        <v>#N/A</v>
      </c>
      <c r="U723" s="616" t="e">
        <f t="shared" ref="U723:AF723" si="862">U710*N$439</f>
        <v>#N/A</v>
      </c>
      <c r="V723" s="616" t="e">
        <f t="shared" si="862"/>
        <v>#N/A</v>
      </c>
      <c r="W723" s="616" t="e">
        <f t="shared" si="862"/>
        <v>#N/A</v>
      </c>
      <c r="X723" s="616" t="e">
        <f t="shared" si="862"/>
        <v>#N/A</v>
      </c>
      <c r="Y723" s="616" t="e">
        <f t="shared" si="862"/>
        <v>#N/A</v>
      </c>
      <c r="Z723" s="616" t="e">
        <f t="shared" si="862"/>
        <v>#N/A</v>
      </c>
      <c r="AA723" s="616" t="e">
        <f t="shared" si="862"/>
        <v>#N/A</v>
      </c>
      <c r="AB723" s="616" t="e">
        <f t="shared" si="862"/>
        <v>#N/A</v>
      </c>
      <c r="AC723" s="616" t="e">
        <f t="shared" si="862"/>
        <v>#N/A</v>
      </c>
      <c r="AD723" s="616" t="e">
        <f t="shared" si="862"/>
        <v>#N/A</v>
      </c>
      <c r="AE723" s="616" t="e">
        <f t="shared" si="862"/>
        <v>#N/A</v>
      </c>
      <c r="AF723" s="616" t="e">
        <f t="shared" si="862"/>
        <v>#N/A</v>
      </c>
      <c r="AG723" s="616" t="e">
        <f t="shared" ref="AG723:AR723" si="863">AG710*N$439</f>
        <v>#N/A</v>
      </c>
      <c r="AH723" s="616" t="e">
        <f t="shared" si="863"/>
        <v>#N/A</v>
      </c>
      <c r="AI723" s="616" t="e">
        <f t="shared" si="863"/>
        <v>#N/A</v>
      </c>
      <c r="AJ723" s="616" t="e">
        <f t="shared" si="863"/>
        <v>#N/A</v>
      </c>
      <c r="AK723" s="616" t="e">
        <f t="shared" si="863"/>
        <v>#N/A</v>
      </c>
      <c r="AL723" s="616" t="e">
        <f t="shared" si="863"/>
        <v>#N/A</v>
      </c>
      <c r="AM723" s="616" t="e">
        <f t="shared" si="863"/>
        <v>#N/A</v>
      </c>
      <c r="AN723" s="616" t="e">
        <f t="shared" si="863"/>
        <v>#N/A</v>
      </c>
      <c r="AO723" s="616" t="e">
        <f t="shared" si="863"/>
        <v>#N/A</v>
      </c>
      <c r="AP723" s="616" t="e">
        <f t="shared" si="863"/>
        <v>#N/A</v>
      </c>
      <c r="AQ723" s="616" t="e">
        <f t="shared" si="863"/>
        <v>#N/A</v>
      </c>
      <c r="AR723" s="616" t="e">
        <f t="shared" si="863"/>
        <v>#N/A</v>
      </c>
      <c r="AS723" s="616" t="e">
        <f t="shared" ref="AS723:BD723" si="864">AS710*N$439</f>
        <v>#N/A</v>
      </c>
      <c r="AT723" s="616" t="e">
        <f t="shared" si="864"/>
        <v>#N/A</v>
      </c>
      <c r="AU723" s="616" t="e">
        <f t="shared" si="864"/>
        <v>#N/A</v>
      </c>
      <c r="AV723" s="616" t="e">
        <f t="shared" si="864"/>
        <v>#N/A</v>
      </c>
      <c r="AW723" s="616" t="e">
        <f t="shared" si="864"/>
        <v>#N/A</v>
      </c>
      <c r="AX723" s="616" t="e">
        <f t="shared" si="864"/>
        <v>#N/A</v>
      </c>
      <c r="AY723" s="616" t="e">
        <f t="shared" si="864"/>
        <v>#N/A</v>
      </c>
      <c r="AZ723" s="616" t="e">
        <f t="shared" si="864"/>
        <v>#N/A</v>
      </c>
      <c r="BA723" s="616" t="e">
        <f t="shared" si="864"/>
        <v>#N/A</v>
      </c>
      <c r="BB723" s="616" t="e">
        <f t="shared" si="864"/>
        <v>#N/A</v>
      </c>
      <c r="BC723" s="616" t="e">
        <f t="shared" si="864"/>
        <v>#N/A</v>
      </c>
      <c r="BD723" s="616" t="e">
        <f t="shared" si="864"/>
        <v>#N/A</v>
      </c>
      <c r="BE723" s="616" t="e">
        <f t="shared" ref="BE723:BP723" si="865">BE710*N$439</f>
        <v>#N/A</v>
      </c>
      <c r="BF723" s="616" t="e">
        <f t="shared" si="865"/>
        <v>#N/A</v>
      </c>
      <c r="BG723" s="616" t="e">
        <f t="shared" si="865"/>
        <v>#N/A</v>
      </c>
      <c r="BH723" s="616" t="e">
        <f t="shared" si="865"/>
        <v>#N/A</v>
      </c>
      <c r="BI723" s="616" t="e">
        <f t="shared" si="865"/>
        <v>#N/A</v>
      </c>
      <c r="BJ723" s="616" t="e">
        <f t="shared" si="865"/>
        <v>#N/A</v>
      </c>
      <c r="BK723" s="616" t="e">
        <f t="shared" si="865"/>
        <v>#N/A</v>
      </c>
      <c r="BL723" s="616" t="e">
        <f t="shared" si="865"/>
        <v>#N/A</v>
      </c>
      <c r="BM723" s="616" t="e">
        <f t="shared" si="865"/>
        <v>#N/A</v>
      </c>
      <c r="BN723" s="616" t="e">
        <f t="shared" si="865"/>
        <v>#N/A</v>
      </c>
      <c r="BO723" s="616" t="e">
        <f t="shared" si="865"/>
        <v>#N/A</v>
      </c>
      <c r="BP723" s="616" t="e">
        <f t="shared" si="865"/>
        <v>#N/A</v>
      </c>
      <c r="BQ723" s="616" t="e">
        <f t="shared" ref="BQ723:CB723" si="866">BQ710*N$439</f>
        <v>#N/A</v>
      </c>
      <c r="BR723" s="616" t="e">
        <f t="shared" si="866"/>
        <v>#N/A</v>
      </c>
      <c r="BS723" s="616" t="e">
        <f t="shared" si="866"/>
        <v>#N/A</v>
      </c>
      <c r="BT723" s="616" t="e">
        <f t="shared" si="866"/>
        <v>#N/A</v>
      </c>
      <c r="BU723" s="616" t="e">
        <f t="shared" si="866"/>
        <v>#N/A</v>
      </c>
      <c r="BV723" s="616" t="e">
        <f t="shared" si="866"/>
        <v>#N/A</v>
      </c>
      <c r="BW723" s="616" t="e">
        <f t="shared" si="866"/>
        <v>#N/A</v>
      </c>
      <c r="BX723" s="616" t="e">
        <f t="shared" si="866"/>
        <v>#N/A</v>
      </c>
      <c r="BY723" s="616" t="e">
        <f t="shared" si="866"/>
        <v>#N/A</v>
      </c>
      <c r="BZ723" s="616" t="e">
        <f t="shared" si="866"/>
        <v>#N/A</v>
      </c>
      <c r="CA723" s="616" t="e">
        <f t="shared" si="866"/>
        <v>#N/A</v>
      </c>
      <c r="CB723" s="616" t="e">
        <f t="shared" si="866"/>
        <v>#N/A</v>
      </c>
      <c r="CC723" s="616" t="e">
        <f t="shared" ref="CC723:CN723" si="867">CC710*N$439</f>
        <v>#N/A</v>
      </c>
      <c r="CD723" s="616" t="e">
        <f t="shared" si="867"/>
        <v>#N/A</v>
      </c>
      <c r="CE723" s="616" t="e">
        <f t="shared" si="867"/>
        <v>#N/A</v>
      </c>
      <c r="CF723" s="616" t="e">
        <f t="shared" si="867"/>
        <v>#N/A</v>
      </c>
      <c r="CG723" s="616" t="e">
        <f t="shared" si="867"/>
        <v>#N/A</v>
      </c>
      <c r="CH723" s="616" t="e">
        <f t="shared" si="867"/>
        <v>#N/A</v>
      </c>
      <c r="CI723" s="616" t="e">
        <f t="shared" si="867"/>
        <v>#N/A</v>
      </c>
      <c r="CJ723" s="616" t="e">
        <f t="shared" si="867"/>
        <v>#N/A</v>
      </c>
      <c r="CK723" s="616" t="e">
        <f t="shared" si="867"/>
        <v>#N/A</v>
      </c>
      <c r="CL723" s="616" t="e">
        <f t="shared" si="867"/>
        <v>#N/A</v>
      </c>
      <c r="CM723" s="616" t="e">
        <f t="shared" si="867"/>
        <v>#N/A</v>
      </c>
      <c r="CN723" s="616" t="e">
        <f t="shared" si="867"/>
        <v>#N/A</v>
      </c>
    </row>
    <row r="724" spans="8:92">
      <c r="H724" s="602" t="s">
        <v>940</v>
      </c>
      <c r="L724" s="618" t="s">
        <v>1304</v>
      </c>
      <c r="M724" s="600" t="s">
        <v>974</v>
      </c>
      <c r="N724" s="615" t="e">
        <f>SUM(U724:AF724)</f>
        <v>#N/A</v>
      </c>
      <c r="O724" s="615" t="e">
        <f>SUM(AG724:AR724)</f>
        <v>#N/A</v>
      </c>
      <c r="P724" s="615" t="e">
        <f>SUM(AS724:BD724)</f>
        <v>#N/A</v>
      </c>
      <c r="Q724" s="615" t="e">
        <f>SUM(BE724:BP724)</f>
        <v>#N/A</v>
      </c>
      <c r="R724" s="615" t="e">
        <f>SUM(BQ724:CB724)</f>
        <v>#N/A</v>
      </c>
      <c r="S724" s="615" t="e">
        <f>SUM(CC724:CN724)</f>
        <v>#N/A</v>
      </c>
      <c r="U724" s="616" t="e">
        <f t="shared" ref="U724:CF724" si="868">SUM(U717:U720,U722:U723)</f>
        <v>#N/A</v>
      </c>
      <c r="V724" s="616" t="e">
        <f t="shared" si="868"/>
        <v>#N/A</v>
      </c>
      <c r="W724" s="616" t="e">
        <f t="shared" si="868"/>
        <v>#N/A</v>
      </c>
      <c r="X724" s="616" t="e">
        <f t="shared" si="868"/>
        <v>#N/A</v>
      </c>
      <c r="Y724" s="616" t="e">
        <f t="shared" si="868"/>
        <v>#N/A</v>
      </c>
      <c r="Z724" s="616" t="e">
        <f t="shared" si="868"/>
        <v>#N/A</v>
      </c>
      <c r="AA724" s="616" t="e">
        <f t="shared" si="868"/>
        <v>#N/A</v>
      </c>
      <c r="AB724" s="616" t="e">
        <f t="shared" si="868"/>
        <v>#N/A</v>
      </c>
      <c r="AC724" s="616" t="e">
        <f t="shared" si="868"/>
        <v>#N/A</v>
      </c>
      <c r="AD724" s="616" t="e">
        <f t="shared" si="868"/>
        <v>#N/A</v>
      </c>
      <c r="AE724" s="616" t="e">
        <f t="shared" si="868"/>
        <v>#N/A</v>
      </c>
      <c r="AF724" s="616" t="e">
        <f t="shared" si="868"/>
        <v>#N/A</v>
      </c>
      <c r="AG724" s="616" t="e">
        <f t="shared" si="868"/>
        <v>#N/A</v>
      </c>
      <c r="AH724" s="616" t="e">
        <f t="shared" si="868"/>
        <v>#N/A</v>
      </c>
      <c r="AI724" s="616" t="e">
        <f t="shared" si="868"/>
        <v>#N/A</v>
      </c>
      <c r="AJ724" s="616" t="e">
        <f t="shared" si="868"/>
        <v>#N/A</v>
      </c>
      <c r="AK724" s="616" t="e">
        <f t="shared" si="868"/>
        <v>#N/A</v>
      </c>
      <c r="AL724" s="616" t="e">
        <f t="shared" si="868"/>
        <v>#N/A</v>
      </c>
      <c r="AM724" s="616" t="e">
        <f t="shared" si="868"/>
        <v>#N/A</v>
      </c>
      <c r="AN724" s="616" t="e">
        <f t="shared" si="868"/>
        <v>#N/A</v>
      </c>
      <c r="AO724" s="616" t="e">
        <f t="shared" si="868"/>
        <v>#N/A</v>
      </c>
      <c r="AP724" s="616" t="e">
        <f t="shared" si="868"/>
        <v>#N/A</v>
      </c>
      <c r="AQ724" s="616" t="e">
        <f t="shared" si="868"/>
        <v>#N/A</v>
      </c>
      <c r="AR724" s="616" t="e">
        <f t="shared" si="868"/>
        <v>#N/A</v>
      </c>
      <c r="AS724" s="616" t="e">
        <f t="shared" si="868"/>
        <v>#N/A</v>
      </c>
      <c r="AT724" s="616" t="e">
        <f t="shared" si="868"/>
        <v>#N/A</v>
      </c>
      <c r="AU724" s="616" t="e">
        <f t="shared" si="868"/>
        <v>#N/A</v>
      </c>
      <c r="AV724" s="616" t="e">
        <f t="shared" si="868"/>
        <v>#N/A</v>
      </c>
      <c r="AW724" s="616" t="e">
        <f t="shared" si="868"/>
        <v>#N/A</v>
      </c>
      <c r="AX724" s="616" t="e">
        <f t="shared" si="868"/>
        <v>#N/A</v>
      </c>
      <c r="AY724" s="616" t="e">
        <f t="shared" si="868"/>
        <v>#N/A</v>
      </c>
      <c r="AZ724" s="616" t="e">
        <f t="shared" si="868"/>
        <v>#N/A</v>
      </c>
      <c r="BA724" s="616" t="e">
        <f t="shared" si="868"/>
        <v>#N/A</v>
      </c>
      <c r="BB724" s="616" t="e">
        <f t="shared" si="868"/>
        <v>#N/A</v>
      </c>
      <c r="BC724" s="616" t="e">
        <f t="shared" si="868"/>
        <v>#N/A</v>
      </c>
      <c r="BD724" s="616" t="e">
        <f t="shared" si="868"/>
        <v>#N/A</v>
      </c>
      <c r="BE724" s="616" t="e">
        <f t="shared" si="868"/>
        <v>#N/A</v>
      </c>
      <c r="BF724" s="616" t="e">
        <f t="shared" si="868"/>
        <v>#N/A</v>
      </c>
      <c r="BG724" s="616" t="e">
        <f t="shared" si="868"/>
        <v>#N/A</v>
      </c>
      <c r="BH724" s="616" t="e">
        <f t="shared" si="868"/>
        <v>#N/A</v>
      </c>
      <c r="BI724" s="616" t="e">
        <f t="shared" si="868"/>
        <v>#N/A</v>
      </c>
      <c r="BJ724" s="616" t="e">
        <f t="shared" si="868"/>
        <v>#N/A</v>
      </c>
      <c r="BK724" s="616" t="e">
        <f t="shared" si="868"/>
        <v>#N/A</v>
      </c>
      <c r="BL724" s="616" t="e">
        <f t="shared" si="868"/>
        <v>#N/A</v>
      </c>
      <c r="BM724" s="616" t="e">
        <f t="shared" si="868"/>
        <v>#N/A</v>
      </c>
      <c r="BN724" s="616" t="e">
        <f t="shared" si="868"/>
        <v>#N/A</v>
      </c>
      <c r="BO724" s="616" t="e">
        <f t="shared" si="868"/>
        <v>#N/A</v>
      </c>
      <c r="BP724" s="616" t="e">
        <f t="shared" si="868"/>
        <v>#N/A</v>
      </c>
      <c r="BQ724" s="616" t="e">
        <f t="shared" si="868"/>
        <v>#N/A</v>
      </c>
      <c r="BR724" s="616" t="e">
        <f t="shared" si="868"/>
        <v>#N/A</v>
      </c>
      <c r="BS724" s="616" t="e">
        <f t="shared" si="868"/>
        <v>#N/A</v>
      </c>
      <c r="BT724" s="616" t="e">
        <f t="shared" si="868"/>
        <v>#N/A</v>
      </c>
      <c r="BU724" s="616" t="e">
        <f t="shared" si="868"/>
        <v>#N/A</v>
      </c>
      <c r="BV724" s="616" t="e">
        <f t="shared" si="868"/>
        <v>#N/A</v>
      </c>
      <c r="BW724" s="616" t="e">
        <f t="shared" si="868"/>
        <v>#N/A</v>
      </c>
      <c r="BX724" s="616" t="e">
        <f t="shared" si="868"/>
        <v>#N/A</v>
      </c>
      <c r="BY724" s="616" t="e">
        <f t="shared" si="868"/>
        <v>#N/A</v>
      </c>
      <c r="BZ724" s="616" t="e">
        <f t="shared" si="868"/>
        <v>#N/A</v>
      </c>
      <c r="CA724" s="616" t="e">
        <f t="shared" si="868"/>
        <v>#N/A</v>
      </c>
      <c r="CB724" s="616" t="e">
        <f t="shared" si="868"/>
        <v>#N/A</v>
      </c>
      <c r="CC724" s="616" t="e">
        <f t="shared" si="868"/>
        <v>#N/A</v>
      </c>
      <c r="CD724" s="616" t="e">
        <f t="shared" si="868"/>
        <v>#N/A</v>
      </c>
      <c r="CE724" s="616" t="e">
        <f t="shared" si="868"/>
        <v>#N/A</v>
      </c>
      <c r="CF724" s="616" t="e">
        <f t="shared" si="868"/>
        <v>#N/A</v>
      </c>
      <c r="CG724" s="616" t="e">
        <f t="shared" ref="CG724:CN724" si="869">SUM(CG717:CG720,CG722:CG723)</f>
        <v>#N/A</v>
      </c>
      <c r="CH724" s="616" t="e">
        <f t="shared" si="869"/>
        <v>#N/A</v>
      </c>
      <c r="CI724" s="616" t="e">
        <f t="shared" si="869"/>
        <v>#N/A</v>
      </c>
      <c r="CJ724" s="616" t="e">
        <f t="shared" si="869"/>
        <v>#N/A</v>
      </c>
      <c r="CK724" s="616" t="e">
        <f t="shared" si="869"/>
        <v>#N/A</v>
      </c>
      <c r="CL724" s="616" t="e">
        <f t="shared" si="869"/>
        <v>#N/A</v>
      </c>
      <c r="CM724" s="616" t="e">
        <f t="shared" si="869"/>
        <v>#N/A</v>
      </c>
      <c r="CN724" s="616" t="e">
        <f t="shared" si="869"/>
        <v>#N/A</v>
      </c>
    </row>
    <row r="725" spans="8:92">
      <c r="H725" s="602" t="s">
        <v>940</v>
      </c>
      <c r="L725" s="618" t="s">
        <v>909</v>
      </c>
      <c r="M725" s="600" t="s">
        <v>974</v>
      </c>
      <c r="N725" s="615" t="e">
        <f>SUM(U725:AF725)</f>
        <v>#N/A</v>
      </c>
      <c r="O725" s="615" t="e">
        <f>SUM(AG725:AR725)</f>
        <v>#N/A</v>
      </c>
      <c r="P725" s="615" t="e">
        <f>SUM(AS725:BD725)</f>
        <v>#N/A</v>
      </c>
      <c r="Q725" s="615" t="e">
        <f>SUM(BE725:BP725)</f>
        <v>#N/A</v>
      </c>
      <c r="R725" s="615" t="e">
        <f>SUM(BQ725:CB725)</f>
        <v>#N/A</v>
      </c>
      <c r="S725" s="615" t="e">
        <f>SUM(CC725:CN725)</f>
        <v>#N/A</v>
      </c>
      <c r="U725" s="616" t="e">
        <f t="shared" ref="U725:AF725" si="870">U724*N$440/100</f>
        <v>#N/A</v>
      </c>
      <c r="V725" s="616" t="e">
        <f t="shared" si="870"/>
        <v>#N/A</v>
      </c>
      <c r="W725" s="616" t="e">
        <f t="shared" si="870"/>
        <v>#N/A</v>
      </c>
      <c r="X725" s="616" t="e">
        <f t="shared" si="870"/>
        <v>#N/A</v>
      </c>
      <c r="Y725" s="616" t="e">
        <f t="shared" si="870"/>
        <v>#N/A</v>
      </c>
      <c r="Z725" s="616" t="e">
        <f t="shared" si="870"/>
        <v>#N/A</v>
      </c>
      <c r="AA725" s="616" t="e">
        <f t="shared" si="870"/>
        <v>#N/A</v>
      </c>
      <c r="AB725" s="616" t="e">
        <f t="shared" si="870"/>
        <v>#N/A</v>
      </c>
      <c r="AC725" s="616" t="e">
        <f t="shared" si="870"/>
        <v>#N/A</v>
      </c>
      <c r="AD725" s="616" t="e">
        <f t="shared" si="870"/>
        <v>#N/A</v>
      </c>
      <c r="AE725" s="616" t="e">
        <f t="shared" si="870"/>
        <v>#N/A</v>
      </c>
      <c r="AF725" s="616" t="e">
        <f t="shared" si="870"/>
        <v>#N/A</v>
      </c>
      <c r="AG725" s="616" t="e">
        <f t="shared" ref="AG725:AR725" si="871">AG724*N$440/100</f>
        <v>#N/A</v>
      </c>
      <c r="AH725" s="616" t="e">
        <f t="shared" si="871"/>
        <v>#N/A</v>
      </c>
      <c r="AI725" s="616" t="e">
        <f t="shared" si="871"/>
        <v>#N/A</v>
      </c>
      <c r="AJ725" s="616" t="e">
        <f t="shared" si="871"/>
        <v>#N/A</v>
      </c>
      <c r="AK725" s="616" t="e">
        <f t="shared" si="871"/>
        <v>#N/A</v>
      </c>
      <c r="AL725" s="616" t="e">
        <f t="shared" si="871"/>
        <v>#N/A</v>
      </c>
      <c r="AM725" s="616" t="e">
        <f t="shared" si="871"/>
        <v>#N/A</v>
      </c>
      <c r="AN725" s="616" t="e">
        <f t="shared" si="871"/>
        <v>#N/A</v>
      </c>
      <c r="AO725" s="616" t="e">
        <f t="shared" si="871"/>
        <v>#N/A</v>
      </c>
      <c r="AP725" s="616" t="e">
        <f t="shared" si="871"/>
        <v>#N/A</v>
      </c>
      <c r="AQ725" s="616" t="e">
        <f t="shared" si="871"/>
        <v>#N/A</v>
      </c>
      <c r="AR725" s="616" t="e">
        <f t="shared" si="871"/>
        <v>#N/A</v>
      </c>
      <c r="AS725" s="616" t="e">
        <f t="shared" ref="AS725:BD725" si="872">AS724*N$440/100</f>
        <v>#N/A</v>
      </c>
      <c r="AT725" s="616" t="e">
        <f t="shared" si="872"/>
        <v>#N/A</v>
      </c>
      <c r="AU725" s="616" t="e">
        <f t="shared" si="872"/>
        <v>#N/A</v>
      </c>
      <c r="AV725" s="616" t="e">
        <f t="shared" si="872"/>
        <v>#N/A</v>
      </c>
      <c r="AW725" s="616" t="e">
        <f t="shared" si="872"/>
        <v>#N/A</v>
      </c>
      <c r="AX725" s="616" t="e">
        <f t="shared" si="872"/>
        <v>#N/A</v>
      </c>
      <c r="AY725" s="616" t="e">
        <f t="shared" si="872"/>
        <v>#N/A</v>
      </c>
      <c r="AZ725" s="616" t="e">
        <f t="shared" si="872"/>
        <v>#N/A</v>
      </c>
      <c r="BA725" s="616" t="e">
        <f t="shared" si="872"/>
        <v>#N/A</v>
      </c>
      <c r="BB725" s="616" t="e">
        <f t="shared" si="872"/>
        <v>#N/A</v>
      </c>
      <c r="BC725" s="616" t="e">
        <f t="shared" si="872"/>
        <v>#N/A</v>
      </c>
      <c r="BD725" s="616" t="e">
        <f t="shared" si="872"/>
        <v>#N/A</v>
      </c>
      <c r="BE725" s="616" t="e">
        <f t="shared" ref="BE725:BP725" si="873">BE724*N$440/100</f>
        <v>#N/A</v>
      </c>
      <c r="BF725" s="616" t="e">
        <f t="shared" si="873"/>
        <v>#N/A</v>
      </c>
      <c r="BG725" s="616" t="e">
        <f t="shared" si="873"/>
        <v>#N/A</v>
      </c>
      <c r="BH725" s="616" t="e">
        <f t="shared" si="873"/>
        <v>#N/A</v>
      </c>
      <c r="BI725" s="616" t="e">
        <f t="shared" si="873"/>
        <v>#N/A</v>
      </c>
      <c r="BJ725" s="616" t="e">
        <f t="shared" si="873"/>
        <v>#N/A</v>
      </c>
      <c r="BK725" s="616" t="e">
        <f t="shared" si="873"/>
        <v>#N/A</v>
      </c>
      <c r="BL725" s="616" t="e">
        <f t="shared" si="873"/>
        <v>#N/A</v>
      </c>
      <c r="BM725" s="616" t="e">
        <f t="shared" si="873"/>
        <v>#N/A</v>
      </c>
      <c r="BN725" s="616" t="e">
        <f t="shared" si="873"/>
        <v>#N/A</v>
      </c>
      <c r="BO725" s="616" t="e">
        <f t="shared" si="873"/>
        <v>#N/A</v>
      </c>
      <c r="BP725" s="616" t="e">
        <f t="shared" si="873"/>
        <v>#N/A</v>
      </c>
      <c r="BQ725" s="616" t="e">
        <f t="shared" ref="BQ725:CB725" si="874">BQ724*N$440/100</f>
        <v>#N/A</v>
      </c>
      <c r="BR725" s="616" t="e">
        <f t="shared" si="874"/>
        <v>#N/A</v>
      </c>
      <c r="BS725" s="616" t="e">
        <f t="shared" si="874"/>
        <v>#N/A</v>
      </c>
      <c r="BT725" s="616" t="e">
        <f t="shared" si="874"/>
        <v>#N/A</v>
      </c>
      <c r="BU725" s="616" t="e">
        <f t="shared" si="874"/>
        <v>#N/A</v>
      </c>
      <c r="BV725" s="616" t="e">
        <f t="shared" si="874"/>
        <v>#N/A</v>
      </c>
      <c r="BW725" s="616" t="e">
        <f t="shared" si="874"/>
        <v>#N/A</v>
      </c>
      <c r="BX725" s="616" t="e">
        <f t="shared" si="874"/>
        <v>#N/A</v>
      </c>
      <c r="BY725" s="616" t="e">
        <f t="shared" si="874"/>
        <v>#N/A</v>
      </c>
      <c r="BZ725" s="616" t="e">
        <f t="shared" si="874"/>
        <v>#N/A</v>
      </c>
      <c r="CA725" s="616" t="e">
        <f t="shared" si="874"/>
        <v>#N/A</v>
      </c>
      <c r="CB725" s="616" t="e">
        <f t="shared" si="874"/>
        <v>#N/A</v>
      </c>
      <c r="CC725" s="616" t="e">
        <f t="shared" ref="CC725:CN725" si="875">CC724*N$440/100</f>
        <v>#N/A</v>
      </c>
      <c r="CD725" s="616" t="e">
        <f t="shared" si="875"/>
        <v>#N/A</v>
      </c>
      <c r="CE725" s="616" t="e">
        <f t="shared" si="875"/>
        <v>#N/A</v>
      </c>
      <c r="CF725" s="616" t="e">
        <f t="shared" si="875"/>
        <v>#N/A</v>
      </c>
      <c r="CG725" s="616" t="e">
        <f t="shared" si="875"/>
        <v>#N/A</v>
      </c>
      <c r="CH725" s="616" t="e">
        <f t="shared" si="875"/>
        <v>#N/A</v>
      </c>
      <c r="CI725" s="616" t="e">
        <f t="shared" si="875"/>
        <v>#N/A</v>
      </c>
      <c r="CJ725" s="616" t="e">
        <f t="shared" si="875"/>
        <v>#N/A</v>
      </c>
      <c r="CK725" s="616" t="e">
        <f t="shared" si="875"/>
        <v>#N/A</v>
      </c>
      <c r="CL725" s="616" t="e">
        <f t="shared" si="875"/>
        <v>#N/A</v>
      </c>
      <c r="CM725" s="616" t="e">
        <f t="shared" si="875"/>
        <v>#N/A</v>
      </c>
      <c r="CN725" s="616" t="e">
        <f t="shared" si="875"/>
        <v>#N/A</v>
      </c>
    </row>
    <row r="726" spans="8:92">
      <c r="H726" s="602" t="s">
        <v>940</v>
      </c>
      <c r="L726" s="618"/>
      <c r="M726" s="600"/>
      <c r="N726" s="615"/>
      <c r="O726" s="615"/>
      <c r="P726" s="615"/>
      <c r="Q726" s="615"/>
      <c r="R726" s="615"/>
      <c r="S726" s="615"/>
      <c r="U726" s="616"/>
      <c r="V726" s="616"/>
      <c r="W726" s="616"/>
      <c r="X726" s="616"/>
      <c r="Y726" s="616"/>
      <c r="Z726" s="616"/>
      <c r="AA726" s="616"/>
      <c r="AB726" s="616"/>
      <c r="AC726" s="616"/>
      <c r="AD726" s="616"/>
      <c r="AE726" s="616"/>
      <c r="AF726" s="616"/>
      <c r="AG726" s="616"/>
      <c r="AH726" s="616"/>
      <c r="AI726" s="616"/>
      <c r="AJ726" s="616"/>
      <c r="AK726" s="616"/>
      <c r="AL726" s="616"/>
      <c r="AM726" s="616"/>
      <c r="AN726" s="616"/>
      <c r="AO726" s="616"/>
      <c r="AP726" s="616"/>
      <c r="AQ726" s="616"/>
      <c r="AR726" s="616"/>
      <c r="AS726" s="616"/>
      <c r="AT726" s="616"/>
      <c r="AU726" s="616"/>
      <c r="AV726" s="616"/>
      <c r="AW726" s="616"/>
      <c r="AX726" s="616"/>
      <c r="AY726" s="616"/>
      <c r="AZ726" s="616"/>
      <c r="BA726" s="616"/>
      <c r="BB726" s="616"/>
      <c r="BC726" s="616"/>
      <c r="BD726" s="616"/>
      <c r="BE726" s="616"/>
      <c r="BF726" s="616"/>
      <c r="BG726" s="616"/>
      <c r="BH726" s="616"/>
      <c r="BI726" s="616"/>
      <c r="BJ726" s="616"/>
      <c r="BK726" s="616"/>
      <c r="BL726" s="616"/>
      <c r="BM726" s="616"/>
      <c r="BN726" s="616"/>
      <c r="BO726" s="616"/>
      <c r="BP726" s="616"/>
      <c r="BQ726" s="616"/>
      <c r="BR726" s="616"/>
      <c r="BS726" s="616"/>
      <c r="BT726" s="616"/>
      <c r="BU726" s="616"/>
      <c r="BV726" s="616"/>
      <c r="BW726" s="616"/>
      <c r="BX726" s="616"/>
      <c r="BY726" s="616"/>
      <c r="BZ726" s="616"/>
      <c r="CA726" s="616"/>
      <c r="CB726" s="616"/>
      <c r="CC726" s="616"/>
      <c r="CD726" s="616"/>
      <c r="CE726" s="616"/>
      <c r="CF726" s="616"/>
      <c r="CG726" s="616"/>
      <c r="CH726" s="616"/>
      <c r="CI726" s="616"/>
      <c r="CJ726" s="616"/>
      <c r="CK726" s="616"/>
      <c r="CL726" s="616"/>
      <c r="CM726" s="616"/>
      <c r="CN726" s="616"/>
    </row>
    <row r="727" spans="8:92">
      <c r="H727" s="602" t="s">
        <v>940</v>
      </c>
      <c r="L727" s="618" t="s">
        <v>1305</v>
      </c>
      <c r="M727" s="600" t="s">
        <v>974</v>
      </c>
      <c r="N727" s="615" t="e">
        <f>SUM(U727:AF727)</f>
        <v>#N/A</v>
      </c>
      <c r="O727" s="615" t="e">
        <f>SUM(AG727:AR727)</f>
        <v>#N/A</v>
      </c>
      <c r="P727" s="615" t="e">
        <f>SUM(AS727:BD727)</f>
        <v>#N/A</v>
      </c>
      <c r="Q727" s="615" t="e">
        <f>SUM(BE727:BP727)</f>
        <v>#N/A</v>
      </c>
      <c r="R727" s="615" t="e">
        <f>SUM(BQ727:CB727)</f>
        <v>#N/A</v>
      </c>
      <c r="S727" s="615" t="e">
        <f>SUM(CC727:CN727)</f>
        <v>#N/A</v>
      </c>
      <c r="U727" s="616" t="e">
        <f>SUM(U724:U725)</f>
        <v>#N/A</v>
      </c>
      <c r="V727" s="616" t="e">
        <f t="shared" ref="V727:CG727" si="876">SUM(V724:V725)</f>
        <v>#N/A</v>
      </c>
      <c r="W727" s="616" t="e">
        <f t="shared" si="876"/>
        <v>#N/A</v>
      </c>
      <c r="X727" s="616" t="e">
        <f t="shared" si="876"/>
        <v>#N/A</v>
      </c>
      <c r="Y727" s="616" t="e">
        <f t="shared" si="876"/>
        <v>#N/A</v>
      </c>
      <c r="Z727" s="616" t="e">
        <f t="shared" si="876"/>
        <v>#N/A</v>
      </c>
      <c r="AA727" s="616" t="e">
        <f t="shared" si="876"/>
        <v>#N/A</v>
      </c>
      <c r="AB727" s="616" t="e">
        <f t="shared" si="876"/>
        <v>#N/A</v>
      </c>
      <c r="AC727" s="616" t="e">
        <f t="shared" si="876"/>
        <v>#N/A</v>
      </c>
      <c r="AD727" s="616" t="e">
        <f t="shared" si="876"/>
        <v>#N/A</v>
      </c>
      <c r="AE727" s="616" t="e">
        <f t="shared" si="876"/>
        <v>#N/A</v>
      </c>
      <c r="AF727" s="616" t="e">
        <f t="shared" si="876"/>
        <v>#N/A</v>
      </c>
      <c r="AG727" s="616" t="e">
        <f t="shared" si="876"/>
        <v>#N/A</v>
      </c>
      <c r="AH727" s="616" t="e">
        <f t="shared" si="876"/>
        <v>#N/A</v>
      </c>
      <c r="AI727" s="616" t="e">
        <f t="shared" si="876"/>
        <v>#N/A</v>
      </c>
      <c r="AJ727" s="616" t="e">
        <f t="shared" si="876"/>
        <v>#N/A</v>
      </c>
      <c r="AK727" s="616" t="e">
        <f t="shared" si="876"/>
        <v>#N/A</v>
      </c>
      <c r="AL727" s="616" t="e">
        <f t="shared" si="876"/>
        <v>#N/A</v>
      </c>
      <c r="AM727" s="616" t="e">
        <f t="shared" si="876"/>
        <v>#N/A</v>
      </c>
      <c r="AN727" s="616" t="e">
        <f t="shared" si="876"/>
        <v>#N/A</v>
      </c>
      <c r="AO727" s="616" t="e">
        <f t="shared" si="876"/>
        <v>#N/A</v>
      </c>
      <c r="AP727" s="616" t="e">
        <f t="shared" si="876"/>
        <v>#N/A</v>
      </c>
      <c r="AQ727" s="616" t="e">
        <f t="shared" si="876"/>
        <v>#N/A</v>
      </c>
      <c r="AR727" s="616" t="e">
        <f t="shared" si="876"/>
        <v>#N/A</v>
      </c>
      <c r="AS727" s="616" t="e">
        <f t="shared" si="876"/>
        <v>#N/A</v>
      </c>
      <c r="AT727" s="616" t="e">
        <f t="shared" si="876"/>
        <v>#N/A</v>
      </c>
      <c r="AU727" s="616" t="e">
        <f t="shared" si="876"/>
        <v>#N/A</v>
      </c>
      <c r="AV727" s="616" t="e">
        <f t="shared" si="876"/>
        <v>#N/A</v>
      </c>
      <c r="AW727" s="616" t="e">
        <f t="shared" si="876"/>
        <v>#N/A</v>
      </c>
      <c r="AX727" s="616" t="e">
        <f t="shared" si="876"/>
        <v>#N/A</v>
      </c>
      <c r="AY727" s="616" t="e">
        <f t="shared" si="876"/>
        <v>#N/A</v>
      </c>
      <c r="AZ727" s="616" t="e">
        <f t="shared" si="876"/>
        <v>#N/A</v>
      </c>
      <c r="BA727" s="616" t="e">
        <f t="shared" si="876"/>
        <v>#N/A</v>
      </c>
      <c r="BB727" s="616" t="e">
        <f t="shared" si="876"/>
        <v>#N/A</v>
      </c>
      <c r="BC727" s="616" t="e">
        <f t="shared" si="876"/>
        <v>#N/A</v>
      </c>
      <c r="BD727" s="616" t="e">
        <f t="shared" si="876"/>
        <v>#N/A</v>
      </c>
      <c r="BE727" s="616" t="e">
        <f t="shared" si="876"/>
        <v>#N/A</v>
      </c>
      <c r="BF727" s="616" t="e">
        <f t="shared" si="876"/>
        <v>#N/A</v>
      </c>
      <c r="BG727" s="616" t="e">
        <f t="shared" si="876"/>
        <v>#N/A</v>
      </c>
      <c r="BH727" s="616" t="e">
        <f t="shared" si="876"/>
        <v>#N/A</v>
      </c>
      <c r="BI727" s="616" t="e">
        <f t="shared" si="876"/>
        <v>#N/A</v>
      </c>
      <c r="BJ727" s="616" t="e">
        <f t="shared" si="876"/>
        <v>#N/A</v>
      </c>
      <c r="BK727" s="616" t="e">
        <f t="shared" si="876"/>
        <v>#N/A</v>
      </c>
      <c r="BL727" s="616" t="e">
        <f t="shared" si="876"/>
        <v>#N/A</v>
      </c>
      <c r="BM727" s="616" t="e">
        <f t="shared" si="876"/>
        <v>#N/A</v>
      </c>
      <c r="BN727" s="616" t="e">
        <f t="shared" si="876"/>
        <v>#N/A</v>
      </c>
      <c r="BO727" s="616" t="e">
        <f t="shared" si="876"/>
        <v>#N/A</v>
      </c>
      <c r="BP727" s="616" t="e">
        <f t="shared" si="876"/>
        <v>#N/A</v>
      </c>
      <c r="BQ727" s="616" t="e">
        <f t="shared" si="876"/>
        <v>#N/A</v>
      </c>
      <c r="BR727" s="616" t="e">
        <f t="shared" si="876"/>
        <v>#N/A</v>
      </c>
      <c r="BS727" s="616" t="e">
        <f t="shared" si="876"/>
        <v>#N/A</v>
      </c>
      <c r="BT727" s="616" t="e">
        <f t="shared" si="876"/>
        <v>#N/A</v>
      </c>
      <c r="BU727" s="616" t="e">
        <f t="shared" si="876"/>
        <v>#N/A</v>
      </c>
      <c r="BV727" s="616" t="e">
        <f t="shared" si="876"/>
        <v>#N/A</v>
      </c>
      <c r="BW727" s="616" t="e">
        <f t="shared" si="876"/>
        <v>#N/A</v>
      </c>
      <c r="BX727" s="616" t="e">
        <f t="shared" si="876"/>
        <v>#N/A</v>
      </c>
      <c r="BY727" s="616" t="e">
        <f t="shared" si="876"/>
        <v>#N/A</v>
      </c>
      <c r="BZ727" s="616" t="e">
        <f t="shared" si="876"/>
        <v>#N/A</v>
      </c>
      <c r="CA727" s="616" t="e">
        <f t="shared" si="876"/>
        <v>#N/A</v>
      </c>
      <c r="CB727" s="616" t="e">
        <f t="shared" si="876"/>
        <v>#N/A</v>
      </c>
      <c r="CC727" s="616" t="e">
        <f t="shared" si="876"/>
        <v>#N/A</v>
      </c>
      <c r="CD727" s="616" t="e">
        <f t="shared" si="876"/>
        <v>#N/A</v>
      </c>
      <c r="CE727" s="616" t="e">
        <f t="shared" si="876"/>
        <v>#N/A</v>
      </c>
      <c r="CF727" s="616" t="e">
        <f t="shared" si="876"/>
        <v>#N/A</v>
      </c>
      <c r="CG727" s="616" t="e">
        <f t="shared" si="876"/>
        <v>#N/A</v>
      </c>
      <c r="CH727" s="616" t="e">
        <f t="shared" ref="CH727:CN727" si="877">SUM(CH724:CH725)</f>
        <v>#N/A</v>
      </c>
      <c r="CI727" s="616" t="e">
        <f t="shared" si="877"/>
        <v>#N/A</v>
      </c>
      <c r="CJ727" s="616" t="e">
        <f t="shared" si="877"/>
        <v>#N/A</v>
      </c>
      <c r="CK727" s="616" t="e">
        <f t="shared" si="877"/>
        <v>#N/A</v>
      </c>
      <c r="CL727" s="616" t="e">
        <f t="shared" si="877"/>
        <v>#N/A</v>
      </c>
      <c r="CM727" s="616" t="e">
        <f t="shared" si="877"/>
        <v>#N/A</v>
      </c>
      <c r="CN727" s="616" t="e">
        <f t="shared" si="877"/>
        <v>#N/A</v>
      </c>
    </row>
    <row r="728" spans="8:92">
      <c r="H728" s="602" t="s">
        <v>940</v>
      </c>
      <c r="L728" s="618" t="s">
        <v>1307</v>
      </c>
      <c r="M728" s="600" t="s">
        <v>974</v>
      </c>
      <c r="N728" s="615" t="e">
        <f>SUM(U728:AF728)</f>
        <v>#N/A</v>
      </c>
      <c r="O728" s="615" t="e">
        <f>SUM(AG728:AR728)</f>
        <v>#N/A</v>
      </c>
      <c r="P728" s="615" t="e">
        <f>SUM(AS728:BD728)</f>
        <v>#N/A</v>
      </c>
      <c r="Q728" s="615" t="e">
        <f>SUM(BE728:BP728)</f>
        <v>#N/A</v>
      </c>
      <c r="R728" s="615" t="e">
        <f>SUM(BQ728:CB728)</f>
        <v>#N/A</v>
      </c>
      <c r="S728" s="615" t="e">
        <f>SUM(CC728:CN728)</f>
        <v>#N/A</v>
      </c>
      <c r="U728" s="616" t="e">
        <f>U727-U704</f>
        <v>#N/A</v>
      </c>
      <c r="V728" s="616" t="e">
        <f t="shared" ref="V728:CG728" si="878">V727-V704</f>
        <v>#N/A</v>
      </c>
      <c r="W728" s="616" t="e">
        <f t="shared" si="878"/>
        <v>#N/A</v>
      </c>
      <c r="X728" s="616" t="e">
        <f t="shared" si="878"/>
        <v>#N/A</v>
      </c>
      <c r="Y728" s="616" t="e">
        <f t="shared" si="878"/>
        <v>#N/A</v>
      </c>
      <c r="Z728" s="616" t="e">
        <f t="shared" si="878"/>
        <v>#N/A</v>
      </c>
      <c r="AA728" s="616" t="e">
        <f t="shared" si="878"/>
        <v>#N/A</v>
      </c>
      <c r="AB728" s="616" t="e">
        <f t="shared" si="878"/>
        <v>#N/A</v>
      </c>
      <c r="AC728" s="616" t="e">
        <f t="shared" si="878"/>
        <v>#N/A</v>
      </c>
      <c r="AD728" s="616" t="e">
        <f t="shared" si="878"/>
        <v>#N/A</v>
      </c>
      <c r="AE728" s="616" t="e">
        <f t="shared" si="878"/>
        <v>#N/A</v>
      </c>
      <c r="AF728" s="616" t="e">
        <f t="shared" si="878"/>
        <v>#N/A</v>
      </c>
      <c r="AG728" s="616" t="e">
        <f t="shared" si="878"/>
        <v>#N/A</v>
      </c>
      <c r="AH728" s="616" t="e">
        <f t="shared" si="878"/>
        <v>#N/A</v>
      </c>
      <c r="AI728" s="616" t="e">
        <f t="shared" si="878"/>
        <v>#N/A</v>
      </c>
      <c r="AJ728" s="616" t="e">
        <f t="shared" si="878"/>
        <v>#N/A</v>
      </c>
      <c r="AK728" s="616" t="e">
        <f t="shared" si="878"/>
        <v>#N/A</v>
      </c>
      <c r="AL728" s="616" t="e">
        <f t="shared" si="878"/>
        <v>#N/A</v>
      </c>
      <c r="AM728" s="616" t="e">
        <f t="shared" si="878"/>
        <v>#N/A</v>
      </c>
      <c r="AN728" s="616" t="e">
        <f t="shared" si="878"/>
        <v>#N/A</v>
      </c>
      <c r="AO728" s="616" t="e">
        <f t="shared" si="878"/>
        <v>#N/A</v>
      </c>
      <c r="AP728" s="616" t="e">
        <f t="shared" si="878"/>
        <v>#N/A</v>
      </c>
      <c r="AQ728" s="616" t="e">
        <f t="shared" si="878"/>
        <v>#N/A</v>
      </c>
      <c r="AR728" s="616" t="e">
        <f t="shared" si="878"/>
        <v>#N/A</v>
      </c>
      <c r="AS728" s="616" t="e">
        <f t="shared" si="878"/>
        <v>#N/A</v>
      </c>
      <c r="AT728" s="616" t="e">
        <f t="shared" si="878"/>
        <v>#N/A</v>
      </c>
      <c r="AU728" s="616" t="e">
        <f t="shared" si="878"/>
        <v>#N/A</v>
      </c>
      <c r="AV728" s="616" t="e">
        <f t="shared" si="878"/>
        <v>#N/A</v>
      </c>
      <c r="AW728" s="616" t="e">
        <f t="shared" si="878"/>
        <v>#N/A</v>
      </c>
      <c r="AX728" s="616" t="e">
        <f t="shared" si="878"/>
        <v>#N/A</v>
      </c>
      <c r="AY728" s="616" t="e">
        <f t="shared" si="878"/>
        <v>#N/A</v>
      </c>
      <c r="AZ728" s="616" t="e">
        <f t="shared" si="878"/>
        <v>#N/A</v>
      </c>
      <c r="BA728" s="616" t="e">
        <f t="shared" si="878"/>
        <v>#N/A</v>
      </c>
      <c r="BB728" s="616" t="e">
        <f t="shared" si="878"/>
        <v>#N/A</v>
      </c>
      <c r="BC728" s="616" t="e">
        <f t="shared" si="878"/>
        <v>#N/A</v>
      </c>
      <c r="BD728" s="616" t="e">
        <f t="shared" si="878"/>
        <v>#N/A</v>
      </c>
      <c r="BE728" s="616" t="e">
        <f t="shared" si="878"/>
        <v>#N/A</v>
      </c>
      <c r="BF728" s="616" t="e">
        <f t="shared" si="878"/>
        <v>#N/A</v>
      </c>
      <c r="BG728" s="616" t="e">
        <f t="shared" si="878"/>
        <v>#N/A</v>
      </c>
      <c r="BH728" s="616" t="e">
        <f t="shared" si="878"/>
        <v>#N/A</v>
      </c>
      <c r="BI728" s="616" t="e">
        <f t="shared" si="878"/>
        <v>#N/A</v>
      </c>
      <c r="BJ728" s="616" t="e">
        <f t="shared" si="878"/>
        <v>#N/A</v>
      </c>
      <c r="BK728" s="616" t="e">
        <f t="shared" si="878"/>
        <v>#N/A</v>
      </c>
      <c r="BL728" s="616" t="e">
        <f t="shared" si="878"/>
        <v>#N/A</v>
      </c>
      <c r="BM728" s="616" t="e">
        <f t="shared" si="878"/>
        <v>#N/A</v>
      </c>
      <c r="BN728" s="616" t="e">
        <f t="shared" si="878"/>
        <v>#N/A</v>
      </c>
      <c r="BO728" s="616" t="e">
        <f t="shared" si="878"/>
        <v>#N/A</v>
      </c>
      <c r="BP728" s="616" t="e">
        <f t="shared" si="878"/>
        <v>#N/A</v>
      </c>
      <c r="BQ728" s="616" t="e">
        <f t="shared" si="878"/>
        <v>#N/A</v>
      </c>
      <c r="BR728" s="616" t="e">
        <f t="shared" si="878"/>
        <v>#N/A</v>
      </c>
      <c r="BS728" s="616" t="e">
        <f t="shared" si="878"/>
        <v>#N/A</v>
      </c>
      <c r="BT728" s="616" t="e">
        <f t="shared" si="878"/>
        <v>#N/A</v>
      </c>
      <c r="BU728" s="616" t="e">
        <f t="shared" si="878"/>
        <v>#N/A</v>
      </c>
      <c r="BV728" s="616" t="e">
        <f t="shared" si="878"/>
        <v>#N/A</v>
      </c>
      <c r="BW728" s="616" t="e">
        <f t="shared" si="878"/>
        <v>#N/A</v>
      </c>
      <c r="BX728" s="616" t="e">
        <f t="shared" si="878"/>
        <v>#N/A</v>
      </c>
      <c r="BY728" s="616" t="e">
        <f t="shared" si="878"/>
        <v>#N/A</v>
      </c>
      <c r="BZ728" s="616" t="e">
        <f t="shared" si="878"/>
        <v>#N/A</v>
      </c>
      <c r="CA728" s="616" t="e">
        <f t="shared" si="878"/>
        <v>#N/A</v>
      </c>
      <c r="CB728" s="616" t="e">
        <f t="shared" si="878"/>
        <v>#N/A</v>
      </c>
      <c r="CC728" s="616" t="e">
        <f t="shared" si="878"/>
        <v>#N/A</v>
      </c>
      <c r="CD728" s="616" t="e">
        <f t="shared" si="878"/>
        <v>#N/A</v>
      </c>
      <c r="CE728" s="616" t="e">
        <f t="shared" si="878"/>
        <v>#N/A</v>
      </c>
      <c r="CF728" s="616" t="e">
        <f t="shared" si="878"/>
        <v>#N/A</v>
      </c>
      <c r="CG728" s="616" t="e">
        <f t="shared" si="878"/>
        <v>#N/A</v>
      </c>
      <c r="CH728" s="616" t="e">
        <f t="shared" ref="CH728:CN728" si="879">CH727-CH704</f>
        <v>#N/A</v>
      </c>
      <c r="CI728" s="616" t="e">
        <f t="shared" si="879"/>
        <v>#N/A</v>
      </c>
      <c r="CJ728" s="616" t="e">
        <f t="shared" si="879"/>
        <v>#N/A</v>
      </c>
      <c r="CK728" s="616" t="e">
        <f t="shared" si="879"/>
        <v>#N/A</v>
      </c>
      <c r="CL728" s="616" t="e">
        <f t="shared" si="879"/>
        <v>#N/A</v>
      </c>
      <c r="CM728" s="616" t="e">
        <f t="shared" si="879"/>
        <v>#N/A</v>
      </c>
      <c r="CN728" s="616" t="e">
        <f t="shared" si="879"/>
        <v>#N/A</v>
      </c>
    </row>
    <row r="729" spans="8:92" ht="13.5" thickBot="1">
      <c r="H729" s="602" t="s">
        <v>940</v>
      </c>
    </row>
    <row r="730" spans="8:92" ht="13.5" thickTop="1">
      <c r="H730" s="602" t="s">
        <v>940</v>
      </c>
      <c r="L730" s="757" t="s">
        <v>1316</v>
      </c>
      <c r="M730" s="758"/>
      <c r="N730" s="758"/>
      <c r="O730" s="758"/>
      <c r="P730" s="758"/>
      <c r="Q730" s="758"/>
      <c r="R730" s="758"/>
      <c r="S730" s="758"/>
      <c r="T730" s="758"/>
      <c r="U730" s="758"/>
      <c r="V730" s="758"/>
      <c r="W730" s="758"/>
      <c r="X730" s="758"/>
      <c r="Y730" s="758"/>
      <c r="Z730" s="758"/>
      <c r="AA730" s="758"/>
      <c r="AB730" s="758"/>
      <c r="AC730" s="758"/>
      <c r="AD730" s="758"/>
      <c r="AE730" s="758"/>
      <c r="AF730" s="758"/>
      <c r="AG730" s="758"/>
      <c r="AH730" s="758"/>
      <c r="AI730" s="758"/>
      <c r="AJ730" s="758"/>
      <c r="AK730" s="758"/>
      <c r="AL730" s="758"/>
      <c r="AM730" s="758"/>
      <c r="AN730" s="758"/>
      <c r="AO730" s="758"/>
      <c r="AP730" s="758"/>
      <c r="AQ730" s="758"/>
      <c r="AR730" s="758"/>
      <c r="AS730" s="758"/>
      <c r="AT730" s="758"/>
      <c r="AU730" s="758"/>
      <c r="AV730" s="758"/>
      <c r="AW730" s="758"/>
      <c r="AX730" s="758"/>
      <c r="AY730" s="758"/>
      <c r="AZ730" s="758"/>
      <c r="BA730" s="758"/>
      <c r="BB730" s="758"/>
      <c r="BC730" s="758"/>
      <c r="BD730" s="758"/>
      <c r="BE730" s="758"/>
      <c r="BF730" s="758"/>
      <c r="BG730" s="758"/>
      <c r="BH730" s="758"/>
      <c r="BI730" s="758"/>
      <c r="BJ730" s="758"/>
      <c r="BK730" s="758"/>
      <c r="BL730" s="758"/>
      <c r="BM730" s="758"/>
      <c r="BN730" s="758"/>
      <c r="BO730" s="758"/>
      <c r="BP730" s="758"/>
      <c r="BQ730" s="758"/>
      <c r="BR730" s="758"/>
      <c r="BS730" s="758"/>
      <c r="BT730" s="758"/>
      <c r="BU730" s="758"/>
      <c r="BV730" s="758"/>
      <c r="BW730" s="758"/>
      <c r="BX730" s="758"/>
      <c r="BY730" s="758"/>
      <c r="BZ730" s="758"/>
      <c r="CA730" s="758"/>
      <c r="CB730" s="758"/>
      <c r="CC730" s="758"/>
      <c r="CD730" s="758"/>
      <c r="CE730" s="758"/>
      <c r="CF730" s="758"/>
      <c r="CG730" s="758"/>
      <c r="CH730" s="758"/>
      <c r="CI730" s="758"/>
      <c r="CJ730" s="758"/>
      <c r="CK730" s="758"/>
      <c r="CL730" s="758"/>
      <c r="CM730" s="758"/>
      <c r="CN730" s="758"/>
    </row>
    <row r="731" spans="8:92">
      <c r="H731" s="602" t="s">
        <v>940</v>
      </c>
      <c r="L731" s="609"/>
      <c r="M731" s="609" t="s">
        <v>359</v>
      </c>
      <c r="N731" s="704" t="s">
        <v>929</v>
      </c>
      <c r="O731" s="704" t="s">
        <v>1193</v>
      </c>
      <c r="P731" s="704" t="s">
        <v>1194</v>
      </c>
      <c r="Q731" s="704" t="s">
        <v>1195</v>
      </c>
      <c r="R731" s="704" t="s">
        <v>1196</v>
      </c>
      <c r="S731" s="704" t="s">
        <v>1197</v>
      </c>
      <c r="T731" s="753"/>
      <c r="U731" s="692" t="s">
        <v>929</v>
      </c>
      <c r="AF731" s="753"/>
      <c r="AG731" s="704" t="s">
        <v>1193</v>
      </c>
      <c r="AR731" s="753"/>
      <c r="AS731" s="704" t="s">
        <v>1194</v>
      </c>
      <c r="BD731" s="753"/>
      <c r="BE731" s="704" t="s">
        <v>1195</v>
      </c>
      <c r="BP731" s="753"/>
      <c r="BQ731" s="704" t="s">
        <v>1196</v>
      </c>
      <c r="CB731" s="753"/>
      <c r="CC731" s="704" t="s">
        <v>1197</v>
      </c>
    </row>
    <row r="732" spans="8:92">
      <c r="H732" s="602" t="s">
        <v>940</v>
      </c>
      <c r="L732" s="611"/>
      <c r="M732" s="611"/>
      <c r="N732" s="754" t="s">
        <v>405</v>
      </c>
      <c r="O732" s="754" t="s">
        <v>405</v>
      </c>
      <c r="P732" s="754" t="s">
        <v>405</v>
      </c>
      <c r="Q732" s="754" t="s">
        <v>405</v>
      </c>
      <c r="R732" s="754" t="s">
        <v>405</v>
      </c>
      <c r="S732" s="754" t="s">
        <v>405</v>
      </c>
      <c r="T732" s="755"/>
      <c r="U732" s="754" t="s">
        <v>1259</v>
      </c>
      <c r="V732" s="754" t="s">
        <v>1260</v>
      </c>
      <c r="W732" s="754" t="s">
        <v>1261</v>
      </c>
      <c r="X732" s="754" t="s">
        <v>1262</v>
      </c>
      <c r="Y732" s="754" t="s">
        <v>947</v>
      </c>
      <c r="Z732" s="754" t="s">
        <v>1263</v>
      </c>
      <c r="AA732" s="754" t="s">
        <v>1264</v>
      </c>
      <c r="AB732" s="754" t="s">
        <v>1265</v>
      </c>
      <c r="AC732" s="754" t="s">
        <v>1266</v>
      </c>
      <c r="AD732" s="754" t="s">
        <v>1267</v>
      </c>
      <c r="AE732" s="754" t="s">
        <v>1268</v>
      </c>
      <c r="AF732" s="756" t="s">
        <v>1269</v>
      </c>
      <c r="AG732" s="754" t="s">
        <v>1259</v>
      </c>
      <c r="AH732" s="754" t="s">
        <v>1260</v>
      </c>
      <c r="AI732" s="754" t="s">
        <v>1261</v>
      </c>
      <c r="AJ732" s="754" t="s">
        <v>1262</v>
      </c>
      <c r="AK732" s="754" t="s">
        <v>947</v>
      </c>
      <c r="AL732" s="754" t="s">
        <v>1263</v>
      </c>
      <c r="AM732" s="754" t="s">
        <v>1264</v>
      </c>
      <c r="AN732" s="754" t="s">
        <v>1265</v>
      </c>
      <c r="AO732" s="754" t="s">
        <v>1266</v>
      </c>
      <c r="AP732" s="754" t="s">
        <v>1267</v>
      </c>
      <c r="AQ732" s="754" t="s">
        <v>1268</v>
      </c>
      <c r="AR732" s="756" t="s">
        <v>1269</v>
      </c>
      <c r="AS732" s="754" t="s">
        <v>1259</v>
      </c>
      <c r="AT732" s="754" t="s">
        <v>1260</v>
      </c>
      <c r="AU732" s="754" t="s">
        <v>1261</v>
      </c>
      <c r="AV732" s="754" t="s">
        <v>1262</v>
      </c>
      <c r="AW732" s="754" t="s">
        <v>947</v>
      </c>
      <c r="AX732" s="754" t="s">
        <v>1263</v>
      </c>
      <c r="AY732" s="754" t="s">
        <v>1264</v>
      </c>
      <c r="AZ732" s="754" t="s">
        <v>1265</v>
      </c>
      <c r="BA732" s="754" t="s">
        <v>1266</v>
      </c>
      <c r="BB732" s="754" t="s">
        <v>1267</v>
      </c>
      <c r="BC732" s="754" t="s">
        <v>1268</v>
      </c>
      <c r="BD732" s="756" t="s">
        <v>1269</v>
      </c>
      <c r="BE732" s="754" t="s">
        <v>1259</v>
      </c>
      <c r="BF732" s="754" t="s">
        <v>1260</v>
      </c>
      <c r="BG732" s="754" t="s">
        <v>1261</v>
      </c>
      <c r="BH732" s="754" t="s">
        <v>1262</v>
      </c>
      <c r="BI732" s="754" t="s">
        <v>947</v>
      </c>
      <c r="BJ732" s="754" t="s">
        <v>1263</v>
      </c>
      <c r="BK732" s="754" t="s">
        <v>1264</v>
      </c>
      <c r="BL732" s="754" t="s">
        <v>1265</v>
      </c>
      <c r="BM732" s="754" t="s">
        <v>1266</v>
      </c>
      <c r="BN732" s="754" t="s">
        <v>1267</v>
      </c>
      <c r="BO732" s="754" t="s">
        <v>1268</v>
      </c>
      <c r="BP732" s="756" t="s">
        <v>1269</v>
      </c>
      <c r="BQ732" s="754" t="s">
        <v>1259</v>
      </c>
      <c r="BR732" s="754" t="s">
        <v>1260</v>
      </c>
      <c r="BS732" s="754" t="s">
        <v>1261</v>
      </c>
      <c r="BT732" s="754" t="s">
        <v>1262</v>
      </c>
      <c r="BU732" s="754" t="s">
        <v>947</v>
      </c>
      <c r="BV732" s="754" t="s">
        <v>1263</v>
      </c>
      <c r="BW732" s="754" t="s">
        <v>1264</v>
      </c>
      <c r="BX732" s="754" t="s">
        <v>1265</v>
      </c>
      <c r="BY732" s="754" t="s">
        <v>1266</v>
      </c>
      <c r="BZ732" s="754" t="s">
        <v>1267</v>
      </c>
      <c r="CA732" s="754" t="s">
        <v>1268</v>
      </c>
      <c r="CB732" s="756" t="s">
        <v>1269</v>
      </c>
      <c r="CC732" s="754" t="s">
        <v>1259</v>
      </c>
      <c r="CD732" s="754" t="s">
        <v>1260</v>
      </c>
      <c r="CE732" s="754" t="s">
        <v>1261</v>
      </c>
      <c r="CF732" s="754" t="s">
        <v>1262</v>
      </c>
      <c r="CG732" s="754" t="s">
        <v>947</v>
      </c>
      <c r="CH732" s="754" t="s">
        <v>1263</v>
      </c>
      <c r="CI732" s="754" t="s">
        <v>1264</v>
      </c>
      <c r="CJ732" s="754" t="s">
        <v>1265</v>
      </c>
      <c r="CK732" s="754" t="s">
        <v>1266</v>
      </c>
      <c r="CL732" s="754" t="s">
        <v>1267</v>
      </c>
      <c r="CM732" s="754" t="s">
        <v>1268</v>
      </c>
      <c r="CN732" s="754" t="s">
        <v>1269</v>
      </c>
    </row>
    <row r="733" spans="8:92">
      <c r="H733" s="602" t="s">
        <v>940</v>
      </c>
    </row>
    <row r="734" spans="8:92">
      <c r="H734" s="602" t="s">
        <v>940</v>
      </c>
      <c r="L734" s="618" t="s">
        <v>1290</v>
      </c>
      <c r="M734" s="600" t="str">
        <f>$M$496</f>
        <v>Therms</v>
      </c>
      <c r="N734" s="615" t="e">
        <f>SUM(U734:AF734)</f>
        <v>#N/A</v>
      </c>
      <c r="O734" s="615" t="e">
        <f>SUM(AG734:AR734)</f>
        <v>#N/A</v>
      </c>
      <c r="P734" s="615" t="e">
        <f>SUM(AS734:BD734)</f>
        <v>#N/A</v>
      </c>
      <c r="Q734" s="615" t="e">
        <f>SUM(BE734:BP734)</f>
        <v>#N/A</v>
      </c>
      <c r="R734" s="615" t="e">
        <f>SUM(BQ734:CB734)</f>
        <v>#N/A</v>
      </c>
      <c r="S734" s="615" t="e">
        <f>SUM(CC734:CN734)</f>
        <v>#N/A</v>
      </c>
      <c r="U734" s="616" t="e">
        <f>U498</f>
        <v>#N/A</v>
      </c>
      <c r="V734" s="616" t="e">
        <f t="shared" ref="V734:CG734" si="880">V498</f>
        <v>#N/A</v>
      </c>
      <c r="W734" s="616" t="e">
        <f t="shared" si="880"/>
        <v>#N/A</v>
      </c>
      <c r="X734" s="616" t="e">
        <f t="shared" si="880"/>
        <v>#N/A</v>
      </c>
      <c r="Y734" s="616" t="e">
        <f t="shared" si="880"/>
        <v>#N/A</v>
      </c>
      <c r="Z734" s="616" t="e">
        <f t="shared" si="880"/>
        <v>#N/A</v>
      </c>
      <c r="AA734" s="616" t="e">
        <f t="shared" si="880"/>
        <v>#N/A</v>
      </c>
      <c r="AB734" s="616" t="e">
        <f t="shared" si="880"/>
        <v>#N/A</v>
      </c>
      <c r="AC734" s="616" t="e">
        <f t="shared" si="880"/>
        <v>#N/A</v>
      </c>
      <c r="AD734" s="616" t="e">
        <f t="shared" si="880"/>
        <v>#N/A</v>
      </c>
      <c r="AE734" s="616" t="e">
        <f t="shared" si="880"/>
        <v>#N/A</v>
      </c>
      <c r="AF734" s="616" t="e">
        <f t="shared" si="880"/>
        <v>#N/A</v>
      </c>
      <c r="AG734" s="616" t="e">
        <f t="shared" si="880"/>
        <v>#N/A</v>
      </c>
      <c r="AH734" s="616" t="e">
        <f t="shared" si="880"/>
        <v>#N/A</v>
      </c>
      <c r="AI734" s="616" t="e">
        <f t="shared" si="880"/>
        <v>#N/A</v>
      </c>
      <c r="AJ734" s="616" t="e">
        <f t="shared" si="880"/>
        <v>#N/A</v>
      </c>
      <c r="AK734" s="616" t="e">
        <f t="shared" si="880"/>
        <v>#N/A</v>
      </c>
      <c r="AL734" s="616" t="e">
        <f t="shared" si="880"/>
        <v>#N/A</v>
      </c>
      <c r="AM734" s="616" t="e">
        <f t="shared" si="880"/>
        <v>#N/A</v>
      </c>
      <c r="AN734" s="616" t="e">
        <f t="shared" si="880"/>
        <v>#N/A</v>
      </c>
      <c r="AO734" s="616" t="e">
        <f t="shared" si="880"/>
        <v>#N/A</v>
      </c>
      <c r="AP734" s="616" t="e">
        <f t="shared" si="880"/>
        <v>#N/A</v>
      </c>
      <c r="AQ734" s="616" t="e">
        <f t="shared" si="880"/>
        <v>#N/A</v>
      </c>
      <c r="AR734" s="616" t="e">
        <f t="shared" si="880"/>
        <v>#N/A</v>
      </c>
      <c r="AS734" s="616" t="e">
        <f t="shared" si="880"/>
        <v>#N/A</v>
      </c>
      <c r="AT734" s="616" t="e">
        <f t="shared" si="880"/>
        <v>#N/A</v>
      </c>
      <c r="AU734" s="616" t="e">
        <f t="shared" si="880"/>
        <v>#N/A</v>
      </c>
      <c r="AV734" s="616" t="e">
        <f t="shared" si="880"/>
        <v>#N/A</v>
      </c>
      <c r="AW734" s="616" t="e">
        <f t="shared" si="880"/>
        <v>#N/A</v>
      </c>
      <c r="AX734" s="616" t="e">
        <f t="shared" si="880"/>
        <v>#N/A</v>
      </c>
      <c r="AY734" s="616" t="e">
        <f t="shared" si="880"/>
        <v>#N/A</v>
      </c>
      <c r="AZ734" s="616" t="e">
        <f t="shared" si="880"/>
        <v>#N/A</v>
      </c>
      <c r="BA734" s="616" t="e">
        <f t="shared" si="880"/>
        <v>#N/A</v>
      </c>
      <c r="BB734" s="616" t="e">
        <f t="shared" si="880"/>
        <v>#N/A</v>
      </c>
      <c r="BC734" s="616" t="e">
        <f t="shared" si="880"/>
        <v>#N/A</v>
      </c>
      <c r="BD734" s="616" t="e">
        <f t="shared" si="880"/>
        <v>#N/A</v>
      </c>
      <c r="BE734" s="616" t="e">
        <f t="shared" si="880"/>
        <v>#N/A</v>
      </c>
      <c r="BF734" s="616" t="e">
        <f t="shared" si="880"/>
        <v>#N/A</v>
      </c>
      <c r="BG734" s="616" t="e">
        <f t="shared" si="880"/>
        <v>#N/A</v>
      </c>
      <c r="BH734" s="616" t="e">
        <f t="shared" si="880"/>
        <v>#N/A</v>
      </c>
      <c r="BI734" s="616" t="e">
        <f t="shared" si="880"/>
        <v>#N/A</v>
      </c>
      <c r="BJ734" s="616" t="e">
        <f t="shared" si="880"/>
        <v>#N/A</v>
      </c>
      <c r="BK734" s="616" t="e">
        <f t="shared" si="880"/>
        <v>#N/A</v>
      </c>
      <c r="BL734" s="616" t="e">
        <f t="shared" si="880"/>
        <v>#N/A</v>
      </c>
      <c r="BM734" s="616" t="e">
        <f t="shared" si="880"/>
        <v>#N/A</v>
      </c>
      <c r="BN734" s="616" t="e">
        <f t="shared" si="880"/>
        <v>#N/A</v>
      </c>
      <c r="BO734" s="616" t="e">
        <f t="shared" si="880"/>
        <v>#N/A</v>
      </c>
      <c r="BP734" s="616" t="e">
        <f t="shared" si="880"/>
        <v>#N/A</v>
      </c>
      <c r="BQ734" s="616" t="e">
        <f t="shared" si="880"/>
        <v>#N/A</v>
      </c>
      <c r="BR734" s="616" t="e">
        <f t="shared" si="880"/>
        <v>#N/A</v>
      </c>
      <c r="BS734" s="616" t="e">
        <f t="shared" si="880"/>
        <v>#N/A</v>
      </c>
      <c r="BT734" s="616" t="e">
        <f t="shared" si="880"/>
        <v>#N/A</v>
      </c>
      <c r="BU734" s="616" t="e">
        <f t="shared" si="880"/>
        <v>#N/A</v>
      </c>
      <c r="BV734" s="616" t="e">
        <f t="shared" si="880"/>
        <v>#N/A</v>
      </c>
      <c r="BW734" s="616" t="e">
        <f t="shared" si="880"/>
        <v>#N/A</v>
      </c>
      <c r="BX734" s="616" t="e">
        <f t="shared" si="880"/>
        <v>#N/A</v>
      </c>
      <c r="BY734" s="616" t="e">
        <f t="shared" si="880"/>
        <v>#N/A</v>
      </c>
      <c r="BZ734" s="616" t="e">
        <f t="shared" si="880"/>
        <v>#N/A</v>
      </c>
      <c r="CA734" s="616" t="e">
        <f t="shared" si="880"/>
        <v>#N/A</v>
      </c>
      <c r="CB734" s="616" t="e">
        <f t="shared" si="880"/>
        <v>#N/A</v>
      </c>
      <c r="CC734" s="616" t="e">
        <f t="shared" si="880"/>
        <v>#N/A</v>
      </c>
      <c r="CD734" s="616" t="e">
        <f t="shared" si="880"/>
        <v>#N/A</v>
      </c>
      <c r="CE734" s="616" t="e">
        <f t="shared" si="880"/>
        <v>#N/A</v>
      </c>
      <c r="CF734" s="616" t="e">
        <f t="shared" si="880"/>
        <v>#N/A</v>
      </c>
      <c r="CG734" s="616" t="e">
        <f t="shared" si="880"/>
        <v>#N/A</v>
      </c>
      <c r="CH734" s="616" t="e">
        <f t="shared" ref="CH734:CN734" si="881">CH498</f>
        <v>#N/A</v>
      </c>
      <c r="CI734" s="616" t="e">
        <f t="shared" si="881"/>
        <v>#N/A</v>
      </c>
      <c r="CJ734" s="616" t="e">
        <f t="shared" si="881"/>
        <v>#N/A</v>
      </c>
      <c r="CK734" s="616" t="e">
        <f t="shared" si="881"/>
        <v>#N/A</v>
      </c>
      <c r="CL734" s="616" t="e">
        <f t="shared" si="881"/>
        <v>#N/A</v>
      </c>
      <c r="CM734" s="616" t="e">
        <f t="shared" si="881"/>
        <v>#N/A</v>
      </c>
      <c r="CN734" s="616" t="e">
        <f t="shared" si="881"/>
        <v>#N/A</v>
      </c>
    </row>
    <row r="735" spans="8:92">
      <c r="H735" s="602" t="s">
        <v>940</v>
      </c>
      <c r="L735" s="609"/>
      <c r="N735" s="615"/>
      <c r="O735" s="615"/>
      <c r="P735" s="615"/>
      <c r="Q735" s="615"/>
      <c r="R735" s="615"/>
      <c r="S735" s="615"/>
    </row>
    <row r="736" spans="8:92">
      <c r="H736" s="602" t="s">
        <v>940</v>
      </c>
      <c r="L736" s="618" t="s">
        <v>1296</v>
      </c>
      <c r="M736" s="600" t="str">
        <f>$M$496</f>
        <v>Therms</v>
      </c>
      <c r="N736" s="615" t="e">
        <f>SUM(U736:AF736)</f>
        <v>#N/A</v>
      </c>
      <c r="O736" s="615" t="e">
        <f>SUM(AG736:AR736)</f>
        <v>#N/A</v>
      </c>
      <c r="P736" s="615" t="e">
        <f>SUM(AS736:BD736)</f>
        <v>#N/A</v>
      </c>
      <c r="Q736" s="615" t="e">
        <f>SUM(BE736:BP736)</f>
        <v>#N/A</v>
      </c>
      <c r="R736" s="615" t="e">
        <f>SUM(BQ736:CB736)</f>
        <v>#N/A</v>
      </c>
      <c r="S736" s="615" t="e">
        <f>SUM(CC736:CN736)</f>
        <v>#N/A</v>
      </c>
      <c r="U736" s="616" t="e">
        <f t="shared" ref="U736:AF736" si="882">MIN(U734,N$442)</f>
        <v>#N/A</v>
      </c>
      <c r="V736" s="616" t="e">
        <f t="shared" si="882"/>
        <v>#N/A</v>
      </c>
      <c r="W736" s="616" t="e">
        <f t="shared" si="882"/>
        <v>#N/A</v>
      </c>
      <c r="X736" s="616" t="e">
        <f t="shared" si="882"/>
        <v>#N/A</v>
      </c>
      <c r="Y736" s="616" t="e">
        <f t="shared" si="882"/>
        <v>#N/A</v>
      </c>
      <c r="Z736" s="616" t="e">
        <f t="shared" si="882"/>
        <v>#N/A</v>
      </c>
      <c r="AA736" s="616" t="e">
        <f t="shared" si="882"/>
        <v>#N/A</v>
      </c>
      <c r="AB736" s="616" t="e">
        <f t="shared" si="882"/>
        <v>#N/A</v>
      </c>
      <c r="AC736" s="616" t="e">
        <f t="shared" si="882"/>
        <v>#N/A</v>
      </c>
      <c r="AD736" s="616" t="e">
        <f t="shared" si="882"/>
        <v>#N/A</v>
      </c>
      <c r="AE736" s="616" t="e">
        <f t="shared" si="882"/>
        <v>#N/A</v>
      </c>
      <c r="AF736" s="616" t="e">
        <f t="shared" si="882"/>
        <v>#N/A</v>
      </c>
      <c r="AG736" s="616" t="e">
        <f t="shared" ref="AG736:AR736" si="883">MIN(AG734,N$442)</f>
        <v>#N/A</v>
      </c>
      <c r="AH736" s="616" t="e">
        <f t="shared" si="883"/>
        <v>#N/A</v>
      </c>
      <c r="AI736" s="616" t="e">
        <f t="shared" si="883"/>
        <v>#N/A</v>
      </c>
      <c r="AJ736" s="616" t="e">
        <f t="shared" si="883"/>
        <v>#N/A</v>
      </c>
      <c r="AK736" s="616" t="e">
        <f t="shared" si="883"/>
        <v>#N/A</v>
      </c>
      <c r="AL736" s="616" t="e">
        <f t="shared" si="883"/>
        <v>#N/A</v>
      </c>
      <c r="AM736" s="616" t="e">
        <f t="shared" si="883"/>
        <v>#N/A</v>
      </c>
      <c r="AN736" s="616" t="e">
        <f t="shared" si="883"/>
        <v>#N/A</v>
      </c>
      <c r="AO736" s="616" t="e">
        <f t="shared" si="883"/>
        <v>#N/A</v>
      </c>
      <c r="AP736" s="616" t="e">
        <f t="shared" si="883"/>
        <v>#N/A</v>
      </c>
      <c r="AQ736" s="616" t="e">
        <f t="shared" si="883"/>
        <v>#N/A</v>
      </c>
      <c r="AR736" s="616" t="e">
        <f t="shared" si="883"/>
        <v>#N/A</v>
      </c>
      <c r="AS736" s="616" t="e">
        <f t="shared" ref="AS736:BD736" si="884">MIN(AS734,N$442)</f>
        <v>#N/A</v>
      </c>
      <c r="AT736" s="616" t="e">
        <f t="shared" si="884"/>
        <v>#N/A</v>
      </c>
      <c r="AU736" s="616" t="e">
        <f t="shared" si="884"/>
        <v>#N/A</v>
      </c>
      <c r="AV736" s="616" t="e">
        <f t="shared" si="884"/>
        <v>#N/A</v>
      </c>
      <c r="AW736" s="616" t="e">
        <f t="shared" si="884"/>
        <v>#N/A</v>
      </c>
      <c r="AX736" s="616" t="e">
        <f t="shared" si="884"/>
        <v>#N/A</v>
      </c>
      <c r="AY736" s="616" t="e">
        <f t="shared" si="884"/>
        <v>#N/A</v>
      </c>
      <c r="AZ736" s="616" t="e">
        <f t="shared" si="884"/>
        <v>#N/A</v>
      </c>
      <c r="BA736" s="616" t="e">
        <f t="shared" si="884"/>
        <v>#N/A</v>
      </c>
      <c r="BB736" s="616" t="e">
        <f t="shared" si="884"/>
        <v>#N/A</v>
      </c>
      <c r="BC736" s="616" t="e">
        <f t="shared" si="884"/>
        <v>#N/A</v>
      </c>
      <c r="BD736" s="616" t="e">
        <f t="shared" si="884"/>
        <v>#N/A</v>
      </c>
      <c r="BE736" s="616" t="e">
        <f t="shared" ref="BE736:BP736" si="885">MIN(BE734,N$442)</f>
        <v>#N/A</v>
      </c>
      <c r="BF736" s="616" t="e">
        <f t="shared" si="885"/>
        <v>#N/A</v>
      </c>
      <c r="BG736" s="616" t="e">
        <f t="shared" si="885"/>
        <v>#N/A</v>
      </c>
      <c r="BH736" s="616" t="e">
        <f t="shared" si="885"/>
        <v>#N/A</v>
      </c>
      <c r="BI736" s="616" t="e">
        <f t="shared" si="885"/>
        <v>#N/A</v>
      </c>
      <c r="BJ736" s="616" t="e">
        <f t="shared" si="885"/>
        <v>#N/A</v>
      </c>
      <c r="BK736" s="616" t="e">
        <f t="shared" si="885"/>
        <v>#N/A</v>
      </c>
      <c r="BL736" s="616" t="e">
        <f t="shared" si="885"/>
        <v>#N/A</v>
      </c>
      <c r="BM736" s="616" t="e">
        <f t="shared" si="885"/>
        <v>#N/A</v>
      </c>
      <c r="BN736" s="616" t="e">
        <f t="shared" si="885"/>
        <v>#N/A</v>
      </c>
      <c r="BO736" s="616" t="e">
        <f t="shared" si="885"/>
        <v>#N/A</v>
      </c>
      <c r="BP736" s="616" t="e">
        <f t="shared" si="885"/>
        <v>#N/A</v>
      </c>
      <c r="BQ736" s="616" t="e">
        <f t="shared" ref="BQ736:CB736" si="886">MIN(BQ734,N$442)</f>
        <v>#N/A</v>
      </c>
      <c r="BR736" s="616" t="e">
        <f t="shared" si="886"/>
        <v>#N/A</v>
      </c>
      <c r="BS736" s="616" t="e">
        <f t="shared" si="886"/>
        <v>#N/A</v>
      </c>
      <c r="BT736" s="616" t="e">
        <f t="shared" si="886"/>
        <v>#N/A</v>
      </c>
      <c r="BU736" s="616" t="e">
        <f t="shared" si="886"/>
        <v>#N/A</v>
      </c>
      <c r="BV736" s="616" t="e">
        <f t="shared" si="886"/>
        <v>#N/A</v>
      </c>
      <c r="BW736" s="616" t="e">
        <f t="shared" si="886"/>
        <v>#N/A</v>
      </c>
      <c r="BX736" s="616" t="e">
        <f t="shared" si="886"/>
        <v>#N/A</v>
      </c>
      <c r="BY736" s="616" t="e">
        <f t="shared" si="886"/>
        <v>#N/A</v>
      </c>
      <c r="BZ736" s="616" t="e">
        <f t="shared" si="886"/>
        <v>#N/A</v>
      </c>
      <c r="CA736" s="616" t="e">
        <f t="shared" si="886"/>
        <v>#N/A</v>
      </c>
      <c r="CB736" s="616" t="e">
        <f t="shared" si="886"/>
        <v>#N/A</v>
      </c>
      <c r="CC736" s="616" t="e">
        <f t="shared" ref="CC736:CN736" si="887">MIN(CC734,N$442)</f>
        <v>#N/A</v>
      </c>
      <c r="CD736" s="616" t="e">
        <f t="shared" si="887"/>
        <v>#N/A</v>
      </c>
      <c r="CE736" s="616" t="e">
        <f t="shared" si="887"/>
        <v>#N/A</v>
      </c>
      <c r="CF736" s="616" t="e">
        <f t="shared" si="887"/>
        <v>#N/A</v>
      </c>
      <c r="CG736" s="616" t="e">
        <f t="shared" si="887"/>
        <v>#N/A</v>
      </c>
      <c r="CH736" s="616" t="e">
        <f t="shared" si="887"/>
        <v>#N/A</v>
      </c>
      <c r="CI736" s="616" t="e">
        <f t="shared" si="887"/>
        <v>#N/A</v>
      </c>
      <c r="CJ736" s="616" t="e">
        <f t="shared" si="887"/>
        <v>#N/A</v>
      </c>
      <c r="CK736" s="616" t="e">
        <f t="shared" si="887"/>
        <v>#N/A</v>
      </c>
      <c r="CL736" s="616" t="e">
        <f t="shared" si="887"/>
        <v>#N/A</v>
      </c>
      <c r="CM736" s="616" t="e">
        <f t="shared" si="887"/>
        <v>#N/A</v>
      </c>
      <c r="CN736" s="616" t="e">
        <f t="shared" si="887"/>
        <v>#N/A</v>
      </c>
    </row>
    <row r="737" spans="8:92">
      <c r="H737" s="602" t="s">
        <v>940</v>
      </c>
      <c r="L737" s="618" t="s">
        <v>1297</v>
      </c>
      <c r="M737" s="600" t="str">
        <f>$M$496</f>
        <v>Therms</v>
      </c>
      <c r="N737" s="615" t="e">
        <f>SUM(U737:AF737)</f>
        <v>#N/A</v>
      </c>
      <c r="O737" s="615" t="e">
        <f>SUM(AG737:AR737)</f>
        <v>#N/A</v>
      </c>
      <c r="P737" s="615" t="e">
        <f>SUM(AS737:BD737)</f>
        <v>#N/A</v>
      </c>
      <c r="Q737" s="615" t="e">
        <f>SUM(BE737:BP737)</f>
        <v>#N/A</v>
      </c>
      <c r="R737" s="615" t="e">
        <f>SUM(BQ737:CB737)</f>
        <v>#N/A</v>
      </c>
      <c r="S737" s="615" t="e">
        <f>SUM(CC737:CN737)</f>
        <v>#N/A</v>
      </c>
      <c r="U737" s="616" t="e">
        <f t="shared" ref="U737:AF737" si="888">MIN(U734-U736,N$443)</f>
        <v>#N/A</v>
      </c>
      <c r="V737" s="616" t="e">
        <f t="shared" si="888"/>
        <v>#N/A</v>
      </c>
      <c r="W737" s="616" t="e">
        <f t="shared" si="888"/>
        <v>#N/A</v>
      </c>
      <c r="X737" s="616" t="e">
        <f t="shared" si="888"/>
        <v>#N/A</v>
      </c>
      <c r="Y737" s="616" t="e">
        <f t="shared" si="888"/>
        <v>#N/A</v>
      </c>
      <c r="Z737" s="616" t="e">
        <f t="shared" si="888"/>
        <v>#N/A</v>
      </c>
      <c r="AA737" s="616" t="e">
        <f t="shared" si="888"/>
        <v>#N/A</v>
      </c>
      <c r="AB737" s="616" t="e">
        <f t="shared" si="888"/>
        <v>#N/A</v>
      </c>
      <c r="AC737" s="616" t="e">
        <f t="shared" si="888"/>
        <v>#N/A</v>
      </c>
      <c r="AD737" s="616" t="e">
        <f t="shared" si="888"/>
        <v>#N/A</v>
      </c>
      <c r="AE737" s="616" t="e">
        <f t="shared" si="888"/>
        <v>#N/A</v>
      </c>
      <c r="AF737" s="616" t="e">
        <f t="shared" si="888"/>
        <v>#N/A</v>
      </c>
      <c r="AG737" s="616" t="e">
        <f t="shared" ref="AG737:AR737" si="889">MIN(AG734-AG736,N$443)</f>
        <v>#N/A</v>
      </c>
      <c r="AH737" s="616" t="e">
        <f t="shared" si="889"/>
        <v>#N/A</v>
      </c>
      <c r="AI737" s="616" t="e">
        <f t="shared" si="889"/>
        <v>#N/A</v>
      </c>
      <c r="AJ737" s="616" t="e">
        <f t="shared" si="889"/>
        <v>#N/A</v>
      </c>
      <c r="AK737" s="616" t="e">
        <f t="shared" si="889"/>
        <v>#N/A</v>
      </c>
      <c r="AL737" s="616" t="e">
        <f t="shared" si="889"/>
        <v>#N/A</v>
      </c>
      <c r="AM737" s="616" t="e">
        <f t="shared" si="889"/>
        <v>#N/A</v>
      </c>
      <c r="AN737" s="616" t="e">
        <f t="shared" si="889"/>
        <v>#N/A</v>
      </c>
      <c r="AO737" s="616" t="e">
        <f t="shared" si="889"/>
        <v>#N/A</v>
      </c>
      <c r="AP737" s="616" t="e">
        <f t="shared" si="889"/>
        <v>#N/A</v>
      </c>
      <c r="AQ737" s="616" t="e">
        <f t="shared" si="889"/>
        <v>#N/A</v>
      </c>
      <c r="AR737" s="616" t="e">
        <f t="shared" si="889"/>
        <v>#N/A</v>
      </c>
      <c r="AS737" s="616" t="e">
        <f t="shared" ref="AS737:BD737" si="890">MIN(AS734-AS736,N$443)</f>
        <v>#N/A</v>
      </c>
      <c r="AT737" s="616" t="e">
        <f t="shared" si="890"/>
        <v>#N/A</v>
      </c>
      <c r="AU737" s="616" t="e">
        <f t="shared" si="890"/>
        <v>#N/A</v>
      </c>
      <c r="AV737" s="616" t="e">
        <f t="shared" si="890"/>
        <v>#N/A</v>
      </c>
      <c r="AW737" s="616" t="e">
        <f t="shared" si="890"/>
        <v>#N/A</v>
      </c>
      <c r="AX737" s="616" t="e">
        <f t="shared" si="890"/>
        <v>#N/A</v>
      </c>
      <c r="AY737" s="616" t="e">
        <f t="shared" si="890"/>
        <v>#N/A</v>
      </c>
      <c r="AZ737" s="616" t="e">
        <f t="shared" si="890"/>
        <v>#N/A</v>
      </c>
      <c r="BA737" s="616" t="e">
        <f t="shared" si="890"/>
        <v>#N/A</v>
      </c>
      <c r="BB737" s="616" t="e">
        <f t="shared" si="890"/>
        <v>#N/A</v>
      </c>
      <c r="BC737" s="616" t="e">
        <f t="shared" si="890"/>
        <v>#N/A</v>
      </c>
      <c r="BD737" s="616" t="e">
        <f t="shared" si="890"/>
        <v>#N/A</v>
      </c>
      <c r="BE737" s="616" t="e">
        <f t="shared" ref="BE737:BP737" si="891">MIN(BE734-BE736,N$443)</f>
        <v>#N/A</v>
      </c>
      <c r="BF737" s="616" t="e">
        <f t="shared" si="891"/>
        <v>#N/A</v>
      </c>
      <c r="BG737" s="616" t="e">
        <f t="shared" si="891"/>
        <v>#N/A</v>
      </c>
      <c r="BH737" s="616" t="e">
        <f t="shared" si="891"/>
        <v>#N/A</v>
      </c>
      <c r="BI737" s="616" t="e">
        <f t="shared" si="891"/>
        <v>#N/A</v>
      </c>
      <c r="BJ737" s="616" t="e">
        <f t="shared" si="891"/>
        <v>#N/A</v>
      </c>
      <c r="BK737" s="616" t="e">
        <f t="shared" si="891"/>
        <v>#N/A</v>
      </c>
      <c r="BL737" s="616" t="e">
        <f t="shared" si="891"/>
        <v>#N/A</v>
      </c>
      <c r="BM737" s="616" t="e">
        <f t="shared" si="891"/>
        <v>#N/A</v>
      </c>
      <c r="BN737" s="616" t="e">
        <f t="shared" si="891"/>
        <v>#N/A</v>
      </c>
      <c r="BO737" s="616" t="e">
        <f t="shared" si="891"/>
        <v>#N/A</v>
      </c>
      <c r="BP737" s="616" t="e">
        <f t="shared" si="891"/>
        <v>#N/A</v>
      </c>
      <c r="BQ737" s="616" t="e">
        <f t="shared" ref="BQ737:CB737" si="892">MIN(BQ734-BQ736,N$443)</f>
        <v>#N/A</v>
      </c>
      <c r="BR737" s="616" t="e">
        <f t="shared" si="892"/>
        <v>#N/A</v>
      </c>
      <c r="BS737" s="616" t="e">
        <f t="shared" si="892"/>
        <v>#N/A</v>
      </c>
      <c r="BT737" s="616" t="e">
        <f t="shared" si="892"/>
        <v>#N/A</v>
      </c>
      <c r="BU737" s="616" t="e">
        <f t="shared" si="892"/>
        <v>#N/A</v>
      </c>
      <c r="BV737" s="616" t="e">
        <f t="shared" si="892"/>
        <v>#N/A</v>
      </c>
      <c r="BW737" s="616" t="e">
        <f t="shared" si="892"/>
        <v>#N/A</v>
      </c>
      <c r="BX737" s="616" t="e">
        <f t="shared" si="892"/>
        <v>#N/A</v>
      </c>
      <c r="BY737" s="616" t="e">
        <f t="shared" si="892"/>
        <v>#N/A</v>
      </c>
      <c r="BZ737" s="616" t="e">
        <f t="shared" si="892"/>
        <v>#N/A</v>
      </c>
      <c r="CA737" s="616" t="e">
        <f t="shared" si="892"/>
        <v>#N/A</v>
      </c>
      <c r="CB737" s="616" t="e">
        <f t="shared" si="892"/>
        <v>#N/A</v>
      </c>
      <c r="CC737" s="616" t="e">
        <f t="shared" ref="CC737:CN737" si="893">MIN(CC734-CC736,N$443)</f>
        <v>#N/A</v>
      </c>
      <c r="CD737" s="616" t="e">
        <f t="shared" si="893"/>
        <v>#N/A</v>
      </c>
      <c r="CE737" s="616" t="e">
        <f t="shared" si="893"/>
        <v>#N/A</v>
      </c>
      <c r="CF737" s="616" t="e">
        <f t="shared" si="893"/>
        <v>#N/A</v>
      </c>
      <c r="CG737" s="616" t="e">
        <f t="shared" si="893"/>
        <v>#N/A</v>
      </c>
      <c r="CH737" s="616" t="e">
        <f t="shared" si="893"/>
        <v>#N/A</v>
      </c>
      <c r="CI737" s="616" t="e">
        <f t="shared" si="893"/>
        <v>#N/A</v>
      </c>
      <c r="CJ737" s="616" t="e">
        <f t="shared" si="893"/>
        <v>#N/A</v>
      </c>
      <c r="CK737" s="616" t="e">
        <f t="shared" si="893"/>
        <v>#N/A</v>
      </c>
      <c r="CL737" s="616" t="e">
        <f t="shared" si="893"/>
        <v>#N/A</v>
      </c>
      <c r="CM737" s="616" t="e">
        <f t="shared" si="893"/>
        <v>#N/A</v>
      </c>
      <c r="CN737" s="616" t="e">
        <f t="shared" si="893"/>
        <v>#N/A</v>
      </c>
    </row>
    <row r="738" spans="8:92">
      <c r="H738" s="602" t="s">
        <v>940</v>
      </c>
      <c r="L738" s="618" t="s">
        <v>1298</v>
      </c>
      <c r="M738" s="600" t="str">
        <f>$M$496</f>
        <v>Therms</v>
      </c>
      <c r="N738" s="615" t="e">
        <f>SUM(U738:AF738)</f>
        <v>#N/A</v>
      </c>
      <c r="O738" s="615" t="e">
        <f>SUM(AG738:AR738)</f>
        <v>#N/A</v>
      </c>
      <c r="P738" s="615" t="e">
        <f>SUM(AS738:BD738)</f>
        <v>#N/A</v>
      </c>
      <c r="Q738" s="615" t="e">
        <f>SUM(BE738:BP738)</f>
        <v>#N/A</v>
      </c>
      <c r="R738" s="615" t="e">
        <f>SUM(BQ738:CB738)</f>
        <v>#N/A</v>
      </c>
      <c r="S738" s="615" t="e">
        <f>SUM(CC738:CN738)</f>
        <v>#N/A</v>
      </c>
      <c r="U738" s="616" t="e">
        <f t="shared" ref="U738:AF738" si="894">MIN(U734-(U736+U737),N$444)</f>
        <v>#N/A</v>
      </c>
      <c r="V738" s="616" t="e">
        <f t="shared" si="894"/>
        <v>#N/A</v>
      </c>
      <c r="W738" s="616" t="e">
        <f t="shared" si="894"/>
        <v>#N/A</v>
      </c>
      <c r="X738" s="616" t="e">
        <f t="shared" si="894"/>
        <v>#N/A</v>
      </c>
      <c r="Y738" s="616" t="e">
        <f t="shared" si="894"/>
        <v>#N/A</v>
      </c>
      <c r="Z738" s="616" t="e">
        <f t="shared" si="894"/>
        <v>#N/A</v>
      </c>
      <c r="AA738" s="616" t="e">
        <f t="shared" si="894"/>
        <v>#N/A</v>
      </c>
      <c r="AB738" s="616" t="e">
        <f t="shared" si="894"/>
        <v>#N/A</v>
      </c>
      <c r="AC738" s="616" t="e">
        <f t="shared" si="894"/>
        <v>#N/A</v>
      </c>
      <c r="AD738" s="616" t="e">
        <f t="shared" si="894"/>
        <v>#N/A</v>
      </c>
      <c r="AE738" s="616" t="e">
        <f t="shared" si="894"/>
        <v>#N/A</v>
      </c>
      <c r="AF738" s="616" t="e">
        <f t="shared" si="894"/>
        <v>#N/A</v>
      </c>
      <c r="AG738" s="616" t="e">
        <f t="shared" ref="AG738:AR738" si="895">MIN(AG734-(AG736+AG737),N$444)</f>
        <v>#N/A</v>
      </c>
      <c r="AH738" s="616" t="e">
        <f t="shared" si="895"/>
        <v>#N/A</v>
      </c>
      <c r="AI738" s="616" t="e">
        <f t="shared" si="895"/>
        <v>#N/A</v>
      </c>
      <c r="AJ738" s="616" t="e">
        <f t="shared" si="895"/>
        <v>#N/A</v>
      </c>
      <c r="AK738" s="616" t="e">
        <f t="shared" si="895"/>
        <v>#N/A</v>
      </c>
      <c r="AL738" s="616" t="e">
        <f t="shared" si="895"/>
        <v>#N/A</v>
      </c>
      <c r="AM738" s="616" t="e">
        <f t="shared" si="895"/>
        <v>#N/A</v>
      </c>
      <c r="AN738" s="616" t="e">
        <f t="shared" si="895"/>
        <v>#N/A</v>
      </c>
      <c r="AO738" s="616" t="e">
        <f t="shared" si="895"/>
        <v>#N/A</v>
      </c>
      <c r="AP738" s="616" t="e">
        <f t="shared" si="895"/>
        <v>#N/A</v>
      </c>
      <c r="AQ738" s="616" t="e">
        <f t="shared" si="895"/>
        <v>#N/A</v>
      </c>
      <c r="AR738" s="616" t="e">
        <f t="shared" si="895"/>
        <v>#N/A</v>
      </c>
      <c r="AS738" s="616" t="e">
        <f t="shared" ref="AS738:BD738" si="896">MIN(AS734-(AS736+AS737),N$444)</f>
        <v>#N/A</v>
      </c>
      <c r="AT738" s="616" t="e">
        <f t="shared" si="896"/>
        <v>#N/A</v>
      </c>
      <c r="AU738" s="616" t="e">
        <f t="shared" si="896"/>
        <v>#N/A</v>
      </c>
      <c r="AV738" s="616" t="e">
        <f t="shared" si="896"/>
        <v>#N/A</v>
      </c>
      <c r="AW738" s="616" t="e">
        <f t="shared" si="896"/>
        <v>#N/A</v>
      </c>
      <c r="AX738" s="616" t="e">
        <f t="shared" si="896"/>
        <v>#N/A</v>
      </c>
      <c r="AY738" s="616" t="e">
        <f t="shared" si="896"/>
        <v>#N/A</v>
      </c>
      <c r="AZ738" s="616" t="e">
        <f t="shared" si="896"/>
        <v>#N/A</v>
      </c>
      <c r="BA738" s="616" t="e">
        <f t="shared" si="896"/>
        <v>#N/A</v>
      </c>
      <c r="BB738" s="616" t="e">
        <f t="shared" si="896"/>
        <v>#N/A</v>
      </c>
      <c r="BC738" s="616" t="e">
        <f t="shared" si="896"/>
        <v>#N/A</v>
      </c>
      <c r="BD738" s="616" t="e">
        <f t="shared" si="896"/>
        <v>#N/A</v>
      </c>
      <c r="BE738" s="616" t="e">
        <f t="shared" ref="BE738:BP738" si="897">MIN(BE734-(BE736+BE737),N$444)</f>
        <v>#N/A</v>
      </c>
      <c r="BF738" s="616" t="e">
        <f t="shared" si="897"/>
        <v>#N/A</v>
      </c>
      <c r="BG738" s="616" t="e">
        <f t="shared" si="897"/>
        <v>#N/A</v>
      </c>
      <c r="BH738" s="616" t="e">
        <f t="shared" si="897"/>
        <v>#N/A</v>
      </c>
      <c r="BI738" s="616" t="e">
        <f t="shared" si="897"/>
        <v>#N/A</v>
      </c>
      <c r="BJ738" s="616" t="e">
        <f t="shared" si="897"/>
        <v>#N/A</v>
      </c>
      <c r="BK738" s="616" t="e">
        <f t="shared" si="897"/>
        <v>#N/A</v>
      </c>
      <c r="BL738" s="616" t="e">
        <f t="shared" si="897"/>
        <v>#N/A</v>
      </c>
      <c r="BM738" s="616" t="e">
        <f t="shared" si="897"/>
        <v>#N/A</v>
      </c>
      <c r="BN738" s="616" t="e">
        <f t="shared" si="897"/>
        <v>#N/A</v>
      </c>
      <c r="BO738" s="616" t="e">
        <f t="shared" si="897"/>
        <v>#N/A</v>
      </c>
      <c r="BP738" s="616" t="e">
        <f t="shared" si="897"/>
        <v>#N/A</v>
      </c>
      <c r="BQ738" s="616" t="e">
        <f t="shared" ref="BQ738:CB738" si="898">MIN(BQ734-(BQ736+BQ737),N$444)</f>
        <v>#N/A</v>
      </c>
      <c r="BR738" s="616" t="e">
        <f t="shared" si="898"/>
        <v>#N/A</v>
      </c>
      <c r="BS738" s="616" t="e">
        <f t="shared" si="898"/>
        <v>#N/A</v>
      </c>
      <c r="BT738" s="616" t="e">
        <f t="shared" si="898"/>
        <v>#N/A</v>
      </c>
      <c r="BU738" s="616" t="e">
        <f t="shared" si="898"/>
        <v>#N/A</v>
      </c>
      <c r="BV738" s="616" t="e">
        <f t="shared" si="898"/>
        <v>#N/A</v>
      </c>
      <c r="BW738" s="616" t="e">
        <f t="shared" si="898"/>
        <v>#N/A</v>
      </c>
      <c r="BX738" s="616" t="e">
        <f t="shared" si="898"/>
        <v>#N/A</v>
      </c>
      <c r="BY738" s="616" t="e">
        <f t="shared" si="898"/>
        <v>#N/A</v>
      </c>
      <c r="BZ738" s="616" t="e">
        <f t="shared" si="898"/>
        <v>#N/A</v>
      </c>
      <c r="CA738" s="616" t="e">
        <f t="shared" si="898"/>
        <v>#N/A</v>
      </c>
      <c r="CB738" s="616" t="e">
        <f t="shared" si="898"/>
        <v>#N/A</v>
      </c>
      <c r="CC738" s="616" t="e">
        <f t="shared" ref="CC738:CN738" si="899">MIN(CC734-(CC736+CC737),N$444)</f>
        <v>#N/A</v>
      </c>
      <c r="CD738" s="616" t="e">
        <f t="shared" si="899"/>
        <v>#N/A</v>
      </c>
      <c r="CE738" s="616" t="e">
        <f t="shared" si="899"/>
        <v>#N/A</v>
      </c>
      <c r="CF738" s="616" t="e">
        <f t="shared" si="899"/>
        <v>#N/A</v>
      </c>
      <c r="CG738" s="616" t="e">
        <f t="shared" si="899"/>
        <v>#N/A</v>
      </c>
      <c r="CH738" s="616" t="e">
        <f t="shared" si="899"/>
        <v>#N/A</v>
      </c>
      <c r="CI738" s="616" t="e">
        <f t="shared" si="899"/>
        <v>#N/A</v>
      </c>
      <c r="CJ738" s="616" t="e">
        <f t="shared" si="899"/>
        <v>#N/A</v>
      </c>
      <c r="CK738" s="616" t="e">
        <f t="shared" si="899"/>
        <v>#N/A</v>
      </c>
      <c r="CL738" s="616" t="e">
        <f t="shared" si="899"/>
        <v>#N/A</v>
      </c>
      <c r="CM738" s="616" t="e">
        <f t="shared" si="899"/>
        <v>#N/A</v>
      </c>
      <c r="CN738" s="616" t="e">
        <f t="shared" si="899"/>
        <v>#N/A</v>
      </c>
    </row>
    <row r="739" spans="8:92">
      <c r="H739" s="602" t="s">
        <v>940</v>
      </c>
      <c r="L739" s="618" t="s">
        <v>1299</v>
      </c>
      <c r="M739" s="600" t="str">
        <f>$M$496</f>
        <v>Therms</v>
      </c>
      <c r="N739" s="615" t="e">
        <f>SUM(U739:AF739)</f>
        <v>#N/A</v>
      </c>
      <c r="O739" s="615" t="e">
        <f>SUM(AG739:AR739)</f>
        <v>#N/A</v>
      </c>
      <c r="P739" s="615" t="e">
        <f>SUM(AS739:BD739)</f>
        <v>#N/A</v>
      </c>
      <c r="Q739" s="615" t="e">
        <f>SUM(BE739:BP739)</f>
        <v>#N/A</v>
      </c>
      <c r="R739" s="615" t="e">
        <f>SUM(BQ739:CB739)</f>
        <v>#N/A</v>
      </c>
      <c r="S739" s="615" t="e">
        <f>SUM(CC739:CN739)</f>
        <v>#N/A</v>
      </c>
      <c r="U739" s="616" t="e">
        <f t="shared" ref="U739:AF739" si="900">MIN(U734-(U736+U737+U738),N$445)</f>
        <v>#N/A</v>
      </c>
      <c r="V739" s="616" t="e">
        <f t="shared" si="900"/>
        <v>#N/A</v>
      </c>
      <c r="W739" s="616" t="e">
        <f t="shared" si="900"/>
        <v>#N/A</v>
      </c>
      <c r="X739" s="616" t="e">
        <f t="shared" si="900"/>
        <v>#N/A</v>
      </c>
      <c r="Y739" s="616" t="e">
        <f t="shared" si="900"/>
        <v>#N/A</v>
      </c>
      <c r="Z739" s="616" t="e">
        <f t="shared" si="900"/>
        <v>#N/A</v>
      </c>
      <c r="AA739" s="616" t="e">
        <f t="shared" si="900"/>
        <v>#N/A</v>
      </c>
      <c r="AB739" s="616" t="e">
        <f t="shared" si="900"/>
        <v>#N/A</v>
      </c>
      <c r="AC739" s="616" t="e">
        <f t="shared" si="900"/>
        <v>#N/A</v>
      </c>
      <c r="AD739" s="616" t="e">
        <f t="shared" si="900"/>
        <v>#N/A</v>
      </c>
      <c r="AE739" s="616" t="e">
        <f t="shared" si="900"/>
        <v>#N/A</v>
      </c>
      <c r="AF739" s="616" t="e">
        <f t="shared" si="900"/>
        <v>#N/A</v>
      </c>
      <c r="AG739" s="616" t="e">
        <f t="shared" ref="AG739:AR739" si="901">MIN(AG734-(AG736+AG737+AG738),N$445)</f>
        <v>#N/A</v>
      </c>
      <c r="AH739" s="616" t="e">
        <f t="shared" si="901"/>
        <v>#N/A</v>
      </c>
      <c r="AI739" s="616" t="e">
        <f t="shared" si="901"/>
        <v>#N/A</v>
      </c>
      <c r="AJ739" s="616" t="e">
        <f t="shared" si="901"/>
        <v>#N/A</v>
      </c>
      <c r="AK739" s="616" t="e">
        <f t="shared" si="901"/>
        <v>#N/A</v>
      </c>
      <c r="AL739" s="616" t="e">
        <f t="shared" si="901"/>
        <v>#N/A</v>
      </c>
      <c r="AM739" s="616" t="e">
        <f t="shared" si="901"/>
        <v>#N/A</v>
      </c>
      <c r="AN739" s="616" t="e">
        <f t="shared" si="901"/>
        <v>#N/A</v>
      </c>
      <c r="AO739" s="616" t="e">
        <f t="shared" si="901"/>
        <v>#N/A</v>
      </c>
      <c r="AP739" s="616" t="e">
        <f t="shared" si="901"/>
        <v>#N/A</v>
      </c>
      <c r="AQ739" s="616" t="e">
        <f t="shared" si="901"/>
        <v>#N/A</v>
      </c>
      <c r="AR739" s="616" t="e">
        <f t="shared" si="901"/>
        <v>#N/A</v>
      </c>
      <c r="AS739" s="616" t="e">
        <f t="shared" ref="AS739:BD739" si="902">MIN(AS734-(AS736+AS737+AS738),N$445)</f>
        <v>#N/A</v>
      </c>
      <c r="AT739" s="616" t="e">
        <f t="shared" si="902"/>
        <v>#N/A</v>
      </c>
      <c r="AU739" s="616" t="e">
        <f t="shared" si="902"/>
        <v>#N/A</v>
      </c>
      <c r="AV739" s="616" t="e">
        <f t="shared" si="902"/>
        <v>#N/A</v>
      </c>
      <c r="AW739" s="616" t="e">
        <f t="shared" si="902"/>
        <v>#N/A</v>
      </c>
      <c r="AX739" s="616" t="e">
        <f t="shared" si="902"/>
        <v>#N/A</v>
      </c>
      <c r="AY739" s="616" t="e">
        <f t="shared" si="902"/>
        <v>#N/A</v>
      </c>
      <c r="AZ739" s="616" t="e">
        <f t="shared" si="902"/>
        <v>#N/A</v>
      </c>
      <c r="BA739" s="616" t="e">
        <f t="shared" si="902"/>
        <v>#N/A</v>
      </c>
      <c r="BB739" s="616" t="e">
        <f t="shared" si="902"/>
        <v>#N/A</v>
      </c>
      <c r="BC739" s="616" t="e">
        <f t="shared" si="902"/>
        <v>#N/A</v>
      </c>
      <c r="BD739" s="616" t="e">
        <f t="shared" si="902"/>
        <v>#N/A</v>
      </c>
      <c r="BE739" s="616" t="e">
        <f t="shared" ref="BE739:BP739" si="903">MIN(BE734-(BE736+BE737+BE738),N$445)</f>
        <v>#N/A</v>
      </c>
      <c r="BF739" s="616" t="e">
        <f t="shared" si="903"/>
        <v>#N/A</v>
      </c>
      <c r="BG739" s="616" t="e">
        <f t="shared" si="903"/>
        <v>#N/A</v>
      </c>
      <c r="BH739" s="616" t="e">
        <f t="shared" si="903"/>
        <v>#N/A</v>
      </c>
      <c r="BI739" s="616" t="e">
        <f t="shared" si="903"/>
        <v>#N/A</v>
      </c>
      <c r="BJ739" s="616" t="e">
        <f t="shared" si="903"/>
        <v>#N/A</v>
      </c>
      <c r="BK739" s="616" t="e">
        <f t="shared" si="903"/>
        <v>#N/A</v>
      </c>
      <c r="BL739" s="616" t="e">
        <f t="shared" si="903"/>
        <v>#N/A</v>
      </c>
      <c r="BM739" s="616" t="e">
        <f t="shared" si="903"/>
        <v>#N/A</v>
      </c>
      <c r="BN739" s="616" t="e">
        <f t="shared" si="903"/>
        <v>#N/A</v>
      </c>
      <c r="BO739" s="616" t="e">
        <f t="shared" si="903"/>
        <v>#N/A</v>
      </c>
      <c r="BP739" s="616" t="e">
        <f t="shared" si="903"/>
        <v>#N/A</v>
      </c>
      <c r="BQ739" s="616" t="e">
        <f t="shared" ref="BQ739:CB739" si="904">MIN(BQ734-(BQ736+BQ737+BQ738),N$445)</f>
        <v>#N/A</v>
      </c>
      <c r="BR739" s="616" t="e">
        <f t="shared" si="904"/>
        <v>#N/A</v>
      </c>
      <c r="BS739" s="616" t="e">
        <f t="shared" si="904"/>
        <v>#N/A</v>
      </c>
      <c r="BT739" s="616" t="e">
        <f t="shared" si="904"/>
        <v>#N/A</v>
      </c>
      <c r="BU739" s="616" t="e">
        <f t="shared" si="904"/>
        <v>#N/A</v>
      </c>
      <c r="BV739" s="616" t="e">
        <f t="shared" si="904"/>
        <v>#N/A</v>
      </c>
      <c r="BW739" s="616" t="e">
        <f t="shared" si="904"/>
        <v>#N/A</v>
      </c>
      <c r="BX739" s="616" t="e">
        <f t="shared" si="904"/>
        <v>#N/A</v>
      </c>
      <c r="BY739" s="616" t="e">
        <f t="shared" si="904"/>
        <v>#N/A</v>
      </c>
      <c r="BZ739" s="616" t="e">
        <f t="shared" si="904"/>
        <v>#N/A</v>
      </c>
      <c r="CA739" s="616" t="e">
        <f t="shared" si="904"/>
        <v>#N/A</v>
      </c>
      <c r="CB739" s="616" t="e">
        <f t="shared" si="904"/>
        <v>#N/A</v>
      </c>
      <c r="CC739" s="616" t="e">
        <f t="shared" ref="CC739:CN739" si="905">MIN(CC734-(CC736+CC737+CC738),N$445)</f>
        <v>#N/A</v>
      </c>
      <c r="CD739" s="616" t="e">
        <f t="shared" si="905"/>
        <v>#N/A</v>
      </c>
      <c r="CE739" s="616" t="e">
        <f t="shared" si="905"/>
        <v>#N/A</v>
      </c>
      <c r="CF739" s="616" t="e">
        <f t="shared" si="905"/>
        <v>#N/A</v>
      </c>
      <c r="CG739" s="616" t="e">
        <f t="shared" si="905"/>
        <v>#N/A</v>
      </c>
      <c r="CH739" s="616" t="e">
        <f t="shared" si="905"/>
        <v>#N/A</v>
      </c>
      <c r="CI739" s="616" t="e">
        <f t="shared" si="905"/>
        <v>#N/A</v>
      </c>
      <c r="CJ739" s="616" t="e">
        <f t="shared" si="905"/>
        <v>#N/A</v>
      </c>
      <c r="CK739" s="616" t="e">
        <f t="shared" si="905"/>
        <v>#N/A</v>
      </c>
      <c r="CL739" s="616" t="e">
        <f t="shared" si="905"/>
        <v>#N/A</v>
      </c>
      <c r="CM739" s="616" t="e">
        <f t="shared" si="905"/>
        <v>#N/A</v>
      </c>
      <c r="CN739" s="616" t="e">
        <f t="shared" si="905"/>
        <v>#N/A</v>
      </c>
    </row>
    <row r="740" spans="8:92">
      <c r="H740" s="602" t="s">
        <v>940</v>
      </c>
      <c r="L740" s="618"/>
      <c r="M740" s="600"/>
      <c r="N740" s="615"/>
      <c r="O740" s="615"/>
      <c r="P740" s="615"/>
      <c r="Q740" s="615"/>
      <c r="R740" s="615"/>
      <c r="S740" s="615"/>
    </row>
    <row r="741" spans="8:92">
      <c r="H741" s="602" t="s">
        <v>940</v>
      </c>
      <c r="L741" s="618" t="s">
        <v>1300</v>
      </c>
      <c r="M741" s="600" t="s">
        <v>974</v>
      </c>
      <c r="N741" s="615" t="e">
        <f>SUM(U741:AF741)</f>
        <v>#N/A</v>
      </c>
      <c r="O741" s="615" t="e">
        <f>SUM(AG741:AR741)</f>
        <v>#N/A</v>
      </c>
      <c r="P741" s="615" t="e">
        <f>SUM(AS741:BD741)</f>
        <v>#N/A</v>
      </c>
      <c r="Q741" s="615" t="e">
        <f>SUM(BE741:BP741)</f>
        <v>#N/A</v>
      </c>
      <c r="R741" s="615" t="e">
        <f>SUM(BQ741:CB741)</f>
        <v>#N/A</v>
      </c>
      <c r="S741" s="615" t="e">
        <f>SUM(CC741:CN741)</f>
        <v>#N/A</v>
      </c>
      <c r="U741" s="616" t="e">
        <f t="shared" ref="U741:AF741" si="906">U736*N$447</f>
        <v>#N/A</v>
      </c>
      <c r="V741" s="616" t="e">
        <f t="shared" si="906"/>
        <v>#N/A</v>
      </c>
      <c r="W741" s="616" t="e">
        <f t="shared" si="906"/>
        <v>#N/A</v>
      </c>
      <c r="X741" s="616" t="e">
        <f t="shared" si="906"/>
        <v>#N/A</v>
      </c>
      <c r="Y741" s="616" t="e">
        <f t="shared" si="906"/>
        <v>#N/A</v>
      </c>
      <c r="Z741" s="616" t="e">
        <f t="shared" si="906"/>
        <v>#N/A</v>
      </c>
      <c r="AA741" s="616" t="e">
        <f t="shared" si="906"/>
        <v>#N/A</v>
      </c>
      <c r="AB741" s="616" t="e">
        <f t="shared" si="906"/>
        <v>#N/A</v>
      </c>
      <c r="AC741" s="616" t="e">
        <f t="shared" si="906"/>
        <v>#N/A</v>
      </c>
      <c r="AD741" s="616" t="e">
        <f t="shared" si="906"/>
        <v>#N/A</v>
      </c>
      <c r="AE741" s="616" t="e">
        <f t="shared" si="906"/>
        <v>#N/A</v>
      </c>
      <c r="AF741" s="616" t="e">
        <f t="shared" si="906"/>
        <v>#N/A</v>
      </c>
      <c r="AG741" s="616" t="e">
        <f t="shared" ref="AG741:AR741" si="907">AG736*N$447</f>
        <v>#N/A</v>
      </c>
      <c r="AH741" s="616" t="e">
        <f t="shared" si="907"/>
        <v>#N/A</v>
      </c>
      <c r="AI741" s="616" t="e">
        <f t="shared" si="907"/>
        <v>#N/A</v>
      </c>
      <c r="AJ741" s="616" t="e">
        <f t="shared" si="907"/>
        <v>#N/A</v>
      </c>
      <c r="AK741" s="616" t="e">
        <f t="shared" si="907"/>
        <v>#N/A</v>
      </c>
      <c r="AL741" s="616" t="e">
        <f t="shared" si="907"/>
        <v>#N/A</v>
      </c>
      <c r="AM741" s="616" t="e">
        <f t="shared" si="907"/>
        <v>#N/A</v>
      </c>
      <c r="AN741" s="616" t="e">
        <f t="shared" si="907"/>
        <v>#N/A</v>
      </c>
      <c r="AO741" s="616" t="e">
        <f t="shared" si="907"/>
        <v>#N/A</v>
      </c>
      <c r="AP741" s="616" t="e">
        <f t="shared" si="907"/>
        <v>#N/A</v>
      </c>
      <c r="AQ741" s="616" t="e">
        <f t="shared" si="907"/>
        <v>#N/A</v>
      </c>
      <c r="AR741" s="616" t="e">
        <f t="shared" si="907"/>
        <v>#N/A</v>
      </c>
      <c r="AS741" s="616" t="e">
        <f t="shared" ref="AS741:BD741" si="908">AS736*N$447</f>
        <v>#N/A</v>
      </c>
      <c r="AT741" s="616" t="e">
        <f t="shared" si="908"/>
        <v>#N/A</v>
      </c>
      <c r="AU741" s="616" t="e">
        <f t="shared" si="908"/>
        <v>#N/A</v>
      </c>
      <c r="AV741" s="616" t="e">
        <f t="shared" si="908"/>
        <v>#N/A</v>
      </c>
      <c r="AW741" s="616" t="e">
        <f t="shared" si="908"/>
        <v>#N/A</v>
      </c>
      <c r="AX741" s="616" t="e">
        <f t="shared" si="908"/>
        <v>#N/A</v>
      </c>
      <c r="AY741" s="616" t="e">
        <f t="shared" si="908"/>
        <v>#N/A</v>
      </c>
      <c r="AZ741" s="616" t="e">
        <f t="shared" si="908"/>
        <v>#N/A</v>
      </c>
      <c r="BA741" s="616" t="e">
        <f t="shared" si="908"/>
        <v>#N/A</v>
      </c>
      <c r="BB741" s="616" t="e">
        <f t="shared" si="908"/>
        <v>#N/A</v>
      </c>
      <c r="BC741" s="616" t="e">
        <f t="shared" si="908"/>
        <v>#N/A</v>
      </c>
      <c r="BD741" s="616" t="e">
        <f t="shared" si="908"/>
        <v>#N/A</v>
      </c>
      <c r="BE741" s="616" t="e">
        <f t="shared" ref="BE741:BP741" si="909">BE736*N$447</f>
        <v>#N/A</v>
      </c>
      <c r="BF741" s="616" t="e">
        <f t="shared" si="909"/>
        <v>#N/A</v>
      </c>
      <c r="BG741" s="616" t="e">
        <f t="shared" si="909"/>
        <v>#N/A</v>
      </c>
      <c r="BH741" s="616" t="e">
        <f t="shared" si="909"/>
        <v>#N/A</v>
      </c>
      <c r="BI741" s="616" t="e">
        <f t="shared" si="909"/>
        <v>#N/A</v>
      </c>
      <c r="BJ741" s="616" t="e">
        <f t="shared" si="909"/>
        <v>#N/A</v>
      </c>
      <c r="BK741" s="616" t="e">
        <f t="shared" si="909"/>
        <v>#N/A</v>
      </c>
      <c r="BL741" s="616" t="e">
        <f t="shared" si="909"/>
        <v>#N/A</v>
      </c>
      <c r="BM741" s="616" t="e">
        <f t="shared" si="909"/>
        <v>#N/A</v>
      </c>
      <c r="BN741" s="616" t="e">
        <f t="shared" si="909"/>
        <v>#N/A</v>
      </c>
      <c r="BO741" s="616" t="e">
        <f t="shared" si="909"/>
        <v>#N/A</v>
      </c>
      <c r="BP741" s="616" t="e">
        <f t="shared" si="909"/>
        <v>#N/A</v>
      </c>
      <c r="BQ741" s="616" t="e">
        <f t="shared" ref="BQ741:CB741" si="910">BQ736*N$447</f>
        <v>#N/A</v>
      </c>
      <c r="BR741" s="616" t="e">
        <f t="shared" si="910"/>
        <v>#N/A</v>
      </c>
      <c r="BS741" s="616" t="e">
        <f t="shared" si="910"/>
        <v>#N/A</v>
      </c>
      <c r="BT741" s="616" t="e">
        <f t="shared" si="910"/>
        <v>#N/A</v>
      </c>
      <c r="BU741" s="616" t="e">
        <f t="shared" si="910"/>
        <v>#N/A</v>
      </c>
      <c r="BV741" s="616" t="e">
        <f t="shared" si="910"/>
        <v>#N/A</v>
      </c>
      <c r="BW741" s="616" t="e">
        <f t="shared" si="910"/>
        <v>#N/A</v>
      </c>
      <c r="BX741" s="616" t="e">
        <f t="shared" si="910"/>
        <v>#N/A</v>
      </c>
      <c r="BY741" s="616" t="e">
        <f t="shared" si="910"/>
        <v>#N/A</v>
      </c>
      <c r="BZ741" s="616" t="e">
        <f t="shared" si="910"/>
        <v>#N/A</v>
      </c>
      <c r="CA741" s="616" t="e">
        <f t="shared" si="910"/>
        <v>#N/A</v>
      </c>
      <c r="CB741" s="616" t="e">
        <f t="shared" si="910"/>
        <v>#N/A</v>
      </c>
      <c r="CC741" s="616" t="e">
        <f t="shared" ref="CC741:CN741" si="911">CC736*N$447</f>
        <v>#N/A</v>
      </c>
      <c r="CD741" s="616" t="e">
        <f t="shared" si="911"/>
        <v>#N/A</v>
      </c>
      <c r="CE741" s="616" t="e">
        <f t="shared" si="911"/>
        <v>#N/A</v>
      </c>
      <c r="CF741" s="616" t="e">
        <f t="shared" si="911"/>
        <v>#N/A</v>
      </c>
      <c r="CG741" s="616" t="e">
        <f t="shared" si="911"/>
        <v>#N/A</v>
      </c>
      <c r="CH741" s="616" t="e">
        <f t="shared" si="911"/>
        <v>#N/A</v>
      </c>
      <c r="CI741" s="616" t="e">
        <f t="shared" si="911"/>
        <v>#N/A</v>
      </c>
      <c r="CJ741" s="616" t="e">
        <f t="shared" si="911"/>
        <v>#N/A</v>
      </c>
      <c r="CK741" s="616" t="e">
        <f t="shared" si="911"/>
        <v>#N/A</v>
      </c>
      <c r="CL741" s="616" t="e">
        <f t="shared" si="911"/>
        <v>#N/A</v>
      </c>
      <c r="CM741" s="616" t="e">
        <f t="shared" si="911"/>
        <v>#N/A</v>
      </c>
      <c r="CN741" s="616" t="e">
        <f t="shared" si="911"/>
        <v>#N/A</v>
      </c>
    </row>
    <row r="742" spans="8:92">
      <c r="H742" s="602" t="s">
        <v>940</v>
      </c>
      <c r="L742" s="618" t="s">
        <v>1301</v>
      </c>
      <c r="M742" s="600" t="s">
        <v>974</v>
      </c>
      <c r="N742" s="615" t="e">
        <f>SUM(U742:AF742)</f>
        <v>#N/A</v>
      </c>
      <c r="O742" s="615" t="e">
        <f>SUM(AG742:AR742)</f>
        <v>#N/A</v>
      </c>
      <c r="P742" s="615" t="e">
        <f>SUM(AS742:BD742)</f>
        <v>#N/A</v>
      </c>
      <c r="Q742" s="615" t="e">
        <f>SUM(BE742:BP742)</f>
        <v>#N/A</v>
      </c>
      <c r="R742" s="615" t="e">
        <f>SUM(BQ742:CB742)</f>
        <v>#N/A</v>
      </c>
      <c r="S742" s="615" t="e">
        <f>SUM(CC742:CN742)</f>
        <v>#N/A</v>
      </c>
      <c r="U742" s="616" t="e">
        <f t="shared" ref="U742:AF742" si="912">U737*N$448</f>
        <v>#N/A</v>
      </c>
      <c r="V742" s="616" t="e">
        <f t="shared" si="912"/>
        <v>#N/A</v>
      </c>
      <c r="W742" s="616" t="e">
        <f t="shared" si="912"/>
        <v>#N/A</v>
      </c>
      <c r="X742" s="616" t="e">
        <f t="shared" si="912"/>
        <v>#N/A</v>
      </c>
      <c r="Y742" s="616" t="e">
        <f t="shared" si="912"/>
        <v>#N/A</v>
      </c>
      <c r="Z742" s="616" t="e">
        <f t="shared" si="912"/>
        <v>#N/A</v>
      </c>
      <c r="AA742" s="616" t="e">
        <f t="shared" si="912"/>
        <v>#N/A</v>
      </c>
      <c r="AB742" s="616" t="e">
        <f t="shared" si="912"/>
        <v>#N/A</v>
      </c>
      <c r="AC742" s="616" t="e">
        <f t="shared" si="912"/>
        <v>#N/A</v>
      </c>
      <c r="AD742" s="616" t="e">
        <f t="shared" si="912"/>
        <v>#N/A</v>
      </c>
      <c r="AE742" s="616" t="e">
        <f t="shared" si="912"/>
        <v>#N/A</v>
      </c>
      <c r="AF742" s="616" t="e">
        <f t="shared" si="912"/>
        <v>#N/A</v>
      </c>
      <c r="AG742" s="616" t="e">
        <f t="shared" ref="AG742:AR742" si="913">AG737*N$448</f>
        <v>#N/A</v>
      </c>
      <c r="AH742" s="616" t="e">
        <f t="shared" si="913"/>
        <v>#N/A</v>
      </c>
      <c r="AI742" s="616" t="e">
        <f t="shared" si="913"/>
        <v>#N/A</v>
      </c>
      <c r="AJ742" s="616" t="e">
        <f t="shared" si="913"/>
        <v>#N/A</v>
      </c>
      <c r="AK742" s="616" t="e">
        <f t="shared" si="913"/>
        <v>#N/A</v>
      </c>
      <c r="AL742" s="616" t="e">
        <f t="shared" si="913"/>
        <v>#N/A</v>
      </c>
      <c r="AM742" s="616" t="e">
        <f t="shared" si="913"/>
        <v>#N/A</v>
      </c>
      <c r="AN742" s="616" t="e">
        <f t="shared" si="913"/>
        <v>#N/A</v>
      </c>
      <c r="AO742" s="616" t="e">
        <f t="shared" si="913"/>
        <v>#N/A</v>
      </c>
      <c r="AP742" s="616" t="e">
        <f t="shared" si="913"/>
        <v>#N/A</v>
      </c>
      <c r="AQ742" s="616" t="e">
        <f t="shared" si="913"/>
        <v>#N/A</v>
      </c>
      <c r="AR742" s="616" t="e">
        <f t="shared" si="913"/>
        <v>#N/A</v>
      </c>
      <c r="AS742" s="616" t="e">
        <f t="shared" ref="AS742:BD742" si="914">AS737*N$448</f>
        <v>#N/A</v>
      </c>
      <c r="AT742" s="616" t="e">
        <f t="shared" si="914"/>
        <v>#N/A</v>
      </c>
      <c r="AU742" s="616" t="e">
        <f t="shared" si="914"/>
        <v>#N/A</v>
      </c>
      <c r="AV742" s="616" t="e">
        <f t="shared" si="914"/>
        <v>#N/A</v>
      </c>
      <c r="AW742" s="616" t="e">
        <f t="shared" si="914"/>
        <v>#N/A</v>
      </c>
      <c r="AX742" s="616" t="e">
        <f t="shared" si="914"/>
        <v>#N/A</v>
      </c>
      <c r="AY742" s="616" t="e">
        <f t="shared" si="914"/>
        <v>#N/A</v>
      </c>
      <c r="AZ742" s="616" t="e">
        <f t="shared" si="914"/>
        <v>#N/A</v>
      </c>
      <c r="BA742" s="616" t="e">
        <f t="shared" si="914"/>
        <v>#N/A</v>
      </c>
      <c r="BB742" s="616" t="e">
        <f t="shared" si="914"/>
        <v>#N/A</v>
      </c>
      <c r="BC742" s="616" t="e">
        <f t="shared" si="914"/>
        <v>#N/A</v>
      </c>
      <c r="BD742" s="616" t="e">
        <f t="shared" si="914"/>
        <v>#N/A</v>
      </c>
      <c r="BE742" s="616" t="e">
        <f t="shared" ref="BE742:BP742" si="915">BE737*N$448</f>
        <v>#N/A</v>
      </c>
      <c r="BF742" s="616" t="e">
        <f t="shared" si="915"/>
        <v>#N/A</v>
      </c>
      <c r="BG742" s="616" t="e">
        <f t="shared" si="915"/>
        <v>#N/A</v>
      </c>
      <c r="BH742" s="616" t="e">
        <f t="shared" si="915"/>
        <v>#N/A</v>
      </c>
      <c r="BI742" s="616" t="e">
        <f t="shared" si="915"/>
        <v>#N/A</v>
      </c>
      <c r="BJ742" s="616" t="e">
        <f t="shared" si="915"/>
        <v>#N/A</v>
      </c>
      <c r="BK742" s="616" t="e">
        <f t="shared" si="915"/>
        <v>#N/A</v>
      </c>
      <c r="BL742" s="616" t="e">
        <f t="shared" si="915"/>
        <v>#N/A</v>
      </c>
      <c r="BM742" s="616" t="e">
        <f t="shared" si="915"/>
        <v>#N/A</v>
      </c>
      <c r="BN742" s="616" t="e">
        <f t="shared" si="915"/>
        <v>#N/A</v>
      </c>
      <c r="BO742" s="616" t="e">
        <f t="shared" si="915"/>
        <v>#N/A</v>
      </c>
      <c r="BP742" s="616" t="e">
        <f t="shared" si="915"/>
        <v>#N/A</v>
      </c>
      <c r="BQ742" s="616" t="e">
        <f t="shared" ref="BQ742:CB742" si="916">BQ737*N$448</f>
        <v>#N/A</v>
      </c>
      <c r="BR742" s="616" t="e">
        <f t="shared" si="916"/>
        <v>#N/A</v>
      </c>
      <c r="BS742" s="616" t="e">
        <f t="shared" si="916"/>
        <v>#N/A</v>
      </c>
      <c r="BT742" s="616" t="e">
        <f t="shared" si="916"/>
        <v>#N/A</v>
      </c>
      <c r="BU742" s="616" t="e">
        <f t="shared" si="916"/>
        <v>#N/A</v>
      </c>
      <c r="BV742" s="616" t="e">
        <f t="shared" si="916"/>
        <v>#N/A</v>
      </c>
      <c r="BW742" s="616" t="e">
        <f t="shared" si="916"/>
        <v>#N/A</v>
      </c>
      <c r="BX742" s="616" t="e">
        <f t="shared" si="916"/>
        <v>#N/A</v>
      </c>
      <c r="BY742" s="616" t="e">
        <f t="shared" si="916"/>
        <v>#N/A</v>
      </c>
      <c r="BZ742" s="616" t="e">
        <f t="shared" si="916"/>
        <v>#N/A</v>
      </c>
      <c r="CA742" s="616" t="e">
        <f t="shared" si="916"/>
        <v>#N/A</v>
      </c>
      <c r="CB742" s="616" t="e">
        <f t="shared" si="916"/>
        <v>#N/A</v>
      </c>
      <c r="CC742" s="616" t="e">
        <f t="shared" ref="CC742:CN742" si="917">CC737*N$448</f>
        <v>#N/A</v>
      </c>
      <c r="CD742" s="616" t="e">
        <f t="shared" si="917"/>
        <v>#N/A</v>
      </c>
      <c r="CE742" s="616" t="e">
        <f t="shared" si="917"/>
        <v>#N/A</v>
      </c>
      <c r="CF742" s="616" t="e">
        <f t="shared" si="917"/>
        <v>#N/A</v>
      </c>
      <c r="CG742" s="616" t="e">
        <f t="shared" si="917"/>
        <v>#N/A</v>
      </c>
      <c r="CH742" s="616" t="e">
        <f t="shared" si="917"/>
        <v>#N/A</v>
      </c>
      <c r="CI742" s="616" t="e">
        <f t="shared" si="917"/>
        <v>#N/A</v>
      </c>
      <c r="CJ742" s="616" t="e">
        <f t="shared" si="917"/>
        <v>#N/A</v>
      </c>
      <c r="CK742" s="616" t="e">
        <f t="shared" si="917"/>
        <v>#N/A</v>
      </c>
      <c r="CL742" s="616" t="e">
        <f t="shared" si="917"/>
        <v>#N/A</v>
      </c>
      <c r="CM742" s="616" t="e">
        <f t="shared" si="917"/>
        <v>#N/A</v>
      </c>
      <c r="CN742" s="616" t="e">
        <f t="shared" si="917"/>
        <v>#N/A</v>
      </c>
    </row>
    <row r="743" spans="8:92">
      <c r="H743" s="602" t="s">
        <v>940</v>
      </c>
      <c r="L743" s="618" t="s">
        <v>1302</v>
      </c>
      <c r="M743" s="600" t="s">
        <v>974</v>
      </c>
      <c r="N743" s="615" t="e">
        <f>SUM(U743:AF743)</f>
        <v>#N/A</v>
      </c>
      <c r="O743" s="615" t="e">
        <f>SUM(AG743:AR743)</f>
        <v>#N/A</v>
      </c>
      <c r="P743" s="615" t="e">
        <f>SUM(AS743:BD743)</f>
        <v>#N/A</v>
      </c>
      <c r="Q743" s="615" t="e">
        <f>SUM(BE743:BP743)</f>
        <v>#N/A</v>
      </c>
      <c r="R743" s="615" t="e">
        <f>SUM(BQ743:CB743)</f>
        <v>#N/A</v>
      </c>
      <c r="S743" s="615" t="e">
        <f>SUM(CC743:CN743)</f>
        <v>#N/A</v>
      </c>
      <c r="U743" s="616" t="e">
        <f t="shared" ref="U743:AF743" si="918">U738*N$449</f>
        <v>#N/A</v>
      </c>
      <c r="V743" s="616" t="e">
        <f t="shared" si="918"/>
        <v>#N/A</v>
      </c>
      <c r="W743" s="616" t="e">
        <f t="shared" si="918"/>
        <v>#N/A</v>
      </c>
      <c r="X743" s="616" t="e">
        <f t="shared" si="918"/>
        <v>#N/A</v>
      </c>
      <c r="Y743" s="616" t="e">
        <f t="shared" si="918"/>
        <v>#N/A</v>
      </c>
      <c r="Z743" s="616" t="e">
        <f t="shared" si="918"/>
        <v>#N/A</v>
      </c>
      <c r="AA743" s="616" t="e">
        <f t="shared" si="918"/>
        <v>#N/A</v>
      </c>
      <c r="AB743" s="616" t="e">
        <f t="shared" si="918"/>
        <v>#N/A</v>
      </c>
      <c r="AC743" s="616" t="e">
        <f t="shared" si="918"/>
        <v>#N/A</v>
      </c>
      <c r="AD743" s="616" t="e">
        <f t="shared" si="918"/>
        <v>#N/A</v>
      </c>
      <c r="AE743" s="616" t="e">
        <f t="shared" si="918"/>
        <v>#N/A</v>
      </c>
      <c r="AF743" s="616" t="e">
        <f t="shared" si="918"/>
        <v>#N/A</v>
      </c>
      <c r="AG743" s="616" t="e">
        <f t="shared" ref="AG743:AR743" si="919">AG738*N$449</f>
        <v>#N/A</v>
      </c>
      <c r="AH743" s="616" t="e">
        <f t="shared" si="919"/>
        <v>#N/A</v>
      </c>
      <c r="AI743" s="616" t="e">
        <f t="shared" si="919"/>
        <v>#N/A</v>
      </c>
      <c r="AJ743" s="616" t="e">
        <f t="shared" si="919"/>
        <v>#N/A</v>
      </c>
      <c r="AK743" s="616" t="e">
        <f t="shared" si="919"/>
        <v>#N/A</v>
      </c>
      <c r="AL743" s="616" t="e">
        <f t="shared" si="919"/>
        <v>#N/A</v>
      </c>
      <c r="AM743" s="616" t="e">
        <f t="shared" si="919"/>
        <v>#N/A</v>
      </c>
      <c r="AN743" s="616" t="e">
        <f t="shared" si="919"/>
        <v>#N/A</v>
      </c>
      <c r="AO743" s="616" t="e">
        <f t="shared" si="919"/>
        <v>#N/A</v>
      </c>
      <c r="AP743" s="616" t="e">
        <f t="shared" si="919"/>
        <v>#N/A</v>
      </c>
      <c r="AQ743" s="616" t="e">
        <f t="shared" si="919"/>
        <v>#N/A</v>
      </c>
      <c r="AR743" s="616" t="e">
        <f t="shared" si="919"/>
        <v>#N/A</v>
      </c>
      <c r="AS743" s="616" t="e">
        <f t="shared" ref="AS743:BD743" si="920">AS738*N$449</f>
        <v>#N/A</v>
      </c>
      <c r="AT743" s="616" t="e">
        <f t="shared" si="920"/>
        <v>#N/A</v>
      </c>
      <c r="AU743" s="616" t="e">
        <f t="shared" si="920"/>
        <v>#N/A</v>
      </c>
      <c r="AV743" s="616" t="e">
        <f t="shared" si="920"/>
        <v>#N/A</v>
      </c>
      <c r="AW743" s="616" t="e">
        <f t="shared" si="920"/>
        <v>#N/A</v>
      </c>
      <c r="AX743" s="616" t="e">
        <f t="shared" si="920"/>
        <v>#N/A</v>
      </c>
      <c r="AY743" s="616" t="e">
        <f t="shared" si="920"/>
        <v>#N/A</v>
      </c>
      <c r="AZ743" s="616" t="e">
        <f t="shared" si="920"/>
        <v>#N/A</v>
      </c>
      <c r="BA743" s="616" t="e">
        <f t="shared" si="920"/>
        <v>#N/A</v>
      </c>
      <c r="BB743" s="616" t="e">
        <f t="shared" si="920"/>
        <v>#N/A</v>
      </c>
      <c r="BC743" s="616" t="e">
        <f t="shared" si="920"/>
        <v>#N/A</v>
      </c>
      <c r="BD743" s="616" t="e">
        <f t="shared" si="920"/>
        <v>#N/A</v>
      </c>
      <c r="BE743" s="616" t="e">
        <f t="shared" ref="BE743:BP743" si="921">BE738*N$449</f>
        <v>#N/A</v>
      </c>
      <c r="BF743" s="616" t="e">
        <f t="shared" si="921"/>
        <v>#N/A</v>
      </c>
      <c r="BG743" s="616" t="e">
        <f t="shared" si="921"/>
        <v>#N/A</v>
      </c>
      <c r="BH743" s="616" t="e">
        <f t="shared" si="921"/>
        <v>#N/A</v>
      </c>
      <c r="BI743" s="616" t="e">
        <f t="shared" si="921"/>
        <v>#N/A</v>
      </c>
      <c r="BJ743" s="616" t="e">
        <f t="shared" si="921"/>
        <v>#N/A</v>
      </c>
      <c r="BK743" s="616" t="e">
        <f t="shared" si="921"/>
        <v>#N/A</v>
      </c>
      <c r="BL743" s="616" t="e">
        <f t="shared" si="921"/>
        <v>#N/A</v>
      </c>
      <c r="BM743" s="616" t="e">
        <f t="shared" si="921"/>
        <v>#N/A</v>
      </c>
      <c r="BN743" s="616" t="e">
        <f t="shared" si="921"/>
        <v>#N/A</v>
      </c>
      <c r="BO743" s="616" t="e">
        <f t="shared" si="921"/>
        <v>#N/A</v>
      </c>
      <c r="BP743" s="616" t="e">
        <f t="shared" si="921"/>
        <v>#N/A</v>
      </c>
      <c r="BQ743" s="616" t="e">
        <f t="shared" ref="BQ743:CB743" si="922">BQ738*N$449</f>
        <v>#N/A</v>
      </c>
      <c r="BR743" s="616" t="e">
        <f t="shared" si="922"/>
        <v>#N/A</v>
      </c>
      <c r="BS743" s="616" t="e">
        <f t="shared" si="922"/>
        <v>#N/A</v>
      </c>
      <c r="BT743" s="616" t="e">
        <f t="shared" si="922"/>
        <v>#N/A</v>
      </c>
      <c r="BU743" s="616" t="e">
        <f t="shared" si="922"/>
        <v>#N/A</v>
      </c>
      <c r="BV743" s="616" t="e">
        <f t="shared" si="922"/>
        <v>#N/A</v>
      </c>
      <c r="BW743" s="616" t="e">
        <f t="shared" si="922"/>
        <v>#N/A</v>
      </c>
      <c r="BX743" s="616" t="e">
        <f t="shared" si="922"/>
        <v>#N/A</v>
      </c>
      <c r="BY743" s="616" t="e">
        <f t="shared" si="922"/>
        <v>#N/A</v>
      </c>
      <c r="BZ743" s="616" t="e">
        <f t="shared" si="922"/>
        <v>#N/A</v>
      </c>
      <c r="CA743" s="616" t="e">
        <f t="shared" si="922"/>
        <v>#N/A</v>
      </c>
      <c r="CB743" s="616" t="e">
        <f t="shared" si="922"/>
        <v>#N/A</v>
      </c>
      <c r="CC743" s="616" t="e">
        <f t="shared" ref="CC743:CN743" si="923">CC738*N$449</f>
        <v>#N/A</v>
      </c>
      <c r="CD743" s="616" t="e">
        <f t="shared" si="923"/>
        <v>#N/A</v>
      </c>
      <c r="CE743" s="616" t="e">
        <f t="shared" si="923"/>
        <v>#N/A</v>
      </c>
      <c r="CF743" s="616" t="e">
        <f t="shared" si="923"/>
        <v>#N/A</v>
      </c>
      <c r="CG743" s="616" t="e">
        <f t="shared" si="923"/>
        <v>#N/A</v>
      </c>
      <c r="CH743" s="616" t="e">
        <f t="shared" si="923"/>
        <v>#N/A</v>
      </c>
      <c r="CI743" s="616" t="e">
        <f t="shared" si="923"/>
        <v>#N/A</v>
      </c>
      <c r="CJ743" s="616" t="e">
        <f t="shared" si="923"/>
        <v>#N/A</v>
      </c>
      <c r="CK743" s="616" t="e">
        <f t="shared" si="923"/>
        <v>#N/A</v>
      </c>
      <c r="CL743" s="616" t="e">
        <f t="shared" si="923"/>
        <v>#N/A</v>
      </c>
      <c r="CM743" s="616" t="e">
        <f t="shared" si="923"/>
        <v>#N/A</v>
      </c>
      <c r="CN743" s="616" t="e">
        <f t="shared" si="923"/>
        <v>#N/A</v>
      </c>
    </row>
    <row r="744" spans="8:92">
      <c r="H744" s="602" t="s">
        <v>940</v>
      </c>
      <c r="L744" s="618" t="s">
        <v>1303</v>
      </c>
      <c r="M744" s="600" t="s">
        <v>974</v>
      </c>
      <c r="N744" s="615" t="e">
        <f>SUM(U744:AF744)</f>
        <v>#N/A</v>
      </c>
      <c r="O744" s="615" t="e">
        <f>SUM(AG744:AR744)</f>
        <v>#N/A</v>
      </c>
      <c r="P744" s="615" t="e">
        <f>SUM(AS744:BD744)</f>
        <v>#N/A</v>
      </c>
      <c r="Q744" s="615" t="e">
        <f>SUM(BE744:BP744)</f>
        <v>#N/A</v>
      </c>
      <c r="R744" s="615" t="e">
        <f>SUM(BQ744:CB744)</f>
        <v>#N/A</v>
      </c>
      <c r="S744" s="615" t="e">
        <f>SUM(CC744:CN744)</f>
        <v>#N/A</v>
      </c>
      <c r="U744" s="616" t="e">
        <f t="shared" ref="U744:AF744" si="924">U739*N$450</f>
        <v>#N/A</v>
      </c>
      <c r="V744" s="616" t="e">
        <f t="shared" si="924"/>
        <v>#N/A</v>
      </c>
      <c r="W744" s="616" t="e">
        <f t="shared" si="924"/>
        <v>#N/A</v>
      </c>
      <c r="X744" s="616" t="e">
        <f t="shared" si="924"/>
        <v>#N/A</v>
      </c>
      <c r="Y744" s="616" t="e">
        <f t="shared" si="924"/>
        <v>#N/A</v>
      </c>
      <c r="Z744" s="616" t="e">
        <f t="shared" si="924"/>
        <v>#N/A</v>
      </c>
      <c r="AA744" s="616" t="e">
        <f t="shared" si="924"/>
        <v>#N/A</v>
      </c>
      <c r="AB744" s="616" t="e">
        <f t="shared" si="924"/>
        <v>#N/A</v>
      </c>
      <c r="AC744" s="616" t="e">
        <f t="shared" si="924"/>
        <v>#N/A</v>
      </c>
      <c r="AD744" s="616" t="e">
        <f t="shared" si="924"/>
        <v>#N/A</v>
      </c>
      <c r="AE744" s="616" t="e">
        <f t="shared" si="924"/>
        <v>#N/A</v>
      </c>
      <c r="AF744" s="616" t="e">
        <f t="shared" si="924"/>
        <v>#N/A</v>
      </c>
      <c r="AG744" s="616" t="e">
        <f t="shared" ref="AG744:AR744" si="925">AG739*N$450</f>
        <v>#N/A</v>
      </c>
      <c r="AH744" s="616" t="e">
        <f t="shared" si="925"/>
        <v>#N/A</v>
      </c>
      <c r="AI744" s="616" t="e">
        <f t="shared" si="925"/>
        <v>#N/A</v>
      </c>
      <c r="AJ744" s="616" t="e">
        <f t="shared" si="925"/>
        <v>#N/A</v>
      </c>
      <c r="AK744" s="616" t="e">
        <f t="shared" si="925"/>
        <v>#N/A</v>
      </c>
      <c r="AL744" s="616" t="e">
        <f t="shared" si="925"/>
        <v>#N/A</v>
      </c>
      <c r="AM744" s="616" t="e">
        <f t="shared" si="925"/>
        <v>#N/A</v>
      </c>
      <c r="AN744" s="616" t="e">
        <f t="shared" si="925"/>
        <v>#N/A</v>
      </c>
      <c r="AO744" s="616" t="e">
        <f t="shared" si="925"/>
        <v>#N/A</v>
      </c>
      <c r="AP744" s="616" t="e">
        <f t="shared" si="925"/>
        <v>#N/A</v>
      </c>
      <c r="AQ744" s="616" t="e">
        <f t="shared" si="925"/>
        <v>#N/A</v>
      </c>
      <c r="AR744" s="616" t="e">
        <f t="shared" si="925"/>
        <v>#N/A</v>
      </c>
      <c r="AS744" s="616" t="e">
        <f t="shared" ref="AS744:BD744" si="926">AS739*N$450</f>
        <v>#N/A</v>
      </c>
      <c r="AT744" s="616" t="e">
        <f t="shared" si="926"/>
        <v>#N/A</v>
      </c>
      <c r="AU744" s="616" t="e">
        <f t="shared" si="926"/>
        <v>#N/A</v>
      </c>
      <c r="AV744" s="616" t="e">
        <f t="shared" si="926"/>
        <v>#N/A</v>
      </c>
      <c r="AW744" s="616" t="e">
        <f t="shared" si="926"/>
        <v>#N/A</v>
      </c>
      <c r="AX744" s="616" t="e">
        <f t="shared" si="926"/>
        <v>#N/A</v>
      </c>
      <c r="AY744" s="616" t="e">
        <f t="shared" si="926"/>
        <v>#N/A</v>
      </c>
      <c r="AZ744" s="616" t="e">
        <f t="shared" si="926"/>
        <v>#N/A</v>
      </c>
      <c r="BA744" s="616" t="e">
        <f t="shared" si="926"/>
        <v>#N/A</v>
      </c>
      <c r="BB744" s="616" t="e">
        <f t="shared" si="926"/>
        <v>#N/A</v>
      </c>
      <c r="BC744" s="616" t="e">
        <f t="shared" si="926"/>
        <v>#N/A</v>
      </c>
      <c r="BD744" s="616" t="e">
        <f t="shared" si="926"/>
        <v>#N/A</v>
      </c>
      <c r="BE744" s="616" t="e">
        <f t="shared" ref="BE744:BP744" si="927">BE739*N$450</f>
        <v>#N/A</v>
      </c>
      <c r="BF744" s="616" t="e">
        <f t="shared" si="927"/>
        <v>#N/A</v>
      </c>
      <c r="BG744" s="616" t="e">
        <f t="shared" si="927"/>
        <v>#N/A</v>
      </c>
      <c r="BH744" s="616" t="e">
        <f t="shared" si="927"/>
        <v>#N/A</v>
      </c>
      <c r="BI744" s="616" t="e">
        <f t="shared" si="927"/>
        <v>#N/A</v>
      </c>
      <c r="BJ744" s="616" t="e">
        <f t="shared" si="927"/>
        <v>#N/A</v>
      </c>
      <c r="BK744" s="616" t="e">
        <f t="shared" si="927"/>
        <v>#N/A</v>
      </c>
      <c r="BL744" s="616" t="e">
        <f t="shared" si="927"/>
        <v>#N/A</v>
      </c>
      <c r="BM744" s="616" t="e">
        <f t="shared" si="927"/>
        <v>#N/A</v>
      </c>
      <c r="BN744" s="616" t="e">
        <f t="shared" si="927"/>
        <v>#N/A</v>
      </c>
      <c r="BO744" s="616" t="e">
        <f t="shared" si="927"/>
        <v>#N/A</v>
      </c>
      <c r="BP744" s="616" t="e">
        <f t="shared" si="927"/>
        <v>#N/A</v>
      </c>
      <c r="BQ744" s="616" t="e">
        <f t="shared" ref="BQ744:CB744" si="928">BQ739*N$450</f>
        <v>#N/A</v>
      </c>
      <c r="BR744" s="616" t="e">
        <f t="shared" si="928"/>
        <v>#N/A</v>
      </c>
      <c r="BS744" s="616" t="e">
        <f t="shared" si="928"/>
        <v>#N/A</v>
      </c>
      <c r="BT744" s="616" t="e">
        <f t="shared" si="928"/>
        <v>#N/A</v>
      </c>
      <c r="BU744" s="616" t="e">
        <f t="shared" si="928"/>
        <v>#N/A</v>
      </c>
      <c r="BV744" s="616" t="e">
        <f t="shared" si="928"/>
        <v>#N/A</v>
      </c>
      <c r="BW744" s="616" t="e">
        <f t="shared" si="928"/>
        <v>#N/A</v>
      </c>
      <c r="BX744" s="616" t="e">
        <f t="shared" si="928"/>
        <v>#N/A</v>
      </c>
      <c r="BY744" s="616" t="e">
        <f t="shared" si="928"/>
        <v>#N/A</v>
      </c>
      <c r="BZ744" s="616" t="e">
        <f t="shared" si="928"/>
        <v>#N/A</v>
      </c>
      <c r="CA744" s="616" t="e">
        <f t="shared" si="928"/>
        <v>#N/A</v>
      </c>
      <c r="CB744" s="616" t="e">
        <f t="shared" si="928"/>
        <v>#N/A</v>
      </c>
      <c r="CC744" s="616" t="e">
        <f t="shared" ref="CC744:CN744" si="929">CC739*N$450</f>
        <v>#N/A</v>
      </c>
      <c r="CD744" s="616" t="e">
        <f t="shared" si="929"/>
        <v>#N/A</v>
      </c>
      <c r="CE744" s="616" t="e">
        <f t="shared" si="929"/>
        <v>#N/A</v>
      </c>
      <c r="CF744" s="616" t="e">
        <f t="shared" si="929"/>
        <v>#N/A</v>
      </c>
      <c r="CG744" s="616" t="e">
        <f t="shared" si="929"/>
        <v>#N/A</v>
      </c>
      <c r="CH744" s="616" t="e">
        <f t="shared" si="929"/>
        <v>#N/A</v>
      </c>
      <c r="CI744" s="616" t="e">
        <f t="shared" si="929"/>
        <v>#N/A</v>
      </c>
      <c r="CJ744" s="616" t="e">
        <f t="shared" si="929"/>
        <v>#N/A</v>
      </c>
      <c r="CK744" s="616" t="e">
        <f t="shared" si="929"/>
        <v>#N/A</v>
      </c>
      <c r="CL744" s="616" t="e">
        <f t="shared" si="929"/>
        <v>#N/A</v>
      </c>
      <c r="CM744" s="616" t="e">
        <f t="shared" si="929"/>
        <v>#N/A</v>
      </c>
      <c r="CN744" s="616" t="e">
        <f t="shared" si="929"/>
        <v>#N/A</v>
      </c>
    </row>
    <row r="745" spans="8:92">
      <c r="H745" s="602" t="s">
        <v>940</v>
      </c>
      <c r="L745" s="618"/>
      <c r="M745" s="600"/>
      <c r="N745" s="615"/>
      <c r="O745" s="615"/>
      <c r="P745" s="615"/>
      <c r="Q745" s="615"/>
      <c r="R745" s="615"/>
      <c r="S745" s="615"/>
      <c r="U745" s="616"/>
      <c r="V745" s="616"/>
      <c r="W745" s="616"/>
      <c r="X745" s="616"/>
      <c r="Y745" s="616"/>
      <c r="Z745" s="616"/>
      <c r="AA745" s="616"/>
      <c r="AB745" s="616"/>
      <c r="AC745" s="616"/>
      <c r="AD745" s="616"/>
      <c r="AE745" s="616"/>
      <c r="AF745" s="616"/>
      <c r="AG745" s="616"/>
      <c r="AH745" s="616"/>
      <c r="AI745" s="616"/>
      <c r="AJ745" s="616"/>
      <c r="AK745" s="616"/>
      <c r="AL745" s="616"/>
      <c r="AM745" s="616"/>
      <c r="AN745" s="616"/>
      <c r="AO745" s="616"/>
      <c r="AP745" s="616"/>
      <c r="AQ745" s="616"/>
      <c r="AR745" s="616"/>
      <c r="AS745" s="616"/>
      <c r="AT745" s="616"/>
      <c r="AU745" s="616"/>
      <c r="AV745" s="616"/>
      <c r="AW745" s="616"/>
      <c r="AX745" s="616"/>
      <c r="AY745" s="616"/>
      <c r="AZ745" s="616"/>
      <c r="BA745" s="616"/>
      <c r="BB745" s="616"/>
      <c r="BC745" s="616"/>
      <c r="BD745" s="616"/>
      <c r="BE745" s="616"/>
      <c r="BF745" s="616"/>
      <c r="BG745" s="616"/>
      <c r="BH745" s="616"/>
      <c r="BI745" s="616"/>
      <c r="BJ745" s="616"/>
      <c r="BK745" s="616"/>
      <c r="BL745" s="616"/>
      <c r="BM745" s="616"/>
      <c r="BN745" s="616"/>
      <c r="BO745" s="616"/>
      <c r="BP745" s="616"/>
      <c r="BQ745" s="616"/>
      <c r="BR745" s="616"/>
      <c r="BS745" s="616"/>
      <c r="BT745" s="616"/>
      <c r="BU745" s="616"/>
      <c r="BV745" s="616"/>
      <c r="BW745" s="616"/>
      <c r="BX745" s="616"/>
      <c r="BY745" s="616"/>
      <c r="BZ745" s="616"/>
      <c r="CA745" s="616"/>
      <c r="CB745" s="616"/>
      <c r="CC745" s="616"/>
      <c r="CD745" s="616"/>
      <c r="CE745" s="616"/>
      <c r="CF745" s="616"/>
      <c r="CG745" s="616"/>
      <c r="CH745" s="616"/>
      <c r="CI745" s="616"/>
      <c r="CJ745" s="616"/>
      <c r="CK745" s="616"/>
      <c r="CL745" s="616"/>
      <c r="CM745" s="616"/>
      <c r="CN745" s="616"/>
    </row>
    <row r="746" spans="8:92">
      <c r="H746" s="602" t="s">
        <v>940</v>
      </c>
      <c r="L746" s="618" t="s">
        <v>1247</v>
      </c>
      <c r="M746" s="600" t="s">
        <v>974</v>
      </c>
      <c r="N746" s="615">
        <f>SUM(U746:AF746)</f>
        <v>0</v>
      </c>
      <c r="O746" s="615">
        <f>SUM(AG746:AR746)</f>
        <v>0</v>
      </c>
      <c r="P746" s="615">
        <f>SUM(AS746:BD746)</f>
        <v>0</v>
      </c>
      <c r="Q746" s="615">
        <f>SUM(BE746:BP746)</f>
        <v>0</v>
      </c>
      <c r="R746" s="615">
        <f>SUM(BQ746:CB746)</f>
        <v>0</v>
      </c>
      <c r="S746" s="615">
        <f>SUM(CC746:CN746)</f>
        <v>0</v>
      </c>
      <c r="U746" s="616">
        <f t="shared" ref="U746:AF746" si="930">N$438</f>
        <v>0</v>
      </c>
      <c r="V746" s="616">
        <f t="shared" si="930"/>
        <v>0</v>
      </c>
      <c r="W746" s="616">
        <f t="shared" si="930"/>
        <v>0</v>
      </c>
      <c r="X746" s="616">
        <f t="shared" si="930"/>
        <v>0</v>
      </c>
      <c r="Y746" s="616">
        <f t="shared" si="930"/>
        <v>0</v>
      </c>
      <c r="Z746" s="616">
        <f t="shared" si="930"/>
        <v>0</v>
      </c>
      <c r="AA746" s="616">
        <f t="shared" si="930"/>
        <v>0</v>
      </c>
      <c r="AB746" s="616">
        <f t="shared" si="930"/>
        <v>0</v>
      </c>
      <c r="AC746" s="616">
        <f t="shared" si="930"/>
        <v>0</v>
      </c>
      <c r="AD746" s="616">
        <f t="shared" si="930"/>
        <v>0</v>
      </c>
      <c r="AE746" s="616">
        <f t="shared" si="930"/>
        <v>0</v>
      </c>
      <c r="AF746" s="616">
        <f t="shared" si="930"/>
        <v>0</v>
      </c>
      <c r="AG746" s="616">
        <f t="shared" ref="AG746:AR746" si="931">N$438</f>
        <v>0</v>
      </c>
      <c r="AH746" s="616">
        <f t="shared" si="931"/>
        <v>0</v>
      </c>
      <c r="AI746" s="616">
        <f t="shared" si="931"/>
        <v>0</v>
      </c>
      <c r="AJ746" s="616">
        <f t="shared" si="931"/>
        <v>0</v>
      </c>
      <c r="AK746" s="616">
        <f t="shared" si="931"/>
        <v>0</v>
      </c>
      <c r="AL746" s="616">
        <f t="shared" si="931"/>
        <v>0</v>
      </c>
      <c r="AM746" s="616">
        <f t="shared" si="931"/>
        <v>0</v>
      </c>
      <c r="AN746" s="616">
        <f t="shared" si="931"/>
        <v>0</v>
      </c>
      <c r="AO746" s="616">
        <f t="shared" si="931"/>
        <v>0</v>
      </c>
      <c r="AP746" s="616">
        <f t="shared" si="931"/>
        <v>0</v>
      </c>
      <c r="AQ746" s="616">
        <f t="shared" si="931"/>
        <v>0</v>
      </c>
      <c r="AR746" s="616">
        <f t="shared" si="931"/>
        <v>0</v>
      </c>
      <c r="AS746" s="616">
        <f t="shared" ref="AS746:BD746" si="932">N$438</f>
        <v>0</v>
      </c>
      <c r="AT746" s="616">
        <f t="shared" si="932"/>
        <v>0</v>
      </c>
      <c r="AU746" s="616">
        <f t="shared" si="932"/>
        <v>0</v>
      </c>
      <c r="AV746" s="616">
        <f t="shared" si="932"/>
        <v>0</v>
      </c>
      <c r="AW746" s="616">
        <f t="shared" si="932"/>
        <v>0</v>
      </c>
      <c r="AX746" s="616">
        <f t="shared" si="932"/>
        <v>0</v>
      </c>
      <c r="AY746" s="616">
        <f t="shared" si="932"/>
        <v>0</v>
      </c>
      <c r="AZ746" s="616">
        <f t="shared" si="932"/>
        <v>0</v>
      </c>
      <c r="BA746" s="616">
        <f t="shared" si="932"/>
        <v>0</v>
      </c>
      <c r="BB746" s="616">
        <f t="shared" si="932"/>
        <v>0</v>
      </c>
      <c r="BC746" s="616">
        <f t="shared" si="932"/>
        <v>0</v>
      </c>
      <c r="BD746" s="616">
        <f t="shared" si="932"/>
        <v>0</v>
      </c>
      <c r="BE746" s="616">
        <f t="shared" ref="BE746:BP746" si="933">N$438</f>
        <v>0</v>
      </c>
      <c r="BF746" s="616">
        <f t="shared" si="933"/>
        <v>0</v>
      </c>
      <c r="BG746" s="616">
        <f t="shared" si="933"/>
        <v>0</v>
      </c>
      <c r="BH746" s="616">
        <f t="shared" si="933"/>
        <v>0</v>
      </c>
      <c r="BI746" s="616">
        <f t="shared" si="933"/>
        <v>0</v>
      </c>
      <c r="BJ746" s="616">
        <f t="shared" si="933"/>
        <v>0</v>
      </c>
      <c r="BK746" s="616">
        <f t="shared" si="933"/>
        <v>0</v>
      </c>
      <c r="BL746" s="616">
        <f t="shared" si="933"/>
        <v>0</v>
      </c>
      <c r="BM746" s="616">
        <f t="shared" si="933"/>
        <v>0</v>
      </c>
      <c r="BN746" s="616">
        <f t="shared" si="933"/>
        <v>0</v>
      </c>
      <c r="BO746" s="616">
        <f t="shared" si="933"/>
        <v>0</v>
      </c>
      <c r="BP746" s="616">
        <f t="shared" si="933"/>
        <v>0</v>
      </c>
      <c r="BQ746" s="616">
        <f t="shared" ref="BQ746:CB746" si="934">N$438</f>
        <v>0</v>
      </c>
      <c r="BR746" s="616">
        <f t="shared" si="934"/>
        <v>0</v>
      </c>
      <c r="BS746" s="616">
        <f t="shared" si="934"/>
        <v>0</v>
      </c>
      <c r="BT746" s="616">
        <f t="shared" si="934"/>
        <v>0</v>
      </c>
      <c r="BU746" s="616">
        <f t="shared" si="934"/>
        <v>0</v>
      </c>
      <c r="BV746" s="616">
        <f t="shared" si="934"/>
        <v>0</v>
      </c>
      <c r="BW746" s="616">
        <f t="shared" si="934"/>
        <v>0</v>
      </c>
      <c r="BX746" s="616">
        <f t="shared" si="934"/>
        <v>0</v>
      </c>
      <c r="BY746" s="616">
        <f t="shared" si="934"/>
        <v>0</v>
      </c>
      <c r="BZ746" s="616">
        <f t="shared" si="934"/>
        <v>0</v>
      </c>
      <c r="CA746" s="616">
        <f t="shared" si="934"/>
        <v>0</v>
      </c>
      <c r="CB746" s="616">
        <f t="shared" si="934"/>
        <v>0</v>
      </c>
      <c r="CC746" s="616">
        <f t="shared" ref="CC746:CN746" si="935">N$438</f>
        <v>0</v>
      </c>
      <c r="CD746" s="616">
        <f t="shared" si="935"/>
        <v>0</v>
      </c>
      <c r="CE746" s="616">
        <f t="shared" si="935"/>
        <v>0</v>
      </c>
      <c r="CF746" s="616">
        <f t="shared" si="935"/>
        <v>0</v>
      </c>
      <c r="CG746" s="616">
        <f t="shared" si="935"/>
        <v>0</v>
      </c>
      <c r="CH746" s="616">
        <f t="shared" si="935"/>
        <v>0</v>
      </c>
      <c r="CI746" s="616">
        <f t="shared" si="935"/>
        <v>0</v>
      </c>
      <c r="CJ746" s="616">
        <f t="shared" si="935"/>
        <v>0</v>
      </c>
      <c r="CK746" s="616">
        <f t="shared" si="935"/>
        <v>0</v>
      </c>
      <c r="CL746" s="616">
        <f t="shared" si="935"/>
        <v>0</v>
      </c>
      <c r="CM746" s="616">
        <f t="shared" si="935"/>
        <v>0</v>
      </c>
      <c r="CN746" s="616">
        <f t="shared" si="935"/>
        <v>0</v>
      </c>
    </row>
    <row r="747" spans="8:92">
      <c r="H747" s="602" t="s">
        <v>940</v>
      </c>
      <c r="L747" s="618" t="s">
        <v>908</v>
      </c>
      <c r="M747" s="600" t="s">
        <v>974</v>
      </c>
      <c r="N747" s="615" t="e">
        <f>SUM(U747:AF747)</f>
        <v>#N/A</v>
      </c>
      <c r="O747" s="615" t="e">
        <f>SUM(AG747:AR747)</f>
        <v>#N/A</v>
      </c>
      <c r="P747" s="615" t="e">
        <f>SUM(AS747:BD747)</f>
        <v>#N/A</v>
      </c>
      <c r="Q747" s="615" t="e">
        <f>SUM(BE747:BP747)</f>
        <v>#N/A</v>
      </c>
      <c r="R747" s="615" t="e">
        <f>SUM(BQ747:CB747)</f>
        <v>#N/A</v>
      </c>
      <c r="S747" s="615" t="e">
        <f>SUM(CC747:CN747)</f>
        <v>#N/A</v>
      </c>
      <c r="U747" s="616" t="e">
        <f t="shared" ref="U747:AF747" si="936">U734*N$439</f>
        <v>#N/A</v>
      </c>
      <c r="V747" s="616" t="e">
        <f t="shared" si="936"/>
        <v>#N/A</v>
      </c>
      <c r="W747" s="616" t="e">
        <f t="shared" si="936"/>
        <v>#N/A</v>
      </c>
      <c r="X747" s="616" t="e">
        <f t="shared" si="936"/>
        <v>#N/A</v>
      </c>
      <c r="Y747" s="616" t="e">
        <f t="shared" si="936"/>
        <v>#N/A</v>
      </c>
      <c r="Z747" s="616" t="e">
        <f t="shared" si="936"/>
        <v>#N/A</v>
      </c>
      <c r="AA747" s="616" t="e">
        <f t="shared" si="936"/>
        <v>#N/A</v>
      </c>
      <c r="AB747" s="616" t="e">
        <f t="shared" si="936"/>
        <v>#N/A</v>
      </c>
      <c r="AC747" s="616" t="e">
        <f t="shared" si="936"/>
        <v>#N/A</v>
      </c>
      <c r="AD747" s="616" t="e">
        <f t="shared" si="936"/>
        <v>#N/A</v>
      </c>
      <c r="AE747" s="616" t="e">
        <f t="shared" si="936"/>
        <v>#N/A</v>
      </c>
      <c r="AF747" s="616" t="e">
        <f t="shared" si="936"/>
        <v>#N/A</v>
      </c>
      <c r="AG747" s="616" t="e">
        <f t="shared" ref="AG747:AR747" si="937">AG734*N$439</f>
        <v>#N/A</v>
      </c>
      <c r="AH747" s="616" t="e">
        <f t="shared" si="937"/>
        <v>#N/A</v>
      </c>
      <c r="AI747" s="616" t="e">
        <f t="shared" si="937"/>
        <v>#N/A</v>
      </c>
      <c r="AJ747" s="616" t="e">
        <f t="shared" si="937"/>
        <v>#N/A</v>
      </c>
      <c r="AK747" s="616" t="e">
        <f t="shared" si="937"/>
        <v>#N/A</v>
      </c>
      <c r="AL747" s="616" t="e">
        <f t="shared" si="937"/>
        <v>#N/A</v>
      </c>
      <c r="AM747" s="616" t="e">
        <f t="shared" si="937"/>
        <v>#N/A</v>
      </c>
      <c r="AN747" s="616" t="e">
        <f t="shared" si="937"/>
        <v>#N/A</v>
      </c>
      <c r="AO747" s="616" t="e">
        <f t="shared" si="937"/>
        <v>#N/A</v>
      </c>
      <c r="AP747" s="616" t="e">
        <f t="shared" si="937"/>
        <v>#N/A</v>
      </c>
      <c r="AQ747" s="616" t="e">
        <f t="shared" si="937"/>
        <v>#N/A</v>
      </c>
      <c r="AR747" s="616" t="e">
        <f t="shared" si="937"/>
        <v>#N/A</v>
      </c>
      <c r="AS747" s="616" t="e">
        <f t="shared" ref="AS747:BD747" si="938">AS734*N$439</f>
        <v>#N/A</v>
      </c>
      <c r="AT747" s="616" t="e">
        <f t="shared" si="938"/>
        <v>#N/A</v>
      </c>
      <c r="AU747" s="616" t="e">
        <f t="shared" si="938"/>
        <v>#N/A</v>
      </c>
      <c r="AV747" s="616" t="e">
        <f t="shared" si="938"/>
        <v>#N/A</v>
      </c>
      <c r="AW747" s="616" t="e">
        <f t="shared" si="938"/>
        <v>#N/A</v>
      </c>
      <c r="AX747" s="616" t="e">
        <f t="shared" si="938"/>
        <v>#N/A</v>
      </c>
      <c r="AY747" s="616" t="e">
        <f t="shared" si="938"/>
        <v>#N/A</v>
      </c>
      <c r="AZ747" s="616" t="e">
        <f t="shared" si="938"/>
        <v>#N/A</v>
      </c>
      <c r="BA747" s="616" t="e">
        <f t="shared" si="938"/>
        <v>#N/A</v>
      </c>
      <c r="BB747" s="616" t="e">
        <f t="shared" si="938"/>
        <v>#N/A</v>
      </c>
      <c r="BC747" s="616" t="e">
        <f t="shared" si="938"/>
        <v>#N/A</v>
      </c>
      <c r="BD747" s="616" t="e">
        <f t="shared" si="938"/>
        <v>#N/A</v>
      </c>
      <c r="BE747" s="616" t="e">
        <f t="shared" ref="BE747:BP747" si="939">BE734*N$439</f>
        <v>#N/A</v>
      </c>
      <c r="BF747" s="616" t="e">
        <f t="shared" si="939"/>
        <v>#N/A</v>
      </c>
      <c r="BG747" s="616" t="e">
        <f t="shared" si="939"/>
        <v>#N/A</v>
      </c>
      <c r="BH747" s="616" t="e">
        <f t="shared" si="939"/>
        <v>#N/A</v>
      </c>
      <c r="BI747" s="616" t="e">
        <f t="shared" si="939"/>
        <v>#N/A</v>
      </c>
      <c r="BJ747" s="616" t="e">
        <f t="shared" si="939"/>
        <v>#N/A</v>
      </c>
      <c r="BK747" s="616" t="e">
        <f t="shared" si="939"/>
        <v>#N/A</v>
      </c>
      <c r="BL747" s="616" t="e">
        <f t="shared" si="939"/>
        <v>#N/A</v>
      </c>
      <c r="BM747" s="616" t="e">
        <f t="shared" si="939"/>
        <v>#N/A</v>
      </c>
      <c r="BN747" s="616" t="e">
        <f t="shared" si="939"/>
        <v>#N/A</v>
      </c>
      <c r="BO747" s="616" t="e">
        <f t="shared" si="939"/>
        <v>#N/A</v>
      </c>
      <c r="BP747" s="616" t="e">
        <f t="shared" si="939"/>
        <v>#N/A</v>
      </c>
      <c r="BQ747" s="616" t="e">
        <f t="shared" ref="BQ747:CB747" si="940">BQ734*N$439</f>
        <v>#N/A</v>
      </c>
      <c r="BR747" s="616" t="e">
        <f t="shared" si="940"/>
        <v>#N/A</v>
      </c>
      <c r="BS747" s="616" t="e">
        <f t="shared" si="940"/>
        <v>#N/A</v>
      </c>
      <c r="BT747" s="616" t="e">
        <f t="shared" si="940"/>
        <v>#N/A</v>
      </c>
      <c r="BU747" s="616" t="e">
        <f t="shared" si="940"/>
        <v>#N/A</v>
      </c>
      <c r="BV747" s="616" t="e">
        <f t="shared" si="940"/>
        <v>#N/A</v>
      </c>
      <c r="BW747" s="616" t="e">
        <f t="shared" si="940"/>
        <v>#N/A</v>
      </c>
      <c r="BX747" s="616" t="e">
        <f t="shared" si="940"/>
        <v>#N/A</v>
      </c>
      <c r="BY747" s="616" t="e">
        <f t="shared" si="940"/>
        <v>#N/A</v>
      </c>
      <c r="BZ747" s="616" t="e">
        <f t="shared" si="940"/>
        <v>#N/A</v>
      </c>
      <c r="CA747" s="616" t="e">
        <f t="shared" si="940"/>
        <v>#N/A</v>
      </c>
      <c r="CB747" s="616" t="e">
        <f t="shared" si="940"/>
        <v>#N/A</v>
      </c>
      <c r="CC747" s="616" t="e">
        <f t="shared" ref="CC747:CN747" si="941">CC734*N$439</f>
        <v>#N/A</v>
      </c>
      <c r="CD747" s="616" t="e">
        <f t="shared" si="941"/>
        <v>#N/A</v>
      </c>
      <c r="CE747" s="616" t="e">
        <f t="shared" si="941"/>
        <v>#N/A</v>
      </c>
      <c r="CF747" s="616" t="e">
        <f t="shared" si="941"/>
        <v>#N/A</v>
      </c>
      <c r="CG747" s="616" t="e">
        <f t="shared" si="941"/>
        <v>#N/A</v>
      </c>
      <c r="CH747" s="616" t="e">
        <f t="shared" si="941"/>
        <v>#N/A</v>
      </c>
      <c r="CI747" s="616" t="e">
        <f t="shared" si="941"/>
        <v>#N/A</v>
      </c>
      <c r="CJ747" s="616" t="e">
        <f t="shared" si="941"/>
        <v>#N/A</v>
      </c>
      <c r="CK747" s="616" t="e">
        <f t="shared" si="941"/>
        <v>#N/A</v>
      </c>
      <c r="CL747" s="616" t="e">
        <f t="shared" si="941"/>
        <v>#N/A</v>
      </c>
      <c r="CM747" s="616" t="e">
        <f t="shared" si="941"/>
        <v>#N/A</v>
      </c>
      <c r="CN747" s="616" t="e">
        <f t="shared" si="941"/>
        <v>#N/A</v>
      </c>
    </row>
    <row r="748" spans="8:92">
      <c r="H748" s="602" t="s">
        <v>940</v>
      </c>
      <c r="L748" s="618" t="s">
        <v>1304</v>
      </c>
      <c r="M748" s="600" t="s">
        <v>974</v>
      </c>
      <c r="N748" s="615" t="e">
        <f>SUM(U748:AF748)</f>
        <v>#N/A</v>
      </c>
      <c r="O748" s="615" t="e">
        <f>SUM(AG748:AR748)</f>
        <v>#N/A</v>
      </c>
      <c r="P748" s="615" t="e">
        <f>SUM(AS748:BD748)</f>
        <v>#N/A</v>
      </c>
      <c r="Q748" s="615" t="e">
        <f>SUM(BE748:BP748)</f>
        <v>#N/A</v>
      </c>
      <c r="R748" s="615" t="e">
        <f>SUM(BQ748:CB748)</f>
        <v>#N/A</v>
      </c>
      <c r="S748" s="615" t="e">
        <f>SUM(CC748:CN748)</f>
        <v>#N/A</v>
      </c>
      <c r="U748" s="616" t="e">
        <f t="shared" ref="U748:CF748" si="942">SUM(U741:U744,U746:U747)</f>
        <v>#N/A</v>
      </c>
      <c r="V748" s="616" t="e">
        <f t="shared" si="942"/>
        <v>#N/A</v>
      </c>
      <c r="W748" s="616" t="e">
        <f t="shared" si="942"/>
        <v>#N/A</v>
      </c>
      <c r="X748" s="616" t="e">
        <f t="shared" si="942"/>
        <v>#N/A</v>
      </c>
      <c r="Y748" s="616" t="e">
        <f t="shared" si="942"/>
        <v>#N/A</v>
      </c>
      <c r="Z748" s="616" t="e">
        <f t="shared" si="942"/>
        <v>#N/A</v>
      </c>
      <c r="AA748" s="616" t="e">
        <f t="shared" si="942"/>
        <v>#N/A</v>
      </c>
      <c r="AB748" s="616" t="e">
        <f t="shared" si="942"/>
        <v>#N/A</v>
      </c>
      <c r="AC748" s="616" t="e">
        <f t="shared" si="942"/>
        <v>#N/A</v>
      </c>
      <c r="AD748" s="616" t="e">
        <f t="shared" si="942"/>
        <v>#N/A</v>
      </c>
      <c r="AE748" s="616" t="e">
        <f t="shared" si="942"/>
        <v>#N/A</v>
      </c>
      <c r="AF748" s="616" t="e">
        <f t="shared" si="942"/>
        <v>#N/A</v>
      </c>
      <c r="AG748" s="616" t="e">
        <f t="shared" si="942"/>
        <v>#N/A</v>
      </c>
      <c r="AH748" s="616" t="e">
        <f t="shared" si="942"/>
        <v>#N/A</v>
      </c>
      <c r="AI748" s="616" t="e">
        <f t="shared" si="942"/>
        <v>#N/A</v>
      </c>
      <c r="AJ748" s="616" t="e">
        <f t="shared" si="942"/>
        <v>#N/A</v>
      </c>
      <c r="AK748" s="616" t="e">
        <f t="shared" si="942"/>
        <v>#N/A</v>
      </c>
      <c r="AL748" s="616" t="e">
        <f t="shared" si="942"/>
        <v>#N/A</v>
      </c>
      <c r="AM748" s="616" t="e">
        <f t="shared" si="942"/>
        <v>#N/A</v>
      </c>
      <c r="AN748" s="616" t="e">
        <f t="shared" si="942"/>
        <v>#N/A</v>
      </c>
      <c r="AO748" s="616" t="e">
        <f t="shared" si="942"/>
        <v>#N/A</v>
      </c>
      <c r="AP748" s="616" t="e">
        <f t="shared" si="942"/>
        <v>#N/A</v>
      </c>
      <c r="AQ748" s="616" t="e">
        <f t="shared" si="942"/>
        <v>#N/A</v>
      </c>
      <c r="AR748" s="616" t="e">
        <f t="shared" si="942"/>
        <v>#N/A</v>
      </c>
      <c r="AS748" s="616" t="e">
        <f t="shared" si="942"/>
        <v>#N/A</v>
      </c>
      <c r="AT748" s="616" t="e">
        <f t="shared" si="942"/>
        <v>#N/A</v>
      </c>
      <c r="AU748" s="616" t="e">
        <f t="shared" si="942"/>
        <v>#N/A</v>
      </c>
      <c r="AV748" s="616" t="e">
        <f t="shared" si="942"/>
        <v>#N/A</v>
      </c>
      <c r="AW748" s="616" t="e">
        <f t="shared" si="942"/>
        <v>#N/A</v>
      </c>
      <c r="AX748" s="616" t="e">
        <f t="shared" si="942"/>
        <v>#N/A</v>
      </c>
      <c r="AY748" s="616" t="e">
        <f t="shared" si="942"/>
        <v>#N/A</v>
      </c>
      <c r="AZ748" s="616" t="e">
        <f t="shared" si="942"/>
        <v>#N/A</v>
      </c>
      <c r="BA748" s="616" t="e">
        <f t="shared" si="942"/>
        <v>#N/A</v>
      </c>
      <c r="BB748" s="616" t="e">
        <f t="shared" si="942"/>
        <v>#N/A</v>
      </c>
      <c r="BC748" s="616" t="e">
        <f t="shared" si="942"/>
        <v>#N/A</v>
      </c>
      <c r="BD748" s="616" t="e">
        <f t="shared" si="942"/>
        <v>#N/A</v>
      </c>
      <c r="BE748" s="616" t="e">
        <f t="shared" si="942"/>
        <v>#N/A</v>
      </c>
      <c r="BF748" s="616" t="e">
        <f t="shared" si="942"/>
        <v>#N/A</v>
      </c>
      <c r="BG748" s="616" t="e">
        <f t="shared" si="942"/>
        <v>#N/A</v>
      </c>
      <c r="BH748" s="616" t="e">
        <f t="shared" si="942"/>
        <v>#N/A</v>
      </c>
      <c r="BI748" s="616" t="e">
        <f t="shared" si="942"/>
        <v>#N/A</v>
      </c>
      <c r="BJ748" s="616" t="e">
        <f t="shared" si="942"/>
        <v>#N/A</v>
      </c>
      <c r="BK748" s="616" t="e">
        <f t="shared" si="942"/>
        <v>#N/A</v>
      </c>
      <c r="BL748" s="616" t="e">
        <f t="shared" si="942"/>
        <v>#N/A</v>
      </c>
      <c r="BM748" s="616" t="e">
        <f t="shared" si="942"/>
        <v>#N/A</v>
      </c>
      <c r="BN748" s="616" t="e">
        <f t="shared" si="942"/>
        <v>#N/A</v>
      </c>
      <c r="BO748" s="616" t="e">
        <f t="shared" si="942"/>
        <v>#N/A</v>
      </c>
      <c r="BP748" s="616" t="e">
        <f t="shared" si="942"/>
        <v>#N/A</v>
      </c>
      <c r="BQ748" s="616" t="e">
        <f t="shared" si="942"/>
        <v>#N/A</v>
      </c>
      <c r="BR748" s="616" t="e">
        <f t="shared" si="942"/>
        <v>#N/A</v>
      </c>
      <c r="BS748" s="616" t="e">
        <f t="shared" si="942"/>
        <v>#N/A</v>
      </c>
      <c r="BT748" s="616" t="e">
        <f t="shared" si="942"/>
        <v>#N/A</v>
      </c>
      <c r="BU748" s="616" t="e">
        <f t="shared" si="942"/>
        <v>#N/A</v>
      </c>
      <c r="BV748" s="616" t="e">
        <f t="shared" si="942"/>
        <v>#N/A</v>
      </c>
      <c r="BW748" s="616" t="e">
        <f t="shared" si="942"/>
        <v>#N/A</v>
      </c>
      <c r="BX748" s="616" t="e">
        <f t="shared" si="942"/>
        <v>#N/A</v>
      </c>
      <c r="BY748" s="616" t="e">
        <f t="shared" si="942"/>
        <v>#N/A</v>
      </c>
      <c r="BZ748" s="616" t="e">
        <f t="shared" si="942"/>
        <v>#N/A</v>
      </c>
      <c r="CA748" s="616" t="e">
        <f t="shared" si="942"/>
        <v>#N/A</v>
      </c>
      <c r="CB748" s="616" t="e">
        <f t="shared" si="942"/>
        <v>#N/A</v>
      </c>
      <c r="CC748" s="616" t="e">
        <f t="shared" si="942"/>
        <v>#N/A</v>
      </c>
      <c r="CD748" s="616" t="e">
        <f t="shared" si="942"/>
        <v>#N/A</v>
      </c>
      <c r="CE748" s="616" t="e">
        <f t="shared" si="942"/>
        <v>#N/A</v>
      </c>
      <c r="CF748" s="616" t="e">
        <f t="shared" si="942"/>
        <v>#N/A</v>
      </c>
      <c r="CG748" s="616" t="e">
        <f t="shared" ref="CG748:CN748" si="943">SUM(CG741:CG744,CG746:CG747)</f>
        <v>#N/A</v>
      </c>
      <c r="CH748" s="616" t="e">
        <f t="shared" si="943"/>
        <v>#N/A</v>
      </c>
      <c r="CI748" s="616" t="e">
        <f t="shared" si="943"/>
        <v>#N/A</v>
      </c>
      <c r="CJ748" s="616" t="e">
        <f t="shared" si="943"/>
        <v>#N/A</v>
      </c>
      <c r="CK748" s="616" t="e">
        <f t="shared" si="943"/>
        <v>#N/A</v>
      </c>
      <c r="CL748" s="616" t="e">
        <f t="shared" si="943"/>
        <v>#N/A</v>
      </c>
      <c r="CM748" s="616" t="e">
        <f t="shared" si="943"/>
        <v>#N/A</v>
      </c>
      <c r="CN748" s="616" t="e">
        <f t="shared" si="943"/>
        <v>#N/A</v>
      </c>
    </row>
    <row r="749" spans="8:92">
      <c r="H749" s="602" t="s">
        <v>940</v>
      </c>
      <c r="L749" s="618" t="s">
        <v>909</v>
      </c>
      <c r="M749" s="600" t="s">
        <v>974</v>
      </c>
      <c r="N749" s="615" t="e">
        <f>SUM(U749:AF749)</f>
        <v>#N/A</v>
      </c>
      <c r="O749" s="615" t="e">
        <f>SUM(AG749:AR749)</f>
        <v>#N/A</v>
      </c>
      <c r="P749" s="615" t="e">
        <f>SUM(AS749:BD749)</f>
        <v>#N/A</v>
      </c>
      <c r="Q749" s="615" t="e">
        <f>SUM(BE749:BP749)</f>
        <v>#N/A</v>
      </c>
      <c r="R749" s="615" t="e">
        <f>SUM(BQ749:CB749)</f>
        <v>#N/A</v>
      </c>
      <c r="S749" s="615" t="e">
        <f>SUM(CC749:CN749)</f>
        <v>#N/A</v>
      </c>
      <c r="U749" s="616" t="e">
        <f t="shared" ref="U749:AF749" si="944">U748*N$440/100</f>
        <v>#N/A</v>
      </c>
      <c r="V749" s="616" t="e">
        <f t="shared" si="944"/>
        <v>#N/A</v>
      </c>
      <c r="W749" s="616" t="e">
        <f t="shared" si="944"/>
        <v>#N/A</v>
      </c>
      <c r="X749" s="616" t="e">
        <f t="shared" si="944"/>
        <v>#N/A</v>
      </c>
      <c r="Y749" s="616" t="e">
        <f t="shared" si="944"/>
        <v>#N/A</v>
      </c>
      <c r="Z749" s="616" t="e">
        <f t="shared" si="944"/>
        <v>#N/A</v>
      </c>
      <c r="AA749" s="616" t="e">
        <f t="shared" si="944"/>
        <v>#N/A</v>
      </c>
      <c r="AB749" s="616" t="e">
        <f t="shared" si="944"/>
        <v>#N/A</v>
      </c>
      <c r="AC749" s="616" t="e">
        <f t="shared" si="944"/>
        <v>#N/A</v>
      </c>
      <c r="AD749" s="616" t="e">
        <f t="shared" si="944"/>
        <v>#N/A</v>
      </c>
      <c r="AE749" s="616" t="e">
        <f t="shared" si="944"/>
        <v>#N/A</v>
      </c>
      <c r="AF749" s="616" t="e">
        <f t="shared" si="944"/>
        <v>#N/A</v>
      </c>
      <c r="AG749" s="616" t="e">
        <f t="shared" ref="AG749:AR749" si="945">AG748*N$440/100</f>
        <v>#N/A</v>
      </c>
      <c r="AH749" s="616" t="e">
        <f t="shared" si="945"/>
        <v>#N/A</v>
      </c>
      <c r="AI749" s="616" t="e">
        <f t="shared" si="945"/>
        <v>#N/A</v>
      </c>
      <c r="AJ749" s="616" t="e">
        <f t="shared" si="945"/>
        <v>#N/A</v>
      </c>
      <c r="AK749" s="616" t="e">
        <f t="shared" si="945"/>
        <v>#N/A</v>
      </c>
      <c r="AL749" s="616" t="e">
        <f t="shared" si="945"/>
        <v>#N/A</v>
      </c>
      <c r="AM749" s="616" t="e">
        <f t="shared" si="945"/>
        <v>#N/A</v>
      </c>
      <c r="AN749" s="616" t="e">
        <f t="shared" si="945"/>
        <v>#N/A</v>
      </c>
      <c r="AO749" s="616" t="e">
        <f t="shared" si="945"/>
        <v>#N/A</v>
      </c>
      <c r="AP749" s="616" t="e">
        <f t="shared" si="945"/>
        <v>#N/A</v>
      </c>
      <c r="AQ749" s="616" t="e">
        <f t="shared" si="945"/>
        <v>#N/A</v>
      </c>
      <c r="AR749" s="616" t="e">
        <f t="shared" si="945"/>
        <v>#N/A</v>
      </c>
      <c r="AS749" s="616" t="e">
        <f t="shared" ref="AS749:BD749" si="946">AS748*N$440/100</f>
        <v>#N/A</v>
      </c>
      <c r="AT749" s="616" t="e">
        <f t="shared" si="946"/>
        <v>#N/A</v>
      </c>
      <c r="AU749" s="616" t="e">
        <f t="shared" si="946"/>
        <v>#N/A</v>
      </c>
      <c r="AV749" s="616" t="e">
        <f t="shared" si="946"/>
        <v>#N/A</v>
      </c>
      <c r="AW749" s="616" t="e">
        <f t="shared" si="946"/>
        <v>#N/A</v>
      </c>
      <c r="AX749" s="616" t="e">
        <f t="shared" si="946"/>
        <v>#N/A</v>
      </c>
      <c r="AY749" s="616" t="e">
        <f t="shared" si="946"/>
        <v>#N/A</v>
      </c>
      <c r="AZ749" s="616" t="e">
        <f t="shared" si="946"/>
        <v>#N/A</v>
      </c>
      <c r="BA749" s="616" t="e">
        <f t="shared" si="946"/>
        <v>#N/A</v>
      </c>
      <c r="BB749" s="616" t="e">
        <f t="shared" si="946"/>
        <v>#N/A</v>
      </c>
      <c r="BC749" s="616" t="e">
        <f t="shared" si="946"/>
        <v>#N/A</v>
      </c>
      <c r="BD749" s="616" t="e">
        <f t="shared" si="946"/>
        <v>#N/A</v>
      </c>
      <c r="BE749" s="616" t="e">
        <f t="shared" ref="BE749:BP749" si="947">BE748*N$440/100</f>
        <v>#N/A</v>
      </c>
      <c r="BF749" s="616" t="e">
        <f t="shared" si="947"/>
        <v>#N/A</v>
      </c>
      <c r="BG749" s="616" t="e">
        <f t="shared" si="947"/>
        <v>#N/A</v>
      </c>
      <c r="BH749" s="616" t="e">
        <f t="shared" si="947"/>
        <v>#N/A</v>
      </c>
      <c r="BI749" s="616" t="e">
        <f t="shared" si="947"/>
        <v>#N/A</v>
      </c>
      <c r="BJ749" s="616" t="e">
        <f t="shared" si="947"/>
        <v>#N/A</v>
      </c>
      <c r="BK749" s="616" t="e">
        <f t="shared" si="947"/>
        <v>#N/A</v>
      </c>
      <c r="BL749" s="616" t="e">
        <f t="shared" si="947"/>
        <v>#N/A</v>
      </c>
      <c r="BM749" s="616" t="e">
        <f t="shared" si="947"/>
        <v>#N/A</v>
      </c>
      <c r="BN749" s="616" t="e">
        <f t="shared" si="947"/>
        <v>#N/A</v>
      </c>
      <c r="BO749" s="616" t="e">
        <f t="shared" si="947"/>
        <v>#N/A</v>
      </c>
      <c r="BP749" s="616" t="e">
        <f t="shared" si="947"/>
        <v>#N/A</v>
      </c>
      <c r="BQ749" s="616" t="e">
        <f t="shared" ref="BQ749:CB749" si="948">BQ748*N$440/100</f>
        <v>#N/A</v>
      </c>
      <c r="BR749" s="616" t="e">
        <f t="shared" si="948"/>
        <v>#N/A</v>
      </c>
      <c r="BS749" s="616" t="e">
        <f t="shared" si="948"/>
        <v>#N/A</v>
      </c>
      <c r="BT749" s="616" t="e">
        <f t="shared" si="948"/>
        <v>#N/A</v>
      </c>
      <c r="BU749" s="616" t="e">
        <f t="shared" si="948"/>
        <v>#N/A</v>
      </c>
      <c r="BV749" s="616" t="e">
        <f t="shared" si="948"/>
        <v>#N/A</v>
      </c>
      <c r="BW749" s="616" t="e">
        <f t="shared" si="948"/>
        <v>#N/A</v>
      </c>
      <c r="BX749" s="616" t="e">
        <f t="shared" si="948"/>
        <v>#N/A</v>
      </c>
      <c r="BY749" s="616" t="e">
        <f t="shared" si="948"/>
        <v>#N/A</v>
      </c>
      <c r="BZ749" s="616" t="e">
        <f t="shared" si="948"/>
        <v>#N/A</v>
      </c>
      <c r="CA749" s="616" t="e">
        <f t="shared" si="948"/>
        <v>#N/A</v>
      </c>
      <c r="CB749" s="616" t="e">
        <f t="shared" si="948"/>
        <v>#N/A</v>
      </c>
      <c r="CC749" s="616" t="e">
        <f t="shared" ref="CC749:CN749" si="949">CC748*N$440/100</f>
        <v>#N/A</v>
      </c>
      <c r="CD749" s="616" t="e">
        <f t="shared" si="949"/>
        <v>#N/A</v>
      </c>
      <c r="CE749" s="616" t="e">
        <f t="shared" si="949"/>
        <v>#N/A</v>
      </c>
      <c r="CF749" s="616" t="e">
        <f t="shared" si="949"/>
        <v>#N/A</v>
      </c>
      <c r="CG749" s="616" t="e">
        <f t="shared" si="949"/>
        <v>#N/A</v>
      </c>
      <c r="CH749" s="616" t="e">
        <f t="shared" si="949"/>
        <v>#N/A</v>
      </c>
      <c r="CI749" s="616" t="e">
        <f t="shared" si="949"/>
        <v>#N/A</v>
      </c>
      <c r="CJ749" s="616" t="e">
        <f t="shared" si="949"/>
        <v>#N/A</v>
      </c>
      <c r="CK749" s="616" t="e">
        <f t="shared" si="949"/>
        <v>#N/A</v>
      </c>
      <c r="CL749" s="616" t="e">
        <f t="shared" si="949"/>
        <v>#N/A</v>
      </c>
      <c r="CM749" s="616" t="e">
        <f t="shared" si="949"/>
        <v>#N/A</v>
      </c>
      <c r="CN749" s="616" t="e">
        <f t="shared" si="949"/>
        <v>#N/A</v>
      </c>
    </row>
    <row r="750" spans="8:92">
      <c r="H750" s="602" t="s">
        <v>940</v>
      </c>
      <c r="L750" s="618"/>
      <c r="M750" s="600"/>
      <c r="N750" s="615"/>
      <c r="O750" s="615"/>
      <c r="P750" s="615"/>
      <c r="Q750" s="615"/>
      <c r="R750" s="615"/>
      <c r="S750" s="615"/>
      <c r="U750" s="616"/>
      <c r="V750" s="616"/>
      <c r="W750" s="616"/>
      <c r="X750" s="616"/>
      <c r="Y750" s="616"/>
      <c r="Z750" s="616"/>
      <c r="AA750" s="616"/>
      <c r="AB750" s="616"/>
      <c r="AC750" s="616"/>
      <c r="AD750" s="616"/>
      <c r="AE750" s="616"/>
      <c r="AF750" s="616"/>
      <c r="AG750" s="616"/>
      <c r="AH750" s="616"/>
      <c r="AI750" s="616"/>
      <c r="AJ750" s="616"/>
      <c r="AK750" s="616"/>
      <c r="AL750" s="616"/>
      <c r="AM750" s="616"/>
      <c r="AN750" s="616"/>
      <c r="AO750" s="616"/>
      <c r="AP750" s="616"/>
      <c r="AQ750" s="616"/>
      <c r="AR750" s="616"/>
      <c r="AS750" s="616"/>
      <c r="AT750" s="616"/>
      <c r="AU750" s="616"/>
      <c r="AV750" s="616"/>
      <c r="AW750" s="616"/>
      <c r="AX750" s="616"/>
      <c r="AY750" s="616"/>
      <c r="AZ750" s="616"/>
      <c r="BA750" s="616"/>
      <c r="BB750" s="616"/>
      <c r="BC750" s="616"/>
      <c r="BD750" s="616"/>
      <c r="BE750" s="616"/>
      <c r="BF750" s="616"/>
      <c r="BG750" s="616"/>
      <c r="BH750" s="616"/>
      <c r="BI750" s="616"/>
      <c r="BJ750" s="616"/>
      <c r="BK750" s="616"/>
      <c r="BL750" s="616"/>
      <c r="BM750" s="616"/>
      <c r="BN750" s="616"/>
      <c r="BO750" s="616"/>
      <c r="BP750" s="616"/>
      <c r="BQ750" s="616"/>
      <c r="BR750" s="616"/>
      <c r="BS750" s="616"/>
      <c r="BT750" s="616"/>
      <c r="BU750" s="616"/>
      <c r="BV750" s="616"/>
      <c r="BW750" s="616"/>
      <c r="BX750" s="616"/>
      <c r="BY750" s="616"/>
      <c r="BZ750" s="616"/>
      <c r="CA750" s="616"/>
      <c r="CB750" s="616"/>
      <c r="CC750" s="616"/>
      <c r="CD750" s="616"/>
      <c r="CE750" s="616"/>
      <c r="CF750" s="616"/>
      <c r="CG750" s="616"/>
      <c r="CH750" s="616"/>
      <c r="CI750" s="616"/>
      <c r="CJ750" s="616"/>
      <c r="CK750" s="616"/>
      <c r="CL750" s="616"/>
      <c r="CM750" s="616"/>
      <c r="CN750" s="616"/>
    </row>
    <row r="751" spans="8:92">
      <c r="H751" s="602" t="s">
        <v>940</v>
      </c>
      <c r="L751" s="618" t="s">
        <v>1305</v>
      </c>
      <c r="M751" s="600" t="s">
        <v>974</v>
      </c>
      <c r="N751" s="615" t="e">
        <f>SUM(U751:AF751)</f>
        <v>#N/A</v>
      </c>
      <c r="O751" s="615" t="e">
        <f>SUM(AG751:AR751)</f>
        <v>#N/A</v>
      </c>
      <c r="P751" s="615" t="e">
        <f>SUM(AS751:BD751)</f>
        <v>#N/A</v>
      </c>
      <c r="Q751" s="615" t="e">
        <f>SUM(BE751:BP751)</f>
        <v>#N/A</v>
      </c>
      <c r="R751" s="615" t="e">
        <f>SUM(BQ751:CB751)</f>
        <v>#N/A</v>
      </c>
      <c r="S751" s="615" t="e">
        <f>SUM(CC751:CN751)</f>
        <v>#N/A</v>
      </c>
      <c r="U751" s="616" t="e">
        <f>SUM(U748:U749)</f>
        <v>#N/A</v>
      </c>
      <c r="V751" s="616" t="e">
        <f t="shared" ref="V751:CG751" si="950">SUM(V748:V749)</f>
        <v>#N/A</v>
      </c>
      <c r="W751" s="616" t="e">
        <f t="shared" si="950"/>
        <v>#N/A</v>
      </c>
      <c r="X751" s="616" t="e">
        <f t="shared" si="950"/>
        <v>#N/A</v>
      </c>
      <c r="Y751" s="616" t="e">
        <f t="shared" si="950"/>
        <v>#N/A</v>
      </c>
      <c r="Z751" s="616" t="e">
        <f t="shared" si="950"/>
        <v>#N/A</v>
      </c>
      <c r="AA751" s="616" t="e">
        <f t="shared" si="950"/>
        <v>#N/A</v>
      </c>
      <c r="AB751" s="616" t="e">
        <f t="shared" si="950"/>
        <v>#N/A</v>
      </c>
      <c r="AC751" s="616" t="e">
        <f t="shared" si="950"/>
        <v>#N/A</v>
      </c>
      <c r="AD751" s="616" t="e">
        <f t="shared" si="950"/>
        <v>#N/A</v>
      </c>
      <c r="AE751" s="616" t="e">
        <f t="shared" si="950"/>
        <v>#N/A</v>
      </c>
      <c r="AF751" s="616" t="e">
        <f t="shared" si="950"/>
        <v>#N/A</v>
      </c>
      <c r="AG751" s="616" t="e">
        <f t="shared" si="950"/>
        <v>#N/A</v>
      </c>
      <c r="AH751" s="616" t="e">
        <f t="shared" si="950"/>
        <v>#N/A</v>
      </c>
      <c r="AI751" s="616" t="e">
        <f t="shared" si="950"/>
        <v>#N/A</v>
      </c>
      <c r="AJ751" s="616" t="e">
        <f t="shared" si="950"/>
        <v>#N/A</v>
      </c>
      <c r="AK751" s="616" t="e">
        <f t="shared" si="950"/>
        <v>#N/A</v>
      </c>
      <c r="AL751" s="616" t="e">
        <f t="shared" si="950"/>
        <v>#N/A</v>
      </c>
      <c r="AM751" s="616" t="e">
        <f t="shared" si="950"/>
        <v>#N/A</v>
      </c>
      <c r="AN751" s="616" t="e">
        <f t="shared" si="950"/>
        <v>#N/A</v>
      </c>
      <c r="AO751" s="616" t="e">
        <f t="shared" si="950"/>
        <v>#N/A</v>
      </c>
      <c r="AP751" s="616" t="e">
        <f t="shared" si="950"/>
        <v>#N/A</v>
      </c>
      <c r="AQ751" s="616" t="e">
        <f t="shared" si="950"/>
        <v>#N/A</v>
      </c>
      <c r="AR751" s="616" t="e">
        <f t="shared" si="950"/>
        <v>#N/A</v>
      </c>
      <c r="AS751" s="616" t="e">
        <f t="shared" si="950"/>
        <v>#N/A</v>
      </c>
      <c r="AT751" s="616" t="e">
        <f t="shared" si="950"/>
        <v>#N/A</v>
      </c>
      <c r="AU751" s="616" t="e">
        <f t="shared" si="950"/>
        <v>#N/A</v>
      </c>
      <c r="AV751" s="616" t="e">
        <f t="shared" si="950"/>
        <v>#N/A</v>
      </c>
      <c r="AW751" s="616" t="e">
        <f t="shared" si="950"/>
        <v>#N/A</v>
      </c>
      <c r="AX751" s="616" t="e">
        <f t="shared" si="950"/>
        <v>#N/A</v>
      </c>
      <c r="AY751" s="616" t="e">
        <f t="shared" si="950"/>
        <v>#N/A</v>
      </c>
      <c r="AZ751" s="616" t="e">
        <f t="shared" si="950"/>
        <v>#N/A</v>
      </c>
      <c r="BA751" s="616" t="e">
        <f t="shared" si="950"/>
        <v>#N/A</v>
      </c>
      <c r="BB751" s="616" t="e">
        <f t="shared" si="950"/>
        <v>#N/A</v>
      </c>
      <c r="BC751" s="616" t="e">
        <f t="shared" si="950"/>
        <v>#N/A</v>
      </c>
      <c r="BD751" s="616" t="e">
        <f t="shared" si="950"/>
        <v>#N/A</v>
      </c>
      <c r="BE751" s="616" t="e">
        <f t="shared" si="950"/>
        <v>#N/A</v>
      </c>
      <c r="BF751" s="616" t="e">
        <f t="shared" si="950"/>
        <v>#N/A</v>
      </c>
      <c r="BG751" s="616" t="e">
        <f t="shared" si="950"/>
        <v>#N/A</v>
      </c>
      <c r="BH751" s="616" t="e">
        <f t="shared" si="950"/>
        <v>#N/A</v>
      </c>
      <c r="BI751" s="616" t="e">
        <f t="shared" si="950"/>
        <v>#N/A</v>
      </c>
      <c r="BJ751" s="616" t="e">
        <f t="shared" si="950"/>
        <v>#N/A</v>
      </c>
      <c r="BK751" s="616" t="e">
        <f t="shared" si="950"/>
        <v>#N/A</v>
      </c>
      <c r="BL751" s="616" t="e">
        <f t="shared" si="950"/>
        <v>#N/A</v>
      </c>
      <c r="BM751" s="616" t="e">
        <f t="shared" si="950"/>
        <v>#N/A</v>
      </c>
      <c r="BN751" s="616" t="e">
        <f t="shared" si="950"/>
        <v>#N/A</v>
      </c>
      <c r="BO751" s="616" t="e">
        <f t="shared" si="950"/>
        <v>#N/A</v>
      </c>
      <c r="BP751" s="616" t="e">
        <f t="shared" si="950"/>
        <v>#N/A</v>
      </c>
      <c r="BQ751" s="616" t="e">
        <f t="shared" si="950"/>
        <v>#N/A</v>
      </c>
      <c r="BR751" s="616" t="e">
        <f t="shared" si="950"/>
        <v>#N/A</v>
      </c>
      <c r="BS751" s="616" t="e">
        <f t="shared" si="950"/>
        <v>#N/A</v>
      </c>
      <c r="BT751" s="616" t="e">
        <f t="shared" si="950"/>
        <v>#N/A</v>
      </c>
      <c r="BU751" s="616" t="e">
        <f t="shared" si="950"/>
        <v>#N/A</v>
      </c>
      <c r="BV751" s="616" t="e">
        <f t="shared" si="950"/>
        <v>#N/A</v>
      </c>
      <c r="BW751" s="616" t="e">
        <f t="shared" si="950"/>
        <v>#N/A</v>
      </c>
      <c r="BX751" s="616" t="e">
        <f t="shared" si="950"/>
        <v>#N/A</v>
      </c>
      <c r="BY751" s="616" t="e">
        <f t="shared" si="950"/>
        <v>#N/A</v>
      </c>
      <c r="BZ751" s="616" t="e">
        <f t="shared" si="950"/>
        <v>#N/A</v>
      </c>
      <c r="CA751" s="616" t="e">
        <f t="shared" si="950"/>
        <v>#N/A</v>
      </c>
      <c r="CB751" s="616" t="e">
        <f t="shared" si="950"/>
        <v>#N/A</v>
      </c>
      <c r="CC751" s="616" t="e">
        <f t="shared" si="950"/>
        <v>#N/A</v>
      </c>
      <c r="CD751" s="616" t="e">
        <f t="shared" si="950"/>
        <v>#N/A</v>
      </c>
      <c r="CE751" s="616" t="e">
        <f t="shared" si="950"/>
        <v>#N/A</v>
      </c>
      <c r="CF751" s="616" t="e">
        <f t="shared" si="950"/>
        <v>#N/A</v>
      </c>
      <c r="CG751" s="616" t="e">
        <f t="shared" si="950"/>
        <v>#N/A</v>
      </c>
      <c r="CH751" s="616" t="e">
        <f t="shared" ref="CH751:CN751" si="951">SUM(CH748:CH749)</f>
        <v>#N/A</v>
      </c>
      <c r="CI751" s="616" t="e">
        <f t="shared" si="951"/>
        <v>#N/A</v>
      </c>
      <c r="CJ751" s="616" t="e">
        <f t="shared" si="951"/>
        <v>#N/A</v>
      </c>
      <c r="CK751" s="616" t="e">
        <f t="shared" si="951"/>
        <v>#N/A</v>
      </c>
      <c r="CL751" s="616" t="e">
        <f t="shared" si="951"/>
        <v>#N/A</v>
      </c>
      <c r="CM751" s="616" t="e">
        <f t="shared" si="951"/>
        <v>#N/A</v>
      </c>
      <c r="CN751" s="616" t="e">
        <f t="shared" si="951"/>
        <v>#N/A</v>
      </c>
    </row>
    <row r="752" spans="8:92">
      <c r="H752" s="602" t="s">
        <v>940</v>
      </c>
      <c r="L752" s="618" t="s">
        <v>1307</v>
      </c>
      <c r="M752" s="600" t="s">
        <v>974</v>
      </c>
      <c r="N752" s="615" t="e">
        <f>SUM(U752:AF752)</f>
        <v>#N/A</v>
      </c>
      <c r="O752" s="615" t="e">
        <f>SUM(AG752:AR752)</f>
        <v>#N/A</v>
      </c>
      <c r="P752" s="615" t="e">
        <f>SUM(AS752:BD752)</f>
        <v>#N/A</v>
      </c>
      <c r="Q752" s="615" t="e">
        <f>SUM(BE752:BP752)</f>
        <v>#N/A</v>
      </c>
      <c r="R752" s="615" t="e">
        <f>SUM(BQ752:CB752)</f>
        <v>#N/A</v>
      </c>
      <c r="S752" s="615" t="e">
        <f>SUM(CC752:CN752)</f>
        <v>#N/A</v>
      </c>
      <c r="U752" s="616" t="e">
        <f>U751-U727</f>
        <v>#N/A</v>
      </c>
      <c r="V752" s="616" t="e">
        <f t="shared" ref="V752:CG752" si="952">V751-V727</f>
        <v>#N/A</v>
      </c>
      <c r="W752" s="616" t="e">
        <f t="shared" si="952"/>
        <v>#N/A</v>
      </c>
      <c r="X752" s="616" t="e">
        <f t="shared" si="952"/>
        <v>#N/A</v>
      </c>
      <c r="Y752" s="616" t="e">
        <f t="shared" si="952"/>
        <v>#N/A</v>
      </c>
      <c r="Z752" s="616" t="e">
        <f t="shared" si="952"/>
        <v>#N/A</v>
      </c>
      <c r="AA752" s="616" t="e">
        <f t="shared" si="952"/>
        <v>#N/A</v>
      </c>
      <c r="AB752" s="616" t="e">
        <f t="shared" si="952"/>
        <v>#N/A</v>
      </c>
      <c r="AC752" s="616" t="e">
        <f t="shared" si="952"/>
        <v>#N/A</v>
      </c>
      <c r="AD752" s="616" t="e">
        <f t="shared" si="952"/>
        <v>#N/A</v>
      </c>
      <c r="AE752" s="616" t="e">
        <f t="shared" si="952"/>
        <v>#N/A</v>
      </c>
      <c r="AF752" s="616" t="e">
        <f t="shared" si="952"/>
        <v>#N/A</v>
      </c>
      <c r="AG752" s="616" t="e">
        <f t="shared" si="952"/>
        <v>#N/A</v>
      </c>
      <c r="AH752" s="616" t="e">
        <f t="shared" si="952"/>
        <v>#N/A</v>
      </c>
      <c r="AI752" s="616" t="e">
        <f t="shared" si="952"/>
        <v>#N/A</v>
      </c>
      <c r="AJ752" s="616" t="e">
        <f t="shared" si="952"/>
        <v>#N/A</v>
      </c>
      <c r="AK752" s="616" t="e">
        <f t="shared" si="952"/>
        <v>#N/A</v>
      </c>
      <c r="AL752" s="616" t="e">
        <f t="shared" si="952"/>
        <v>#N/A</v>
      </c>
      <c r="AM752" s="616" t="e">
        <f t="shared" si="952"/>
        <v>#N/A</v>
      </c>
      <c r="AN752" s="616" t="e">
        <f t="shared" si="952"/>
        <v>#N/A</v>
      </c>
      <c r="AO752" s="616" t="e">
        <f t="shared" si="952"/>
        <v>#N/A</v>
      </c>
      <c r="AP752" s="616" t="e">
        <f t="shared" si="952"/>
        <v>#N/A</v>
      </c>
      <c r="AQ752" s="616" t="e">
        <f t="shared" si="952"/>
        <v>#N/A</v>
      </c>
      <c r="AR752" s="616" t="e">
        <f t="shared" si="952"/>
        <v>#N/A</v>
      </c>
      <c r="AS752" s="616" t="e">
        <f t="shared" si="952"/>
        <v>#N/A</v>
      </c>
      <c r="AT752" s="616" t="e">
        <f t="shared" si="952"/>
        <v>#N/A</v>
      </c>
      <c r="AU752" s="616" t="e">
        <f t="shared" si="952"/>
        <v>#N/A</v>
      </c>
      <c r="AV752" s="616" t="e">
        <f t="shared" si="952"/>
        <v>#N/A</v>
      </c>
      <c r="AW752" s="616" t="e">
        <f t="shared" si="952"/>
        <v>#N/A</v>
      </c>
      <c r="AX752" s="616" t="e">
        <f t="shared" si="952"/>
        <v>#N/A</v>
      </c>
      <c r="AY752" s="616" t="e">
        <f t="shared" si="952"/>
        <v>#N/A</v>
      </c>
      <c r="AZ752" s="616" t="e">
        <f t="shared" si="952"/>
        <v>#N/A</v>
      </c>
      <c r="BA752" s="616" t="e">
        <f t="shared" si="952"/>
        <v>#N/A</v>
      </c>
      <c r="BB752" s="616" t="e">
        <f t="shared" si="952"/>
        <v>#N/A</v>
      </c>
      <c r="BC752" s="616" t="e">
        <f t="shared" si="952"/>
        <v>#N/A</v>
      </c>
      <c r="BD752" s="616" t="e">
        <f t="shared" si="952"/>
        <v>#N/A</v>
      </c>
      <c r="BE752" s="616" t="e">
        <f t="shared" si="952"/>
        <v>#N/A</v>
      </c>
      <c r="BF752" s="616" t="e">
        <f t="shared" si="952"/>
        <v>#N/A</v>
      </c>
      <c r="BG752" s="616" t="e">
        <f t="shared" si="952"/>
        <v>#N/A</v>
      </c>
      <c r="BH752" s="616" t="e">
        <f t="shared" si="952"/>
        <v>#N/A</v>
      </c>
      <c r="BI752" s="616" t="e">
        <f t="shared" si="952"/>
        <v>#N/A</v>
      </c>
      <c r="BJ752" s="616" t="e">
        <f t="shared" si="952"/>
        <v>#N/A</v>
      </c>
      <c r="BK752" s="616" t="e">
        <f t="shared" si="952"/>
        <v>#N/A</v>
      </c>
      <c r="BL752" s="616" t="e">
        <f t="shared" si="952"/>
        <v>#N/A</v>
      </c>
      <c r="BM752" s="616" t="e">
        <f t="shared" si="952"/>
        <v>#N/A</v>
      </c>
      <c r="BN752" s="616" t="e">
        <f t="shared" si="952"/>
        <v>#N/A</v>
      </c>
      <c r="BO752" s="616" t="e">
        <f t="shared" si="952"/>
        <v>#N/A</v>
      </c>
      <c r="BP752" s="616" t="e">
        <f t="shared" si="952"/>
        <v>#N/A</v>
      </c>
      <c r="BQ752" s="616" t="e">
        <f t="shared" si="952"/>
        <v>#N/A</v>
      </c>
      <c r="BR752" s="616" t="e">
        <f t="shared" si="952"/>
        <v>#N/A</v>
      </c>
      <c r="BS752" s="616" t="e">
        <f t="shared" si="952"/>
        <v>#N/A</v>
      </c>
      <c r="BT752" s="616" t="e">
        <f t="shared" si="952"/>
        <v>#N/A</v>
      </c>
      <c r="BU752" s="616" t="e">
        <f t="shared" si="952"/>
        <v>#N/A</v>
      </c>
      <c r="BV752" s="616" t="e">
        <f t="shared" si="952"/>
        <v>#N/A</v>
      </c>
      <c r="BW752" s="616" t="e">
        <f t="shared" si="952"/>
        <v>#N/A</v>
      </c>
      <c r="BX752" s="616" t="e">
        <f t="shared" si="952"/>
        <v>#N/A</v>
      </c>
      <c r="BY752" s="616" t="e">
        <f t="shared" si="952"/>
        <v>#N/A</v>
      </c>
      <c r="BZ752" s="616" t="e">
        <f t="shared" si="952"/>
        <v>#N/A</v>
      </c>
      <c r="CA752" s="616" t="e">
        <f t="shared" si="952"/>
        <v>#N/A</v>
      </c>
      <c r="CB752" s="616" t="e">
        <f t="shared" si="952"/>
        <v>#N/A</v>
      </c>
      <c r="CC752" s="616" t="e">
        <f t="shared" si="952"/>
        <v>#N/A</v>
      </c>
      <c r="CD752" s="616" t="e">
        <f t="shared" si="952"/>
        <v>#N/A</v>
      </c>
      <c r="CE752" s="616" t="e">
        <f t="shared" si="952"/>
        <v>#N/A</v>
      </c>
      <c r="CF752" s="616" t="e">
        <f t="shared" si="952"/>
        <v>#N/A</v>
      </c>
      <c r="CG752" s="616" t="e">
        <f t="shared" si="952"/>
        <v>#N/A</v>
      </c>
      <c r="CH752" s="616" t="e">
        <f t="shared" ref="CH752:CN752" si="953">CH751-CH727</f>
        <v>#N/A</v>
      </c>
      <c r="CI752" s="616" t="e">
        <f t="shared" si="953"/>
        <v>#N/A</v>
      </c>
      <c r="CJ752" s="616" t="e">
        <f t="shared" si="953"/>
        <v>#N/A</v>
      </c>
      <c r="CK752" s="616" t="e">
        <f t="shared" si="953"/>
        <v>#N/A</v>
      </c>
      <c r="CL752" s="616" t="e">
        <f t="shared" si="953"/>
        <v>#N/A</v>
      </c>
      <c r="CM752" s="616" t="e">
        <f t="shared" si="953"/>
        <v>#N/A</v>
      </c>
      <c r="CN752" s="616" t="e">
        <f t="shared" si="953"/>
        <v>#N/A</v>
      </c>
    </row>
    <row r="753" spans="8:92">
      <c r="H753" s="602" t="s">
        <v>940</v>
      </c>
    </row>
    <row r="754" spans="8:92" ht="18">
      <c r="H754" s="602" t="s">
        <v>940</v>
      </c>
      <c r="L754" s="652" t="s">
        <v>1317</v>
      </c>
      <c r="M754" s="551"/>
      <c r="N754" s="751"/>
      <c r="O754" s="751"/>
      <c r="P754" s="751"/>
      <c r="Q754" s="751"/>
      <c r="R754" s="751"/>
      <c r="S754" s="751"/>
      <c r="T754" s="551"/>
      <c r="U754" s="551"/>
      <c r="V754" s="551"/>
      <c r="W754" s="551"/>
      <c r="X754" s="551"/>
      <c r="Y754" s="551"/>
      <c r="Z754" s="551"/>
      <c r="AA754" s="551"/>
      <c r="AB754" s="551"/>
      <c r="AC754" s="551"/>
      <c r="AD754" s="551"/>
      <c r="AE754" s="551"/>
      <c r="AF754" s="551"/>
      <c r="AG754" s="551"/>
      <c r="AH754" s="551"/>
      <c r="AI754" s="551"/>
      <c r="AJ754" s="551"/>
      <c r="AK754" s="551"/>
      <c r="AL754" s="551"/>
      <c r="AM754" s="551"/>
      <c r="AN754" s="551"/>
      <c r="AO754" s="551"/>
      <c r="AP754" s="551"/>
      <c r="AQ754" s="551"/>
      <c r="AR754" s="551"/>
      <c r="AS754" s="551"/>
      <c r="AT754" s="551"/>
      <c r="AU754" s="551"/>
      <c r="AV754" s="551"/>
      <c r="AW754" s="551"/>
      <c r="AX754" s="551"/>
      <c r="AY754" s="551"/>
      <c r="AZ754" s="551"/>
      <c r="BA754" s="551"/>
      <c r="BB754" s="551"/>
      <c r="BC754" s="551"/>
      <c r="BD754" s="551"/>
      <c r="BE754" s="551"/>
      <c r="BF754" s="551"/>
      <c r="BG754" s="551"/>
      <c r="BH754" s="551"/>
      <c r="BI754" s="551"/>
      <c r="BJ754" s="551"/>
      <c r="BK754" s="551"/>
      <c r="BL754" s="551"/>
      <c r="BM754" s="551"/>
      <c r="BN754" s="551"/>
      <c r="BO754" s="551"/>
      <c r="BP754" s="551"/>
      <c r="BQ754" s="551"/>
      <c r="BR754" s="551"/>
      <c r="BS754" s="551"/>
      <c r="BT754" s="551"/>
      <c r="BU754" s="551"/>
      <c r="BV754" s="551"/>
      <c r="BW754" s="551"/>
      <c r="BX754" s="551"/>
      <c r="BY754" s="551"/>
      <c r="BZ754" s="551"/>
      <c r="CA754" s="551"/>
      <c r="CB754" s="551"/>
      <c r="CC754" s="551"/>
      <c r="CD754" s="551"/>
      <c r="CE754" s="551"/>
      <c r="CF754" s="551"/>
      <c r="CG754" s="551"/>
      <c r="CH754" s="551"/>
      <c r="CI754" s="551"/>
      <c r="CJ754" s="551"/>
      <c r="CK754" s="551"/>
      <c r="CL754" s="551"/>
      <c r="CM754" s="551"/>
      <c r="CN754" s="551"/>
    </row>
    <row r="755" spans="8:92" ht="13.5" thickBot="1">
      <c r="H755" s="602" t="s">
        <v>940</v>
      </c>
    </row>
    <row r="756" spans="8:92" ht="13.5" thickTop="1">
      <c r="H756" s="602" t="s">
        <v>940</v>
      </c>
      <c r="L756" s="757" t="s">
        <v>1314</v>
      </c>
      <c r="M756" s="758"/>
      <c r="N756" s="758"/>
      <c r="O756" s="758"/>
      <c r="P756" s="758"/>
      <c r="Q756" s="758"/>
      <c r="R756" s="758"/>
      <c r="S756" s="758"/>
      <c r="T756" s="758"/>
      <c r="U756" s="758"/>
      <c r="V756" s="758"/>
      <c r="W756" s="758"/>
      <c r="X756" s="758"/>
      <c r="Y756" s="758"/>
      <c r="Z756" s="758"/>
      <c r="AA756" s="758"/>
      <c r="AB756" s="758"/>
      <c r="AC756" s="758"/>
      <c r="AD756" s="758"/>
      <c r="AE756" s="758"/>
      <c r="AF756" s="758"/>
      <c r="AG756" s="758"/>
      <c r="AH756" s="758"/>
      <c r="AI756" s="758"/>
      <c r="AJ756" s="758"/>
      <c r="AK756" s="758"/>
      <c r="AL756" s="758"/>
      <c r="AM756" s="758"/>
      <c r="AN756" s="758"/>
      <c r="AO756" s="758"/>
      <c r="AP756" s="758"/>
      <c r="AQ756" s="758"/>
      <c r="AR756" s="758"/>
      <c r="AS756" s="758"/>
      <c r="AT756" s="758"/>
      <c r="AU756" s="758"/>
      <c r="AV756" s="758"/>
      <c r="AW756" s="758"/>
      <c r="AX756" s="758"/>
      <c r="AY756" s="758"/>
      <c r="AZ756" s="758"/>
      <c r="BA756" s="758"/>
      <c r="BB756" s="758"/>
      <c r="BC756" s="758"/>
      <c r="BD756" s="758"/>
      <c r="BE756" s="758"/>
      <c r="BF756" s="758"/>
      <c r="BG756" s="758"/>
      <c r="BH756" s="758"/>
      <c r="BI756" s="758"/>
      <c r="BJ756" s="758"/>
      <c r="BK756" s="758"/>
      <c r="BL756" s="758"/>
      <c r="BM756" s="758"/>
      <c r="BN756" s="758"/>
      <c r="BO756" s="758"/>
      <c r="BP756" s="758"/>
      <c r="BQ756" s="758"/>
      <c r="BR756" s="758"/>
      <c r="BS756" s="758"/>
      <c r="BT756" s="758"/>
      <c r="BU756" s="758"/>
      <c r="BV756" s="758"/>
      <c r="BW756" s="758"/>
      <c r="BX756" s="758"/>
      <c r="BY756" s="758"/>
      <c r="BZ756" s="758"/>
      <c r="CA756" s="758"/>
      <c r="CB756" s="758"/>
      <c r="CC756" s="758"/>
      <c r="CD756" s="758"/>
      <c r="CE756" s="758"/>
      <c r="CF756" s="758"/>
      <c r="CG756" s="758"/>
      <c r="CH756" s="758"/>
      <c r="CI756" s="758"/>
      <c r="CJ756" s="758"/>
      <c r="CK756" s="758"/>
      <c r="CL756" s="758"/>
      <c r="CM756" s="758"/>
      <c r="CN756" s="758"/>
    </row>
    <row r="757" spans="8:92">
      <c r="H757" s="602" t="s">
        <v>940</v>
      </c>
      <c r="L757" s="609"/>
      <c r="M757" s="609" t="s">
        <v>359</v>
      </c>
      <c r="N757" s="704" t="s">
        <v>929</v>
      </c>
      <c r="O757" s="704" t="s">
        <v>1193</v>
      </c>
      <c r="P757" s="704" t="s">
        <v>1194</v>
      </c>
      <c r="Q757" s="704" t="s">
        <v>1195</v>
      </c>
      <c r="R757" s="704" t="s">
        <v>1196</v>
      </c>
      <c r="S757" s="704" t="s">
        <v>1197</v>
      </c>
      <c r="T757" s="753"/>
      <c r="U757" s="692" t="s">
        <v>929</v>
      </c>
      <c r="AF757" s="753"/>
      <c r="AG757" s="704" t="s">
        <v>1193</v>
      </c>
      <c r="AR757" s="753"/>
      <c r="AS757" s="704" t="s">
        <v>1194</v>
      </c>
      <c r="BD757" s="753"/>
      <c r="BE757" s="704" t="s">
        <v>1195</v>
      </c>
      <c r="BP757" s="753"/>
      <c r="BQ757" s="704" t="s">
        <v>1196</v>
      </c>
      <c r="CB757" s="753"/>
      <c r="CC757" s="704" t="s">
        <v>1197</v>
      </c>
    </row>
    <row r="758" spans="8:92">
      <c r="H758" s="602" t="s">
        <v>940</v>
      </c>
      <c r="L758" s="611"/>
      <c r="M758" s="611"/>
      <c r="N758" s="754" t="s">
        <v>405</v>
      </c>
      <c r="O758" s="754" t="s">
        <v>405</v>
      </c>
      <c r="P758" s="754" t="s">
        <v>405</v>
      </c>
      <c r="Q758" s="754" t="s">
        <v>405</v>
      </c>
      <c r="R758" s="754" t="s">
        <v>405</v>
      </c>
      <c r="S758" s="754" t="s">
        <v>405</v>
      </c>
      <c r="T758" s="755"/>
      <c r="U758" s="754" t="s">
        <v>1259</v>
      </c>
      <c r="V758" s="754" t="s">
        <v>1260</v>
      </c>
      <c r="W758" s="754" t="s">
        <v>1261</v>
      </c>
      <c r="X758" s="754" t="s">
        <v>1262</v>
      </c>
      <c r="Y758" s="754" t="s">
        <v>947</v>
      </c>
      <c r="Z758" s="754" t="s">
        <v>1263</v>
      </c>
      <c r="AA758" s="754" t="s">
        <v>1264</v>
      </c>
      <c r="AB758" s="754" t="s">
        <v>1265</v>
      </c>
      <c r="AC758" s="754" t="s">
        <v>1266</v>
      </c>
      <c r="AD758" s="754" t="s">
        <v>1267</v>
      </c>
      <c r="AE758" s="754" t="s">
        <v>1268</v>
      </c>
      <c r="AF758" s="756" t="s">
        <v>1269</v>
      </c>
      <c r="AG758" s="754" t="s">
        <v>1259</v>
      </c>
      <c r="AH758" s="754" t="s">
        <v>1260</v>
      </c>
      <c r="AI758" s="754" t="s">
        <v>1261</v>
      </c>
      <c r="AJ758" s="754" t="s">
        <v>1262</v>
      </c>
      <c r="AK758" s="754" t="s">
        <v>947</v>
      </c>
      <c r="AL758" s="754" t="s">
        <v>1263</v>
      </c>
      <c r="AM758" s="754" t="s">
        <v>1264</v>
      </c>
      <c r="AN758" s="754" t="s">
        <v>1265</v>
      </c>
      <c r="AO758" s="754" t="s">
        <v>1266</v>
      </c>
      <c r="AP758" s="754" t="s">
        <v>1267</v>
      </c>
      <c r="AQ758" s="754" t="s">
        <v>1268</v>
      </c>
      <c r="AR758" s="756" t="s">
        <v>1269</v>
      </c>
      <c r="AS758" s="754" t="s">
        <v>1259</v>
      </c>
      <c r="AT758" s="754" t="s">
        <v>1260</v>
      </c>
      <c r="AU758" s="754" t="s">
        <v>1261</v>
      </c>
      <c r="AV758" s="754" t="s">
        <v>1262</v>
      </c>
      <c r="AW758" s="754" t="s">
        <v>947</v>
      </c>
      <c r="AX758" s="754" t="s">
        <v>1263</v>
      </c>
      <c r="AY758" s="754" t="s">
        <v>1264</v>
      </c>
      <c r="AZ758" s="754" t="s">
        <v>1265</v>
      </c>
      <c r="BA758" s="754" t="s">
        <v>1266</v>
      </c>
      <c r="BB758" s="754" t="s">
        <v>1267</v>
      </c>
      <c r="BC758" s="754" t="s">
        <v>1268</v>
      </c>
      <c r="BD758" s="756" t="s">
        <v>1269</v>
      </c>
      <c r="BE758" s="754" t="s">
        <v>1259</v>
      </c>
      <c r="BF758" s="754" t="s">
        <v>1260</v>
      </c>
      <c r="BG758" s="754" t="s">
        <v>1261</v>
      </c>
      <c r="BH758" s="754" t="s">
        <v>1262</v>
      </c>
      <c r="BI758" s="754" t="s">
        <v>947</v>
      </c>
      <c r="BJ758" s="754" t="s">
        <v>1263</v>
      </c>
      <c r="BK758" s="754" t="s">
        <v>1264</v>
      </c>
      <c r="BL758" s="754" t="s">
        <v>1265</v>
      </c>
      <c r="BM758" s="754" t="s">
        <v>1266</v>
      </c>
      <c r="BN758" s="754" t="s">
        <v>1267</v>
      </c>
      <c r="BO758" s="754" t="s">
        <v>1268</v>
      </c>
      <c r="BP758" s="756" t="s">
        <v>1269</v>
      </c>
      <c r="BQ758" s="754" t="s">
        <v>1259</v>
      </c>
      <c r="BR758" s="754" t="s">
        <v>1260</v>
      </c>
      <c r="BS758" s="754" t="s">
        <v>1261</v>
      </c>
      <c r="BT758" s="754" t="s">
        <v>1262</v>
      </c>
      <c r="BU758" s="754" t="s">
        <v>947</v>
      </c>
      <c r="BV758" s="754" t="s">
        <v>1263</v>
      </c>
      <c r="BW758" s="754" t="s">
        <v>1264</v>
      </c>
      <c r="BX758" s="754" t="s">
        <v>1265</v>
      </c>
      <c r="BY758" s="754" t="s">
        <v>1266</v>
      </c>
      <c r="BZ758" s="754" t="s">
        <v>1267</v>
      </c>
      <c r="CA758" s="754" t="s">
        <v>1268</v>
      </c>
      <c r="CB758" s="756" t="s">
        <v>1269</v>
      </c>
      <c r="CC758" s="754" t="s">
        <v>1259</v>
      </c>
      <c r="CD758" s="754" t="s">
        <v>1260</v>
      </c>
      <c r="CE758" s="754" t="s">
        <v>1261</v>
      </c>
      <c r="CF758" s="754" t="s">
        <v>1262</v>
      </c>
      <c r="CG758" s="754" t="s">
        <v>947</v>
      </c>
      <c r="CH758" s="754" t="s">
        <v>1263</v>
      </c>
      <c r="CI758" s="754" t="s">
        <v>1264</v>
      </c>
      <c r="CJ758" s="754" t="s">
        <v>1265</v>
      </c>
      <c r="CK758" s="754" t="s">
        <v>1266</v>
      </c>
      <c r="CL758" s="754" t="s">
        <v>1267</v>
      </c>
      <c r="CM758" s="754" t="s">
        <v>1268</v>
      </c>
      <c r="CN758" s="754" t="s">
        <v>1269</v>
      </c>
    </row>
    <row r="759" spans="8:92">
      <c r="H759" s="602" t="s">
        <v>940</v>
      </c>
      <c r="L759" s="609"/>
    </row>
    <row r="760" spans="8:92">
      <c r="H760" s="602" t="s">
        <v>940</v>
      </c>
      <c r="L760" s="618" t="s">
        <v>1290</v>
      </c>
      <c r="M760" s="600" t="s">
        <v>922</v>
      </c>
      <c r="N760" s="615">
        <f>SUM(U760:AF760)</f>
        <v>154.49766948174809</v>
      </c>
      <c r="O760" s="615">
        <f>SUM(AG760:AR760)</f>
        <v>181.76196409617424</v>
      </c>
      <c r="P760" s="615">
        <f>SUM(AS760:BD760)</f>
        <v>263.02552032858</v>
      </c>
      <c r="Q760" s="615">
        <f>SUM(BE760:BP760)</f>
        <v>344.28907656098568</v>
      </c>
      <c r="R760" s="615">
        <f>SUM(BQ760:CB760)</f>
        <v>425.5526327933913</v>
      </c>
      <c r="S760" s="615">
        <f>SUM(CC760:CN760)</f>
        <v>506.81618902579709</v>
      </c>
      <c r="U760" s="616">
        <f>U501</f>
        <v>12.874805790145677</v>
      </c>
      <c r="V760" s="616">
        <f t="shared" ref="V760:CG760" si="954">V501</f>
        <v>12.874805790145677</v>
      </c>
      <c r="W760" s="616">
        <f t="shared" si="954"/>
        <v>12.874805790145677</v>
      </c>
      <c r="X760" s="616">
        <f t="shared" si="954"/>
        <v>12.874805790145677</v>
      </c>
      <c r="Y760" s="616">
        <f t="shared" si="954"/>
        <v>12.874805790145677</v>
      </c>
      <c r="Z760" s="616">
        <f t="shared" si="954"/>
        <v>12.874805790145677</v>
      </c>
      <c r="AA760" s="616">
        <f t="shared" si="954"/>
        <v>12.874805790145677</v>
      </c>
      <c r="AB760" s="616">
        <f t="shared" si="954"/>
        <v>12.874805790145677</v>
      </c>
      <c r="AC760" s="616">
        <f t="shared" si="954"/>
        <v>12.874805790145677</v>
      </c>
      <c r="AD760" s="616">
        <f t="shared" si="954"/>
        <v>12.874805790145677</v>
      </c>
      <c r="AE760" s="616">
        <f t="shared" si="954"/>
        <v>12.874805790145677</v>
      </c>
      <c r="AF760" s="616">
        <f t="shared" si="954"/>
        <v>12.874805790145677</v>
      </c>
      <c r="AG760" s="616">
        <f t="shared" si="954"/>
        <v>15.146830341347853</v>
      </c>
      <c r="AH760" s="616">
        <f t="shared" si="954"/>
        <v>15.146830341347853</v>
      </c>
      <c r="AI760" s="616">
        <f t="shared" si="954"/>
        <v>15.146830341347853</v>
      </c>
      <c r="AJ760" s="616">
        <f t="shared" si="954"/>
        <v>15.146830341347853</v>
      </c>
      <c r="AK760" s="616">
        <f t="shared" si="954"/>
        <v>15.146830341347853</v>
      </c>
      <c r="AL760" s="616">
        <f t="shared" si="954"/>
        <v>15.146830341347853</v>
      </c>
      <c r="AM760" s="616">
        <f t="shared" si="954"/>
        <v>15.146830341347853</v>
      </c>
      <c r="AN760" s="616">
        <f t="shared" si="954"/>
        <v>15.146830341347853</v>
      </c>
      <c r="AO760" s="616">
        <f t="shared" si="954"/>
        <v>15.146830341347853</v>
      </c>
      <c r="AP760" s="616">
        <f t="shared" si="954"/>
        <v>15.146830341347853</v>
      </c>
      <c r="AQ760" s="616">
        <f t="shared" si="954"/>
        <v>15.146830341347853</v>
      </c>
      <c r="AR760" s="616">
        <f t="shared" si="954"/>
        <v>15.146830341347853</v>
      </c>
      <c r="AS760" s="616">
        <f t="shared" si="954"/>
        <v>21.918793360715</v>
      </c>
      <c r="AT760" s="616">
        <f t="shared" si="954"/>
        <v>21.918793360715</v>
      </c>
      <c r="AU760" s="616">
        <f t="shared" si="954"/>
        <v>21.918793360715</v>
      </c>
      <c r="AV760" s="616">
        <f t="shared" si="954"/>
        <v>21.918793360715</v>
      </c>
      <c r="AW760" s="616">
        <f t="shared" si="954"/>
        <v>21.918793360715</v>
      </c>
      <c r="AX760" s="616">
        <f t="shared" si="954"/>
        <v>21.918793360715</v>
      </c>
      <c r="AY760" s="616">
        <f t="shared" si="954"/>
        <v>21.918793360715</v>
      </c>
      <c r="AZ760" s="616">
        <f t="shared" si="954"/>
        <v>21.918793360715</v>
      </c>
      <c r="BA760" s="616">
        <f t="shared" si="954"/>
        <v>21.918793360715</v>
      </c>
      <c r="BB760" s="616">
        <f t="shared" si="954"/>
        <v>21.918793360715</v>
      </c>
      <c r="BC760" s="616">
        <f t="shared" si="954"/>
        <v>21.918793360715</v>
      </c>
      <c r="BD760" s="616">
        <f t="shared" si="954"/>
        <v>21.918793360715</v>
      </c>
      <c r="BE760" s="616">
        <f t="shared" si="954"/>
        <v>28.690756380082146</v>
      </c>
      <c r="BF760" s="616">
        <f t="shared" si="954"/>
        <v>28.690756380082146</v>
      </c>
      <c r="BG760" s="616">
        <f t="shared" si="954"/>
        <v>28.690756380082146</v>
      </c>
      <c r="BH760" s="616">
        <f t="shared" si="954"/>
        <v>28.690756380082146</v>
      </c>
      <c r="BI760" s="616">
        <f t="shared" si="954"/>
        <v>28.690756380082146</v>
      </c>
      <c r="BJ760" s="616">
        <f t="shared" si="954"/>
        <v>28.690756380082146</v>
      </c>
      <c r="BK760" s="616">
        <f t="shared" si="954"/>
        <v>28.690756380082146</v>
      </c>
      <c r="BL760" s="616">
        <f t="shared" si="954"/>
        <v>28.690756380082146</v>
      </c>
      <c r="BM760" s="616">
        <f t="shared" si="954"/>
        <v>28.690756380082146</v>
      </c>
      <c r="BN760" s="616">
        <f t="shared" si="954"/>
        <v>28.690756380082146</v>
      </c>
      <c r="BO760" s="616">
        <f t="shared" si="954"/>
        <v>28.690756380082146</v>
      </c>
      <c r="BP760" s="616">
        <f t="shared" si="954"/>
        <v>28.690756380082146</v>
      </c>
      <c r="BQ760" s="616">
        <f t="shared" si="954"/>
        <v>35.462719399449284</v>
      </c>
      <c r="BR760" s="616">
        <f t="shared" si="954"/>
        <v>35.462719399449284</v>
      </c>
      <c r="BS760" s="616">
        <f t="shared" si="954"/>
        <v>35.462719399449284</v>
      </c>
      <c r="BT760" s="616">
        <f t="shared" si="954"/>
        <v>35.462719399449284</v>
      </c>
      <c r="BU760" s="616">
        <f t="shared" si="954"/>
        <v>35.462719399449284</v>
      </c>
      <c r="BV760" s="616">
        <f t="shared" si="954"/>
        <v>35.462719399449284</v>
      </c>
      <c r="BW760" s="616">
        <f t="shared" si="954"/>
        <v>35.462719399449284</v>
      </c>
      <c r="BX760" s="616">
        <f t="shared" si="954"/>
        <v>35.462719399449284</v>
      </c>
      <c r="BY760" s="616">
        <f t="shared" si="954"/>
        <v>35.462719399449284</v>
      </c>
      <c r="BZ760" s="616">
        <f t="shared" si="954"/>
        <v>35.462719399449284</v>
      </c>
      <c r="CA760" s="616">
        <f t="shared" si="954"/>
        <v>35.462719399449284</v>
      </c>
      <c r="CB760" s="616">
        <f t="shared" si="954"/>
        <v>35.462719399449284</v>
      </c>
      <c r="CC760" s="616">
        <f t="shared" si="954"/>
        <v>42.234682418816433</v>
      </c>
      <c r="CD760" s="616">
        <f t="shared" si="954"/>
        <v>42.234682418816433</v>
      </c>
      <c r="CE760" s="616">
        <f t="shared" si="954"/>
        <v>42.234682418816433</v>
      </c>
      <c r="CF760" s="616">
        <f t="shared" si="954"/>
        <v>42.234682418816433</v>
      </c>
      <c r="CG760" s="616">
        <f t="shared" si="954"/>
        <v>42.234682418816433</v>
      </c>
      <c r="CH760" s="616">
        <f t="shared" ref="CH760:CN760" si="955">CH501</f>
        <v>42.234682418816433</v>
      </c>
      <c r="CI760" s="616">
        <f t="shared" si="955"/>
        <v>42.234682418816433</v>
      </c>
      <c r="CJ760" s="616">
        <f t="shared" si="955"/>
        <v>42.234682418816433</v>
      </c>
      <c r="CK760" s="616">
        <f t="shared" si="955"/>
        <v>42.234682418816433</v>
      </c>
      <c r="CL760" s="616">
        <f t="shared" si="955"/>
        <v>42.234682418816433</v>
      </c>
      <c r="CM760" s="616">
        <f t="shared" si="955"/>
        <v>42.234682418816433</v>
      </c>
      <c r="CN760" s="616">
        <f t="shared" si="955"/>
        <v>42.234682418816433</v>
      </c>
    </row>
    <row r="761" spans="8:92">
      <c r="H761" s="602" t="s">
        <v>940</v>
      </c>
      <c r="L761" s="609"/>
      <c r="N761" s="615"/>
      <c r="O761" s="615"/>
      <c r="P761" s="615"/>
      <c r="Q761" s="615"/>
      <c r="R761" s="615"/>
      <c r="S761" s="615"/>
    </row>
    <row r="762" spans="8:92">
      <c r="H762" s="602" t="s">
        <v>940</v>
      </c>
      <c r="L762" s="618" t="s">
        <v>1296</v>
      </c>
      <c r="M762" s="600" t="s">
        <v>922</v>
      </c>
      <c r="N762" s="615">
        <f>SUM(U762:AF762)</f>
        <v>154.49766948174809</v>
      </c>
      <c r="O762" s="615">
        <f>SUM(AG762:AR762)</f>
        <v>181.76196409617424</v>
      </c>
      <c r="P762" s="615">
        <f>SUM(AS762:BD762)</f>
        <v>263.02552032858</v>
      </c>
      <c r="Q762" s="615">
        <f>SUM(BE762:BP762)</f>
        <v>344.28907656098568</v>
      </c>
      <c r="R762" s="615">
        <f>SUM(BQ762:CB762)</f>
        <v>425.5526327933913</v>
      </c>
      <c r="S762" s="615">
        <f>SUM(CC762:CN762)</f>
        <v>506.81618902579709</v>
      </c>
      <c r="U762" s="616">
        <f>MIN(U760,$Q$386)</f>
        <v>12.874805790145677</v>
      </c>
      <c r="V762" s="616">
        <f t="shared" ref="V762:CG762" si="956">MIN(V760,$Q$386)</f>
        <v>12.874805790145677</v>
      </c>
      <c r="W762" s="616">
        <f t="shared" si="956"/>
        <v>12.874805790145677</v>
      </c>
      <c r="X762" s="616">
        <f t="shared" si="956"/>
        <v>12.874805790145677</v>
      </c>
      <c r="Y762" s="616">
        <f t="shared" si="956"/>
        <v>12.874805790145677</v>
      </c>
      <c r="Z762" s="616">
        <f t="shared" si="956"/>
        <v>12.874805790145677</v>
      </c>
      <c r="AA762" s="616">
        <f t="shared" si="956"/>
        <v>12.874805790145677</v>
      </c>
      <c r="AB762" s="616">
        <f t="shared" si="956"/>
        <v>12.874805790145677</v>
      </c>
      <c r="AC762" s="616">
        <f t="shared" si="956"/>
        <v>12.874805790145677</v>
      </c>
      <c r="AD762" s="616">
        <f t="shared" si="956"/>
        <v>12.874805790145677</v>
      </c>
      <c r="AE762" s="616">
        <f t="shared" si="956"/>
        <v>12.874805790145677</v>
      </c>
      <c r="AF762" s="616">
        <f t="shared" si="956"/>
        <v>12.874805790145677</v>
      </c>
      <c r="AG762" s="616">
        <f t="shared" si="956"/>
        <v>15.146830341347853</v>
      </c>
      <c r="AH762" s="616">
        <f t="shared" si="956"/>
        <v>15.146830341347853</v>
      </c>
      <c r="AI762" s="616">
        <f t="shared" si="956"/>
        <v>15.146830341347853</v>
      </c>
      <c r="AJ762" s="616">
        <f t="shared" si="956"/>
        <v>15.146830341347853</v>
      </c>
      <c r="AK762" s="616">
        <f t="shared" si="956"/>
        <v>15.146830341347853</v>
      </c>
      <c r="AL762" s="616">
        <f t="shared" si="956"/>
        <v>15.146830341347853</v>
      </c>
      <c r="AM762" s="616">
        <f t="shared" si="956"/>
        <v>15.146830341347853</v>
      </c>
      <c r="AN762" s="616">
        <f t="shared" si="956"/>
        <v>15.146830341347853</v>
      </c>
      <c r="AO762" s="616">
        <f t="shared" si="956"/>
        <v>15.146830341347853</v>
      </c>
      <c r="AP762" s="616">
        <f t="shared" si="956"/>
        <v>15.146830341347853</v>
      </c>
      <c r="AQ762" s="616">
        <f t="shared" si="956"/>
        <v>15.146830341347853</v>
      </c>
      <c r="AR762" s="616">
        <f t="shared" si="956"/>
        <v>15.146830341347853</v>
      </c>
      <c r="AS762" s="616">
        <f t="shared" si="956"/>
        <v>21.918793360715</v>
      </c>
      <c r="AT762" s="616">
        <f t="shared" si="956"/>
        <v>21.918793360715</v>
      </c>
      <c r="AU762" s="616">
        <f t="shared" si="956"/>
        <v>21.918793360715</v>
      </c>
      <c r="AV762" s="616">
        <f t="shared" si="956"/>
        <v>21.918793360715</v>
      </c>
      <c r="AW762" s="616">
        <f t="shared" si="956"/>
        <v>21.918793360715</v>
      </c>
      <c r="AX762" s="616">
        <f t="shared" si="956"/>
        <v>21.918793360715</v>
      </c>
      <c r="AY762" s="616">
        <f t="shared" si="956"/>
        <v>21.918793360715</v>
      </c>
      <c r="AZ762" s="616">
        <f t="shared" si="956"/>
        <v>21.918793360715</v>
      </c>
      <c r="BA762" s="616">
        <f t="shared" si="956"/>
        <v>21.918793360715</v>
      </c>
      <c r="BB762" s="616">
        <f t="shared" si="956"/>
        <v>21.918793360715</v>
      </c>
      <c r="BC762" s="616">
        <f t="shared" si="956"/>
        <v>21.918793360715</v>
      </c>
      <c r="BD762" s="616">
        <f t="shared" si="956"/>
        <v>21.918793360715</v>
      </c>
      <c r="BE762" s="616">
        <f t="shared" si="956"/>
        <v>28.690756380082146</v>
      </c>
      <c r="BF762" s="616">
        <f t="shared" si="956"/>
        <v>28.690756380082146</v>
      </c>
      <c r="BG762" s="616">
        <f t="shared" si="956"/>
        <v>28.690756380082146</v>
      </c>
      <c r="BH762" s="616">
        <f t="shared" si="956"/>
        <v>28.690756380082146</v>
      </c>
      <c r="BI762" s="616">
        <f t="shared" si="956"/>
        <v>28.690756380082146</v>
      </c>
      <c r="BJ762" s="616">
        <f t="shared" si="956"/>
        <v>28.690756380082146</v>
      </c>
      <c r="BK762" s="616">
        <f t="shared" si="956"/>
        <v>28.690756380082146</v>
      </c>
      <c r="BL762" s="616">
        <f t="shared" si="956"/>
        <v>28.690756380082146</v>
      </c>
      <c r="BM762" s="616">
        <f t="shared" si="956"/>
        <v>28.690756380082146</v>
      </c>
      <c r="BN762" s="616">
        <f t="shared" si="956"/>
        <v>28.690756380082146</v>
      </c>
      <c r="BO762" s="616">
        <f t="shared" si="956"/>
        <v>28.690756380082146</v>
      </c>
      <c r="BP762" s="616">
        <f t="shared" si="956"/>
        <v>28.690756380082146</v>
      </c>
      <c r="BQ762" s="616">
        <f t="shared" si="956"/>
        <v>35.462719399449284</v>
      </c>
      <c r="BR762" s="616">
        <f t="shared" si="956"/>
        <v>35.462719399449284</v>
      </c>
      <c r="BS762" s="616">
        <f t="shared" si="956"/>
        <v>35.462719399449284</v>
      </c>
      <c r="BT762" s="616">
        <f t="shared" si="956"/>
        <v>35.462719399449284</v>
      </c>
      <c r="BU762" s="616">
        <f t="shared" si="956"/>
        <v>35.462719399449284</v>
      </c>
      <c r="BV762" s="616">
        <f t="shared" si="956"/>
        <v>35.462719399449284</v>
      </c>
      <c r="BW762" s="616">
        <f t="shared" si="956"/>
        <v>35.462719399449284</v>
      </c>
      <c r="BX762" s="616">
        <f t="shared" si="956"/>
        <v>35.462719399449284</v>
      </c>
      <c r="BY762" s="616">
        <f t="shared" si="956"/>
        <v>35.462719399449284</v>
      </c>
      <c r="BZ762" s="616">
        <f t="shared" si="956"/>
        <v>35.462719399449284</v>
      </c>
      <c r="CA762" s="616">
        <f t="shared" si="956"/>
        <v>35.462719399449284</v>
      </c>
      <c r="CB762" s="616">
        <f t="shared" si="956"/>
        <v>35.462719399449284</v>
      </c>
      <c r="CC762" s="616">
        <f t="shared" si="956"/>
        <v>42.234682418816433</v>
      </c>
      <c r="CD762" s="616">
        <f t="shared" si="956"/>
        <v>42.234682418816433</v>
      </c>
      <c r="CE762" s="616">
        <f t="shared" si="956"/>
        <v>42.234682418816433</v>
      </c>
      <c r="CF762" s="616">
        <f t="shared" si="956"/>
        <v>42.234682418816433</v>
      </c>
      <c r="CG762" s="616">
        <f t="shared" si="956"/>
        <v>42.234682418816433</v>
      </c>
      <c r="CH762" s="616">
        <f t="shared" ref="CH762:CN762" si="957">MIN(CH760,$Q$386)</f>
        <v>42.234682418816433</v>
      </c>
      <c r="CI762" s="616">
        <f t="shared" si="957"/>
        <v>42.234682418816433</v>
      </c>
      <c r="CJ762" s="616">
        <f t="shared" si="957"/>
        <v>42.234682418816433</v>
      </c>
      <c r="CK762" s="616">
        <f t="shared" si="957"/>
        <v>42.234682418816433</v>
      </c>
      <c r="CL762" s="616">
        <f t="shared" si="957"/>
        <v>42.234682418816433</v>
      </c>
      <c r="CM762" s="616">
        <f t="shared" si="957"/>
        <v>42.234682418816433</v>
      </c>
      <c r="CN762" s="616">
        <f t="shared" si="957"/>
        <v>42.234682418816433</v>
      </c>
    </row>
    <row r="763" spans="8:92">
      <c r="H763" s="602" t="s">
        <v>940</v>
      </c>
      <c r="L763" s="618" t="s">
        <v>1297</v>
      </c>
      <c r="M763" s="600" t="s">
        <v>922</v>
      </c>
      <c r="N763" s="615">
        <f>SUM(U763:AF763)</f>
        <v>0</v>
      </c>
      <c r="O763" s="615">
        <f>SUM(AG763:AR763)</f>
        <v>0</v>
      </c>
      <c r="P763" s="615">
        <f>SUM(AS763:BD763)</f>
        <v>0</v>
      </c>
      <c r="Q763" s="615">
        <f>SUM(BE763:BP763)</f>
        <v>0</v>
      </c>
      <c r="R763" s="615">
        <f>SUM(BQ763:CB763)</f>
        <v>0</v>
      </c>
      <c r="S763" s="615">
        <f>SUM(CC763:CN763)</f>
        <v>0</v>
      </c>
      <c r="U763" s="616">
        <f>MIN(U760-U762,$Q$387)</f>
        <v>0</v>
      </c>
      <c r="V763" s="616">
        <f t="shared" ref="V763:CG763" si="958">MIN(V760-V762,$Q$387)</f>
        <v>0</v>
      </c>
      <c r="W763" s="616">
        <f t="shared" si="958"/>
        <v>0</v>
      </c>
      <c r="X763" s="616">
        <f t="shared" si="958"/>
        <v>0</v>
      </c>
      <c r="Y763" s="616">
        <f t="shared" si="958"/>
        <v>0</v>
      </c>
      <c r="Z763" s="616">
        <f t="shared" si="958"/>
        <v>0</v>
      </c>
      <c r="AA763" s="616">
        <f t="shared" si="958"/>
        <v>0</v>
      </c>
      <c r="AB763" s="616">
        <f t="shared" si="958"/>
        <v>0</v>
      </c>
      <c r="AC763" s="616">
        <f t="shared" si="958"/>
        <v>0</v>
      </c>
      <c r="AD763" s="616">
        <f t="shared" si="958"/>
        <v>0</v>
      </c>
      <c r="AE763" s="616">
        <f t="shared" si="958"/>
        <v>0</v>
      </c>
      <c r="AF763" s="616">
        <f t="shared" si="958"/>
        <v>0</v>
      </c>
      <c r="AG763" s="616">
        <f t="shared" si="958"/>
        <v>0</v>
      </c>
      <c r="AH763" s="616">
        <f t="shared" si="958"/>
        <v>0</v>
      </c>
      <c r="AI763" s="616">
        <f t="shared" si="958"/>
        <v>0</v>
      </c>
      <c r="AJ763" s="616">
        <f t="shared" si="958"/>
        <v>0</v>
      </c>
      <c r="AK763" s="616">
        <f t="shared" si="958"/>
        <v>0</v>
      </c>
      <c r="AL763" s="616">
        <f t="shared" si="958"/>
        <v>0</v>
      </c>
      <c r="AM763" s="616">
        <f t="shared" si="958"/>
        <v>0</v>
      </c>
      <c r="AN763" s="616">
        <f t="shared" si="958"/>
        <v>0</v>
      </c>
      <c r="AO763" s="616">
        <f t="shared" si="958"/>
        <v>0</v>
      </c>
      <c r="AP763" s="616">
        <f t="shared" si="958"/>
        <v>0</v>
      </c>
      <c r="AQ763" s="616">
        <f t="shared" si="958"/>
        <v>0</v>
      </c>
      <c r="AR763" s="616">
        <f t="shared" si="958"/>
        <v>0</v>
      </c>
      <c r="AS763" s="616">
        <f t="shared" si="958"/>
        <v>0</v>
      </c>
      <c r="AT763" s="616">
        <f t="shared" si="958"/>
        <v>0</v>
      </c>
      <c r="AU763" s="616">
        <f t="shared" si="958"/>
        <v>0</v>
      </c>
      <c r="AV763" s="616">
        <f t="shared" si="958"/>
        <v>0</v>
      </c>
      <c r="AW763" s="616">
        <f t="shared" si="958"/>
        <v>0</v>
      </c>
      <c r="AX763" s="616">
        <f t="shared" si="958"/>
        <v>0</v>
      </c>
      <c r="AY763" s="616">
        <f t="shared" si="958"/>
        <v>0</v>
      </c>
      <c r="AZ763" s="616">
        <f t="shared" si="958"/>
        <v>0</v>
      </c>
      <c r="BA763" s="616">
        <f t="shared" si="958"/>
        <v>0</v>
      </c>
      <c r="BB763" s="616">
        <f t="shared" si="958"/>
        <v>0</v>
      </c>
      <c r="BC763" s="616">
        <f t="shared" si="958"/>
        <v>0</v>
      </c>
      <c r="BD763" s="616">
        <f t="shared" si="958"/>
        <v>0</v>
      </c>
      <c r="BE763" s="616">
        <f t="shared" si="958"/>
        <v>0</v>
      </c>
      <c r="BF763" s="616">
        <f t="shared" si="958"/>
        <v>0</v>
      </c>
      <c r="BG763" s="616">
        <f t="shared" si="958"/>
        <v>0</v>
      </c>
      <c r="BH763" s="616">
        <f t="shared" si="958"/>
        <v>0</v>
      </c>
      <c r="BI763" s="616">
        <f t="shared" si="958"/>
        <v>0</v>
      </c>
      <c r="BJ763" s="616">
        <f t="shared" si="958"/>
        <v>0</v>
      </c>
      <c r="BK763" s="616">
        <f t="shared" si="958"/>
        <v>0</v>
      </c>
      <c r="BL763" s="616">
        <f t="shared" si="958"/>
        <v>0</v>
      </c>
      <c r="BM763" s="616">
        <f t="shared" si="958"/>
        <v>0</v>
      </c>
      <c r="BN763" s="616">
        <f t="shared" si="958"/>
        <v>0</v>
      </c>
      <c r="BO763" s="616">
        <f t="shared" si="958"/>
        <v>0</v>
      </c>
      <c r="BP763" s="616">
        <f t="shared" si="958"/>
        <v>0</v>
      </c>
      <c r="BQ763" s="616">
        <f t="shared" si="958"/>
        <v>0</v>
      </c>
      <c r="BR763" s="616">
        <f t="shared" si="958"/>
        <v>0</v>
      </c>
      <c r="BS763" s="616">
        <f t="shared" si="958"/>
        <v>0</v>
      </c>
      <c r="BT763" s="616">
        <f t="shared" si="958"/>
        <v>0</v>
      </c>
      <c r="BU763" s="616">
        <f t="shared" si="958"/>
        <v>0</v>
      </c>
      <c r="BV763" s="616">
        <f t="shared" si="958"/>
        <v>0</v>
      </c>
      <c r="BW763" s="616">
        <f t="shared" si="958"/>
        <v>0</v>
      </c>
      <c r="BX763" s="616">
        <f t="shared" si="958"/>
        <v>0</v>
      </c>
      <c r="BY763" s="616">
        <f t="shared" si="958"/>
        <v>0</v>
      </c>
      <c r="BZ763" s="616">
        <f t="shared" si="958"/>
        <v>0</v>
      </c>
      <c r="CA763" s="616">
        <f t="shared" si="958"/>
        <v>0</v>
      </c>
      <c r="CB763" s="616">
        <f t="shared" si="958"/>
        <v>0</v>
      </c>
      <c r="CC763" s="616">
        <f t="shared" si="958"/>
        <v>0</v>
      </c>
      <c r="CD763" s="616">
        <f t="shared" si="958"/>
        <v>0</v>
      </c>
      <c r="CE763" s="616">
        <f t="shared" si="958"/>
        <v>0</v>
      </c>
      <c r="CF763" s="616">
        <f t="shared" si="958"/>
        <v>0</v>
      </c>
      <c r="CG763" s="616">
        <f t="shared" si="958"/>
        <v>0</v>
      </c>
      <c r="CH763" s="616">
        <f t="shared" ref="CH763:CN763" si="959">MIN(CH760-CH762,$Q$387)</f>
        <v>0</v>
      </c>
      <c r="CI763" s="616">
        <f t="shared" si="959"/>
        <v>0</v>
      </c>
      <c r="CJ763" s="616">
        <f t="shared" si="959"/>
        <v>0</v>
      </c>
      <c r="CK763" s="616">
        <f t="shared" si="959"/>
        <v>0</v>
      </c>
      <c r="CL763" s="616">
        <f t="shared" si="959"/>
        <v>0</v>
      </c>
      <c r="CM763" s="616">
        <f t="shared" si="959"/>
        <v>0</v>
      </c>
      <c r="CN763" s="616">
        <f t="shared" si="959"/>
        <v>0</v>
      </c>
    </row>
    <row r="764" spans="8:92">
      <c r="H764" s="602" t="s">
        <v>940</v>
      </c>
      <c r="L764" s="618" t="s">
        <v>1298</v>
      </c>
      <c r="M764" s="600" t="s">
        <v>922</v>
      </c>
      <c r="N764" s="615">
        <f>SUM(U764:AF764)</f>
        <v>0</v>
      </c>
      <c r="O764" s="615">
        <f>SUM(AG764:AR764)</f>
        <v>0</v>
      </c>
      <c r="P764" s="615">
        <f>SUM(AS764:BD764)</f>
        <v>0</v>
      </c>
      <c r="Q764" s="615">
        <f>SUM(BE764:BP764)</f>
        <v>0</v>
      </c>
      <c r="R764" s="615">
        <f>SUM(BQ764:CB764)</f>
        <v>0</v>
      </c>
      <c r="S764" s="615">
        <f>SUM(CC764:CN764)</f>
        <v>0</v>
      </c>
      <c r="U764" s="616">
        <f>MIN(U760-(U762+U763),$Q$388)</f>
        <v>0</v>
      </c>
      <c r="V764" s="616">
        <f t="shared" ref="V764:CG764" si="960">MIN(V760-(V762+V763),$Q$388)</f>
        <v>0</v>
      </c>
      <c r="W764" s="616">
        <f t="shared" si="960"/>
        <v>0</v>
      </c>
      <c r="X764" s="616">
        <f t="shared" si="960"/>
        <v>0</v>
      </c>
      <c r="Y764" s="616">
        <f t="shared" si="960"/>
        <v>0</v>
      </c>
      <c r="Z764" s="616">
        <f t="shared" si="960"/>
        <v>0</v>
      </c>
      <c r="AA764" s="616">
        <f t="shared" si="960"/>
        <v>0</v>
      </c>
      <c r="AB764" s="616">
        <f t="shared" si="960"/>
        <v>0</v>
      </c>
      <c r="AC764" s="616">
        <f t="shared" si="960"/>
        <v>0</v>
      </c>
      <c r="AD764" s="616">
        <f t="shared" si="960"/>
        <v>0</v>
      </c>
      <c r="AE764" s="616">
        <f t="shared" si="960"/>
        <v>0</v>
      </c>
      <c r="AF764" s="616">
        <f t="shared" si="960"/>
        <v>0</v>
      </c>
      <c r="AG764" s="616">
        <f t="shared" si="960"/>
        <v>0</v>
      </c>
      <c r="AH764" s="616">
        <f t="shared" si="960"/>
        <v>0</v>
      </c>
      <c r="AI764" s="616">
        <f t="shared" si="960"/>
        <v>0</v>
      </c>
      <c r="AJ764" s="616">
        <f t="shared" si="960"/>
        <v>0</v>
      </c>
      <c r="AK764" s="616">
        <f t="shared" si="960"/>
        <v>0</v>
      </c>
      <c r="AL764" s="616">
        <f t="shared" si="960"/>
        <v>0</v>
      </c>
      <c r="AM764" s="616">
        <f t="shared" si="960"/>
        <v>0</v>
      </c>
      <c r="AN764" s="616">
        <f t="shared" si="960"/>
        <v>0</v>
      </c>
      <c r="AO764" s="616">
        <f t="shared" si="960"/>
        <v>0</v>
      </c>
      <c r="AP764" s="616">
        <f t="shared" si="960"/>
        <v>0</v>
      </c>
      <c r="AQ764" s="616">
        <f t="shared" si="960"/>
        <v>0</v>
      </c>
      <c r="AR764" s="616">
        <f t="shared" si="960"/>
        <v>0</v>
      </c>
      <c r="AS764" s="616">
        <f t="shared" si="960"/>
        <v>0</v>
      </c>
      <c r="AT764" s="616">
        <f t="shared" si="960"/>
        <v>0</v>
      </c>
      <c r="AU764" s="616">
        <f t="shared" si="960"/>
        <v>0</v>
      </c>
      <c r="AV764" s="616">
        <f t="shared" si="960"/>
        <v>0</v>
      </c>
      <c r="AW764" s="616">
        <f t="shared" si="960"/>
        <v>0</v>
      </c>
      <c r="AX764" s="616">
        <f t="shared" si="960"/>
        <v>0</v>
      </c>
      <c r="AY764" s="616">
        <f t="shared" si="960"/>
        <v>0</v>
      </c>
      <c r="AZ764" s="616">
        <f t="shared" si="960"/>
        <v>0</v>
      </c>
      <c r="BA764" s="616">
        <f t="shared" si="960"/>
        <v>0</v>
      </c>
      <c r="BB764" s="616">
        <f t="shared" si="960"/>
        <v>0</v>
      </c>
      <c r="BC764" s="616">
        <f t="shared" si="960"/>
        <v>0</v>
      </c>
      <c r="BD764" s="616">
        <f t="shared" si="960"/>
        <v>0</v>
      </c>
      <c r="BE764" s="616">
        <f t="shared" si="960"/>
        <v>0</v>
      </c>
      <c r="BF764" s="616">
        <f t="shared" si="960"/>
        <v>0</v>
      </c>
      <c r="BG764" s="616">
        <f t="shared" si="960"/>
        <v>0</v>
      </c>
      <c r="BH764" s="616">
        <f t="shared" si="960"/>
        <v>0</v>
      </c>
      <c r="BI764" s="616">
        <f t="shared" si="960"/>
        <v>0</v>
      </c>
      <c r="BJ764" s="616">
        <f t="shared" si="960"/>
        <v>0</v>
      </c>
      <c r="BK764" s="616">
        <f t="shared" si="960"/>
        <v>0</v>
      </c>
      <c r="BL764" s="616">
        <f t="shared" si="960"/>
        <v>0</v>
      </c>
      <c r="BM764" s="616">
        <f t="shared" si="960"/>
        <v>0</v>
      </c>
      <c r="BN764" s="616">
        <f t="shared" si="960"/>
        <v>0</v>
      </c>
      <c r="BO764" s="616">
        <f t="shared" si="960"/>
        <v>0</v>
      </c>
      <c r="BP764" s="616">
        <f t="shared" si="960"/>
        <v>0</v>
      </c>
      <c r="BQ764" s="616">
        <f t="shared" si="960"/>
        <v>0</v>
      </c>
      <c r="BR764" s="616">
        <f t="shared" si="960"/>
        <v>0</v>
      </c>
      <c r="BS764" s="616">
        <f t="shared" si="960"/>
        <v>0</v>
      </c>
      <c r="BT764" s="616">
        <f t="shared" si="960"/>
        <v>0</v>
      </c>
      <c r="BU764" s="616">
        <f t="shared" si="960"/>
        <v>0</v>
      </c>
      <c r="BV764" s="616">
        <f t="shared" si="960"/>
        <v>0</v>
      </c>
      <c r="BW764" s="616">
        <f t="shared" si="960"/>
        <v>0</v>
      </c>
      <c r="BX764" s="616">
        <f t="shared" si="960"/>
        <v>0</v>
      </c>
      <c r="BY764" s="616">
        <f t="shared" si="960"/>
        <v>0</v>
      </c>
      <c r="BZ764" s="616">
        <f t="shared" si="960"/>
        <v>0</v>
      </c>
      <c r="CA764" s="616">
        <f t="shared" si="960"/>
        <v>0</v>
      </c>
      <c r="CB764" s="616">
        <f t="shared" si="960"/>
        <v>0</v>
      </c>
      <c r="CC764" s="616">
        <f t="shared" si="960"/>
        <v>0</v>
      </c>
      <c r="CD764" s="616">
        <f t="shared" si="960"/>
        <v>0</v>
      </c>
      <c r="CE764" s="616">
        <f t="shared" si="960"/>
        <v>0</v>
      </c>
      <c r="CF764" s="616">
        <f t="shared" si="960"/>
        <v>0</v>
      </c>
      <c r="CG764" s="616">
        <f t="shared" si="960"/>
        <v>0</v>
      </c>
      <c r="CH764" s="616">
        <f t="shared" ref="CH764:CN764" si="961">MIN(CH760-(CH762+CH763),$Q$388)</f>
        <v>0</v>
      </c>
      <c r="CI764" s="616">
        <f t="shared" si="961"/>
        <v>0</v>
      </c>
      <c r="CJ764" s="616">
        <f t="shared" si="961"/>
        <v>0</v>
      </c>
      <c r="CK764" s="616">
        <f t="shared" si="961"/>
        <v>0</v>
      </c>
      <c r="CL764" s="616">
        <f t="shared" si="961"/>
        <v>0</v>
      </c>
      <c r="CM764" s="616">
        <f t="shared" si="961"/>
        <v>0</v>
      </c>
      <c r="CN764" s="616">
        <f t="shared" si="961"/>
        <v>0</v>
      </c>
    </row>
    <row r="765" spans="8:92">
      <c r="H765" s="602" t="s">
        <v>940</v>
      </c>
      <c r="L765" s="618" t="s">
        <v>1299</v>
      </c>
      <c r="M765" s="600" t="s">
        <v>922</v>
      </c>
      <c r="N765" s="615">
        <f>SUM(U765:AF765)</f>
        <v>0</v>
      </c>
      <c r="O765" s="615">
        <f>SUM(AG765:AR765)</f>
        <v>0</v>
      </c>
      <c r="P765" s="615">
        <f>SUM(AS765:BD765)</f>
        <v>0</v>
      </c>
      <c r="Q765" s="615">
        <f>SUM(BE765:BP765)</f>
        <v>0</v>
      </c>
      <c r="R765" s="615">
        <f>SUM(BQ765:CB765)</f>
        <v>0</v>
      </c>
      <c r="S765" s="615">
        <f>SUM(CC765:CN765)</f>
        <v>0</v>
      </c>
      <c r="U765" s="616">
        <f>MIN(U760-(U762+U763+U764),$Q$389)</f>
        <v>0</v>
      </c>
      <c r="V765" s="616">
        <f t="shared" ref="V765:CG765" si="962">MIN(V760-(V762+V763+V764),$Q$389)</f>
        <v>0</v>
      </c>
      <c r="W765" s="616">
        <f t="shared" si="962"/>
        <v>0</v>
      </c>
      <c r="X765" s="616">
        <f t="shared" si="962"/>
        <v>0</v>
      </c>
      <c r="Y765" s="616">
        <f t="shared" si="962"/>
        <v>0</v>
      </c>
      <c r="Z765" s="616">
        <f t="shared" si="962"/>
        <v>0</v>
      </c>
      <c r="AA765" s="616">
        <f t="shared" si="962"/>
        <v>0</v>
      </c>
      <c r="AB765" s="616">
        <f t="shared" si="962"/>
        <v>0</v>
      </c>
      <c r="AC765" s="616">
        <f t="shared" si="962"/>
        <v>0</v>
      </c>
      <c r="AD765" s="616">
        <f t="shared" si="962"/>
        <v>0</v>
      </c>
      <c r="AE765" s="616">
        <f t="shared" si="962"/>
        <v>0</v>
      </c>
      <c r="AF765" s="616">
        <f t="shared" si="962"/>
        <v>0</v>
      </c>
      <c r="AG765" s="616">
        <f t="shared" si="962"/>
        <v>0</v>
      </c>
      <c r="AH765" s="616">
        <f t="shared" si="962"/>
        <v>0</v>
      </c>
      <c r="AI765" s="616">
        <f t="shared" si="962"/>
        <v>0</v>
      </c>
      <c r="AJ765" s="616">
        <f t="shared" si="962"/>
        <v>0</v>
      </c>
      <c r="AK765" s="616">
        <f t="shared" si="962"/>
        <v>0</v>
      </c>
      <c r="AL765" s="616">
        <f t="shared" si="962"/>
        <v>0</v>
      </c>
      <c r="AM765" s="616">
        <f t="shared" si="962"/>
        <v>0</v>
      </c>
      <c r="AN765" s="616">
        <f t="shared" si="962"/>
        <v>0</v>
      </c>
      <c r="AO765" s="616">
        <f t="shared" si="962"/>
        <v>0</v>
      </c>
      <c r="AP765" s="616">
        <f t="shared" si="962"/>
        <v>0</v>
      </c>
      <c r="AQ765" s="616">
        <f t="shared" si="962"/>
        <v>0</v>
      </c>
      <c r="AR765" s="616">
        <f t="shared" si="962"/>
        <v>0</v>
      </c>
      <c r="AS765" s="616">
        <f t="shared" si="962"/>
        <v>0</v>
      </c>
      <c r="AT765" s="616">
        <f t="shared" si="962"/>
        <v>0</v>
      </c>
      <c r="AU765" s="616">
        <f t="shared" si="962"/>
        <v>0</v>
      </c>
      <c r="AV765" s="616">
        <f t="shared" si="962"/>
        <v>0</v>
      </c>
      <c r="AW765" s="616">
        <f t="shared" si="962"/>
        <v>0</v>
      </c>
      <c r="AX765" s="616">
        <f t="shared" si="962"/>
        <v>0</v>
      </c>
      <c r="AY765" s="616">
        <f t="shared" si="962"/>
        <v>0</v>
      </c>
      <c r="AZ765" s="616">
        <f t="shared" si="962"/>
        <v>0</v>
      </c>
      <c r="BA765" s="616">
        <f t="shared" si="962"/>
        <v>0</v>
      </c>
      <c r="BB765" s="616">
        <f t="shared" si="962"/>
        <v>0</v>
      </c>
      <c r="BC765" s="616">
        <f t="shared" si="962"/>
        <v>0</v>
      </c>
      <c r="BD765" s="616">
        <f t="shared" si="962"/>
        <v>0</v>
      </c>
      <c r="BE765" s="616">
        <f t="shared" si="962"/>
        <v>0</v>
      </c>
      <c r="BF765" s="616">
        <f t="shared" si="962"/>
        <v>0</v>
      </c>
      <c r="BG765" s="616">
        <f t="shared" si="962"/>
        <v>0</v>
      </c>
      <c r="BH765" s="616">
        <f t="shared" si="962"/>
        <v>0</v>
      </c>
      <c r="BI765" s="616">
        <f t="shared" si="962"/>
        <v>0</v>
      </c>
      <c r="BJ765" s="616">
        <f t="shared" si="962"/>
        <v>0</v>
      </c>
      <c r="BK765" s="616">
        <f t="shared" si="962"/>
        <v>0</v>
      </c>
      <c r="BL765" s="616">
        <f t="shared" si="962"/>
        <v>0</v>
      </c>
      <c r="BM765" s="616">
        <f t="shared" si="962"/>
        <v>0</v>
      </c>
      <c r="BN765" s="616">
        <f t="shared" si="962"/>
        <v>0</v>
      </c>
      <c r="BO765" s="616">
        <f t="shared" si="962"/>
        <v>0</v>
      </c>
      <c r="BP765" s="616">
        <f t="shared" si="962"/>
        <v>0</v>
      </c>
      <c r="BQ765" s="616">
        <f t="shared" si="962"/>
        <v>0</v>
      </c>
      <c r="BR765" s="616">
        <f t="shared" si="962"/>
        <v>0</v>
      </c>
      <c r="BS765" s="616">
        <f t="shared" si="962"/>
        <v>0</v>
      </c>
      <c r="BT765" s="616">
        <f t="shared" si="962"/>
        <v>0</v>
      </c>
      <c r="BU765" s="616">
        <f t="shared" si="962"/>
        <v>0</v>
      </c>
      <c r="BV765" s="616">
        <f t="shared" si="962"/>
        <v>0</v>
      </c>
      <c r="BW765" s="616">
        <f t="shared" si="962"/>
        <v>0</v>
      </c>
      <c r="BX765" s="616">
        <f t="shared" si="962"/>
        <v>0</v>
      </c>
      <c r="BY765" s="616">
        <f t="shared" si="962"/>
        <v>0</v>
      </c>
      <c r="BZ765" s="616">
        <f t="shared" si="962"/>
        <v>0</v>
      </c>
      <c r="CA765" s="616">
        <f t="shared" si="962"/>
        <v>0</v>
      </c>
      <c r="CB765" s="616">
        <f t="shared" si="962"/>
        <v>0</v>
      </c>
      <c r="CC765" s="616">
        <f t="shared" si="962"/>
        <v>0</v>
      </c>
      <c r="CD765" s="616">
        <f t="shared" si="962"/>
        <v>0</v>
      </c>
      <c r="CE765" s="616">
        <f t="shared" si="962"/>
        <v>0</v>
      </c>
      <c r="CF765" s="616">
        <f t="shared" si="962"/>
        <v>0</v>
      </c>
      <c r="CG765" s="616">
        <f t="shared" si="962"/>
        <v>0</v>
      </c>
      <c r="CH765" s="616">
        <f t="shared" ref="CH765:CN765" si="963">MIN(CH760-(CH762+CH763+CH764),$Q$389)</f>
        <v>0</v>
      </c>
      <c r="CI765" s="616">
        <f t="shared" si="963"/>
        <v>0</v>
      </c>
      <c r="CJ765" s="616">
        <f t="shared" si="963"/>
        <v>0</v>
      </c>
      <c r="CK765" s="616">
        <f t="shared" si="963"/>
        <v>0</v>
      </c>
      <c r="CL765" s="616">
        <f t="shared" si="963"/>
        <v>0</v>
      </c>
      <c r="CM765" s="616">
        <f t="shared" si="963"/>
        <v>0</v>
      </c>
      <c r="CN765" s="616">
        <f t="shared" si="963"/>
        <v>0</v>
      </c>
    </row>
    <row r="766" spans="8:92">
      <c r="H766" s="602" t="s">
        <v>940</v>
      </c>
      <c r="L766" s="618"/>
      <c r="M766" s="600"/>
      <c r="N766" s="615"/>
      <c r="O766" s="615"/>
      <c r="P766" s="615"/>
      <c r="Q766" s="615"/>
      <c r="R766" s="615"/>
      <c r="S766" s="615"/>
    </row>
    <row r="767" spans="8:92">
      <c r="H767" s="602" t="s">
        <v>940</v>
      </c>
      <c r="L767" s="618" t="s">
        <v>1300</v>
      </c>
      <c r="M767" s="600" t="s">
        <v>974</v>
      </c>
      <c r="N767" s="615">
        <f>SUM(U767:AF767)</f>
        <v>0</v>
      </c>
      <c r="O767" s="615">
        <f>SUM(AG767:AR767)</f>
        <v>0</v>
      </c>
      <c r="P767" s="615">
        <f>SUM(AS767:BD767)</f>
        <v>0</v>
      </c>
      <c r="Q767" s="615">
        <f>SUM(BE767:BP767)</f>
        <v>0</v>
      </c>
      <c r="R767" s="615">
        <f>SUM(BQ767:CB767)</f>
        <v>0</v>
      </c>
      <c r="S767" s="615">
        <f>SUM(CC767:CN767)</f>
        <v>0</v>
      </c>
      <c r="U767" s="616">
        <f>U762*$Q$391</f>
        <v>0</v>
      </c>
      <c r="V767" s="616">
        <f t="shared" ref="V767:CG767" si="964">V762*$Q$391</f>
        <v>0</v>
      </c>
      <c r="W767" s="616">
        <f t="shared" si="964"/>
        <v>0</v>
      </c>
      <c r="X767" s="616">
        <f t="shared" si="964"/>
        <v>0</v>
      </c>
      <c r="Y767" s="616">
        <f t="shared" si="964"/>
        <v>0</v>
      </c>
      <c r="Z767" s="616">
        <f t="shared" si="964"/>
        <v>0</v>
      </c>
      <c r="AA767" s="616">
        <f t="shared" si="964"/>
        <v>0</v>
      </c>
      <c r="AB767" s="616">
        <f t="shared" si="964"/>
        <v>0</v>
      </c>
      <c r="AC767" s="616">
        <f t="shared" si="964"/>
        <v>0</v>
      </c>
      <c r="AD767" s="616">
        <f t="shared" si="964"/>
        <v>0</v>
      </c>
      <c r="AE767" s="616">
        <f t="shared" si="964"/>
        <v>0</v>
      </c>
      <c r="AF767" s="616">
        <f t="shared" si="964"/>
        <v>0</v>
      </c>
      <c r="AG767" s="616">
        <f t="shared" si="964"/>
        <v>0</v>
      </c>
      <c r="AH767" s="616">
        <f t="shared" si="964"/>
        <v>0</v>
      </c>
      <c r="AI767" s="616">
        <f t="shared" si="964"/>
        <v>0</v>
      </c>
      <c r="AJ767" s="616">
        <f t="shared" si="964"/>
        <v>0</v>
      </c>
      <c r="AK767" s="616">
        <f t="shared" si="964"/>
        <v>0</v>
      </c>
      <c r="AL767" s="616">
        <f t="shared" si="964"/>
        <v>0</v>
      </c>
      <c r="AM767" s="616">
        <f t="shared" si="964"/>
        <v>0</v>
      </c>
      <c r="AN767" s="616">
        <f t="shared" si="964"/>
        <v>0</v>
      </c>
      <c r="AO767" s="616">
        <f t="shared" si="964"/>
        <v>0</v>
      </c>
      <c r="AP767" s="616">
        <f t="shared" si="964"/>
        <v>0</v>
      </c>
      <c r="AQ767" s="616">
        <f t="shared" si="964"/>
        <v>0</v>
      </c>
      <c r="AR767" s="616">
        <f t="shared" si="964"/>
        <v>0</v>
      </c>
      <c r="AS767" s="616">
        <f t="shared" si="964"/>
        <v>0</v>
      </c>
      <c r="AT767" s="616">
        <f t="shared" si="964"/>
        <v>0</v>
      </c>
      <c r="AU767" s="616">
        <f t="shared" si="964"/>
        <v>0</v>
      </c>
      <c r="AV767" s="616">
        <f t="shared" si="964"/>
        <v>0</v>
      </c>
      <c r="AW767" s="616">
        <f t="shared" si="964"/>
        <v>0</v>
      </c>
      <c r="AX767" s="616">
        <f t="shared" si="964"/>
        <v>0</v>
      </c>
      <c r="AY767" s="616">
        <f t="shared" si="964"/>
        <v>0</v>
      </c>
      <c r="AZ767" s="616">
        <f t="shared" si="964"/>
        <v>0</v>
      </c>
      <c r="BA767" s="616">
        <f t="shared" si="964"/>
        <v>0</v>
      </c>
      <c r="BB767" s="616">
        <f t="shared" si="964"/>
        <v>0</v>
      </c>
      <c r="BC767" s="616">
        <f t="shared" si="964"/>
        <v>0</v>
      </c>
      <c r="BD767" s="616">
        <f t="shared" si="964"/>
        <v>0</v>
      </c>
      <c r="BE767" s="616">
        <f t="shared" si="964"/>
        <v>0</v>
      </c>
      <c r="BF767" s="616">
        <f t="shared" si="964"/>
        <v>0</v>
      </c>
      <c r="BG767" s="616">
        <f t="shared" si="964"/>
        <v>0</v>
      </c>
      <c r="BH767" s="616">
        <f t="shared" si="964"/>
        <v>0</v>
      </c>
      <c r="BI767" s="616">
        <f t="shared" si="964"/>
        <v>0</v>
      </c>
      <c r="BJ767" s="616">
        <f t="shared" si="964"/>
        <v>0</v>
      </c>
      <c r="BK767" s="616">
        <f t="shared" si="964"/>
        <v>0</v>
      </c>
      <c r="BL767" s="616">
        <f t="shared" si="964"/>
        <v>0</v>
      </c>
      <c r="BM767" s="616">
        <f t="shared" si="964"/>
        <v>0</v>
      </c>
      <c r="BN767" s="616">
        <f t="shared" si="964"/>
        <v>0</v>
      </c>
      <c r="BO767" s="616">
        <f t="shared" si="964"/>
        <v>0</v>
      </c>
      <c r="BP767" s="616">
        <f t="shared" si="964"/>
        <v>0</v>
      </c>
      <c r="BQ767" s="616">
        <f t="shared" si="964"/>
        <v>0</v>
      </c>
      <c r="BR767" s="616">
        <f t="shared" si="964"/>
        <v>0</v>
      </c>
      <c r="BS767" s="616">
        <f t="shared" si="964"/>
        <v>0</v>
      </c>
      <c r="BT767" s="616">
        <f t="shared" si="964"/>
        <v>0</v>
      </c>
      <c r="BU767" s="616">
        <f t="shared" si="964"/>
        <v>0</v>
      </c>
      <c r="BV767" s="616">
        <f t="shared" si="964"/>
        <v>0</v>
      </c>
      <c r="BW767" s="616">
        <f t="shared" si="964"/>
        <v>0</v>
      </c>
      <c r="BX767" s="616">
        <f t="shared" si="964"/>
        <v>0</v>
      </c>
      <c r="BY767" s="616">
        <f t="shared" si="964"/>
        <v>0</v>
      </c>
      <c r="BZ767" s="616">
        <f t="shared" si="964"/>
        <v>0</v>
      </c>
      <c r="CA767" s="616">
        <f t="shared" si="964"/>
        <v>0</v>
      </c>
      <c r="CB767" s="616">
        <f t="shared" si="964"/>
        <v>0</v>
      </c>
      <c r="CC767" s="616">
        <f t="shared" si="964"/>
        <v>0</v>
      </c>
      <c r="CD767" s="616">
        <f t="shared" si="964"/>
        <v>0</v>
      </c>
      <c r="CE767" s="616">
        <f t="shared" si="964"/>
        <v>0</v>
      </c>
      <c r="CF767" s="616">
        <f t="shared" si="964"/>
        <v>0</v>
      </c>
      <c r="CG767" s="616">
        <f t="shared" si="964"/>
        <v>0</v>
      </c>
      <c r="CH767" s="616">
        <f t="shared" ref="CH767:CN767" si="965">CH762*$Q$391</f>
        <v>0</v>
      </c>
      <c r="CI767" s="616">
        <f t="shared" si="965"/>
        <v>0</v>
      </c>
      <c r="CJ767" s="616">
        <f t="shared" si="965"/>
        <v>0</v>
      </c>
      <c r="CK767" s="616">
        <f t="shared" si="965"/>
        <v>0</v>
      </c>
      <c r="CL767" s="616">
        <f t="shared" si="965"/>
        <v>0</v>
      </c>
      <c r="CM767" s="616">
        <f t="shared" si="965"/>
        <v>0</v>
      </c>
      <c r="CN767" s="616">
        <f t="shared" si="965"/>
        <v>0</v>
      </c>
    </row>
    <row r="768" spans="8:92">
      <c r="H768" s="602" t="s">
        <v>940</v>
      </c>
      <c r="L768" s="618" t="s">
        <v>1301</v>
      </c>
      <c r="M768" s="600" t="s">
        <v>974</v>
      </c>
      <c r="N768" s="615">
        <f>SUM(U768:AF768)</f>
        <v>0</v>
      </c>
      <c r="O768" s="615">
        <f>SUM(AG768:AR768)</f>
        <v>0</v>
      </c>
      <c r="P768" s="615">
        <f>SUM(AS768:BD768)</f>
        <v>0</v>
      </c>
      <c r="Q768" s="615">
        <f>SUM(BE768:BP768)</f>
        <v>0</v>
      </c>
      <c r="R768" s="615">
        <f>SUM(BQ768:CB768)</f>
        <v>0</v>
      </c>
      <c r="S768" s="615">
        <f>SUM(CC768:CN768)</f>
        <v>0</v>
      </c>
      <c r="U768" s="616">
        <f>U763*$Q$392</f>
        <v>0</v>
      </c>
      <c r="V768" s="616">
        <f t="shared" ref="V768:CG768" si="966">V763*$Q$392</f>
        <v>0</v>
      </c>
      <c r="W768" s="616">
        <f t="shared" si="966"/>
        <v>0</v>
      </c>
      <c r="X768" s="616">
        <f t="shared" si="966"/>
        <v>0</v>
      </c>
      <c r="Y768" s="616">
        <f t="shared" si="966"/>
        <v>0</v>
      </c>
      <c r="Z768" s="616">
        <f t="shared" si="966"/>
        <v>0</v>
      </c>
      <c r="AA768" s="616">
        <f t="shared" si="966"/>
        <v>0</v>
      </c>
      <c r="AB768" s="616">
        <f t="shared" si="966"/>
        <v>0</v>
      </c>
      <c r="AC768" s="616">
        <f t="shared" si="966"/>
        <v>0</v>
      </c>
      <c r="AD768" s="616">
        <f t="shared" si="966"/>
        <v>0</v>
      </c>
      <c r="AE768" s="616">
        <f t="shared" si="966"/>
        <v>0</v>
      </c>
      <c r="AF768" s="616">
        <f t="shared" si="966"/>
        <v>0</v>
      </c>
      <c r="AG768" s="616">
        <f t="shared" si="966"/>
        <v>0</v>
      </c>
      <c r="AH768" s="616">
        <f t="shared" si="966"/>
        <v>0</v>
      </c>
      <c r="AI768" s="616">
        <f t="shared" si="966"/>
        <v>0</v>
      </c>
      <c r="AJ768" s="616">
        <f t="shared" si="966"/>
        <v>0</v>
      </c>
      <c r="AK768" s="616">
        <f t="shared" si="966"/>
        <v>0</v>
      </c>
      <c r="AL768" s="616">
        <f t="shared" si="966"/>
        <v>0</v>
      </c>
      <c r="AM768" s="616">
        <f t="shared" si="966"/>
        <v>0</v>
      </c>
      <c r="AN768" s="616">
        <f t="shared" si="966"/>
        <v>0</v>
      </c>
      <c r="AO768" s="616">
        <f t="shared" si="966"/>
        <v>0</v>
      </c>
      <c r="AP768" s="616">
        <f t="shared" si="966"/>
        <v>0</v>
      </c>
      <c r="AQ768" s="616">
        <f t="shared" si="966"/>
        <v>0</v>
      </c>
      <c r="AR768" s="616">
        <f t="shared" si="966"/>
        <v>0</v>
      </c>
      <c r="AS768" s="616">
        <f t="shared" si="966"/>
        <v>0</v>
      </c>
      <c r="AT768" s="616">
        <f t="shared" si="966"/>
        <v>0</v>
      </c>
      <c r="AU768" s="616">
        <f t="shared" si="966"/>
        <v>0</v>
      </c>
      <c r="AV768" s="616">
        <f t="shared" si="966"/>
        <v>0</v>
      </c>
      <c r="AW768" s="616">
        <f t="shared" si="966"/>
        <v>0</v>
      </c>
      <c r="AX768" s="616">
        <f t="shared" si="966"/>
        <v>0</v>
      </c>
      <c r="AY768" s="616">
        <f t="shared" si="966"/>
        <v>0</v>
      </c>
      <c r="AZ768" s="616">
        <f t="shared" si="966"/>
        <v>0</v>
      </c>
      <c r="BA768" s="616">
        <f t="shared" si="966"/>
        <v>0</v>
      </c>
      <c r="BB768" s="616">
        <f t="shared" si="966"/>
        <v>0</v>
      </c>
      <c r="BC768" s="616">
        <f t="shared" si="966"/>
        <v>0</v>
      </c>
      <c r="BD768" s="616">
        <f t="shared" si="966"/>
        <v>0</v>
      </c>
      <c r="BE768" s="616">
        <f t="shared" si="966"/>
        <v>0</v>
      </c>
      <c r="BF768" s="616">
        <f t="shared" si="966"/>
        <v>0</v>
      </c>
      <c r="BG768" s="616">
        <f t="shared" si="966"/>
        <v>0</v>
      </c>
      <c r="BH768" s="616">
        <f t="shared" si="966"/>
        <v>0</v>
      </c>
      <c r="BI768" s="616">
        <f t="shared" si="966"/>
        <v>0</v>
      </c>
      <c r="BJ768" s="616">
        <f t="shared" si="966"/>
        <v>0</v>
      </c>
      <c r="BK768" s="616">
        <f t="shared" si="966"/>
        <v>0</v>
      </c>
      <c r="BL768" s="616">
        <f t="shared" si="966"/>
        <v>0</v>
      </c>
      <c r="BM768" s="616">
        <f t="shared" si="966"/>
        <v>0</v>
      </c>
      <c r="BN768" s="616">
        <f t="shared" si="966"/>
        <v>0</v>
      </c>
      <c r="BO768" s="616">
        <f t="shared" si="966"/>
        <v>0</v>
      </c>
      <c r="BP768" s="616">
        <f t="shared" si="966"/>
        <v>0</v>
      </c>
      <c r="BQ768" s="616">
        <f t="shared" si="966"/>
        <v>0</v>
      </c>
      <c r="BR768" s="616">
        <f t="shared" si="966"/>
        <v>0</v>
      </c>
      <c r="BS768" s="616">
        <f t="shared" si="966"/>
        <v>0</v>
      </c>
      <c r="BT768" s="616">
        <f t="shared" si="966"/>
        <v>0</v>
      </c>
      <c r="BU768" s="616">
        <f t="shared" si="966"/>
        <v>0</v>
      </c>
      <c r="BV768" s="616">
        <f t="shared" si="966"/>
        <v>0</v>
      </c>
      <c r="BW768" s="616">
        <f t="shared" si="966"/>
        <v>0</v>
      </c>
      <c r="BX768" s="616">
        <f t="shared" si="966"/>
        <v>0</v>
      </c>
      <c r="BY768" s="616">
        <f t="shared" si="966"/>
        <v>0</v>
      </c>
      <c r="BZ768" s="616">
        <f t="shared" si="966"/>
        <v>0</v>
      </c>
      <c r="CA768" s="616">
        <f t="shared" si="966"/>
        <v>0</v>
      </c>
      <c r="CB768" s="616">
        <f t="shared" si="966"/>
        <v>0</v>
      </c>
      <c r="CC768" s="616">
        <f t="shared" si="966"/>
        <v>0</v>
      </c>
      <c r="CD768" s="616">
        <f t="shared" si="966"/>
        <v>0</v>
      </c>
      <c r="CE768" s="616">
        <f t="shared" si="966"/>
        <v>0</v>
      </c>
      <c r="CF768" s="616">
        <f t="shared" si="966"/>
        <v>0</v>
      </c>
      <c r="CG768" s="616">
        <f t="shared" si="966"/>
        <v>0</v>
      </c>
      <c r="CH768" s="616">
        <f t="shared" ref="CH768:CN768" si="967">CH763*$Q$392</f>
        <v>0</v>
      </c>
      <c r="CI768" s="616">
        <f t="shared" si="967"/>
        <v>0</v>
      </c>
      <c r="CJ768" s="616">
        <f t="shared" si="967"/>
        <v>0</v>
      </c>
      <c r="CK768" s="616">
        <f t="shared" si="967"/>
        <v>0</v>
      </c>
      <c r="CL768" s="616">
        <f t="shared" si="967"/>
        <v>0</v>
      </c>
      <c r="CM768" s="616">
        <f t="shared" si="967"/>
        <v>0</v>
      </c>
      <c r="CN768" s="616">
        <f t="shared" si="967"/>
        <v>0</v>
      </c>
    </row>
    <row r="769" spans="8:93">
      <c r="H769" s="602" t="s">
        <v>940</v>
      </c>
      <c r="L769" s="618" t="s">
        <v>1302</v>
      </c>
      <c r="M769" s="600" t="s">
        <v>974</v>
      </c>
      <c r="N769" s="615">
        <f>SUM(U769:AF769)</f>
        <v>0</v>
      </c>
      <c r="O769" s="615">
        <f>SUM(AG769:AR769)</f>
        <v>0</v>
      </c>
      <c r="P769" s="615">
        <f>SUM(AS769:BD769)</f>
        <v>0</v>
      </c>
      <c r="Q769" s="615">
        <f>SUM(BE769:BP769)</f>
        <v>0</v>
      </c>
      <c r="R769" s="615">
        <f>SUM(BQ769:CB769)</f>
        <v>0</v>
      </c>
      <c r="S769" s="615">
        <f>SUM(CC769:CN769)</f>
        <v>0</v>
      </c>
      <c r="U769" s="616">
        <f>U764*$Q$393</f>
        <v>0</v>
      </c>
      <c r="V769" s="616">
        <f t="shared" ref="V769:CG769" si="968">V764*$Q$393</f>
        <v>0</v>
      </c>
      <c r="W769" s="616">
        <f t="shared" si="968"/>
        <v>0</v>
      </c>
      <c r="X769" s="616">
        <f t="shared" si="968"/>
        <v>0</v>
      </c>
      <c r="Y769" s="616">
        <f t="shared" si="968"/>
        <v>0</v>
      </c>
      <c r="Z769" s="616">
        <f t="shared" si="968"/>
        <v>0</v>
      </c>
      <c r="AA769" s="616">
        <f t="shared" si="968"/>
        <v>0</v>
      </c>
      <c r="AB769" s="616">
        <f t="shared" si="968"/>
        <v>0</v>
      </c>
      <c r="AC769" s="616">
        <f t="shared" si="968"/>
        <v>0</v>
      </c>
      <c r="AD769" s="616">
        <f t="shared" si="968"/>
        <v>0</v>
      </c>
      <c r="AE769" s="616">
        <f t="shared" si="968"/>
        <v>0</v>
      </c>
      <c r="AF769" s="616">
        <f t="shared" si="968"/>
        <v>0</v>
      </c>
      <c r="AG769" s="616">
        <f t="shared" si="968"/>
        <v>0</v>
      </c>
      <c r="AH769" s="616">
        <f t="shared" si="968"/>
        <v>0</v>
      </c>
      <c r="AI769" s="616">
        <f t="shared" si="968"/>
        <v>0</v>
      </c>
      <c r="AJ769" s="616">
        <f t="shared" si="968"/>
        <v>0</v>
      </c>
      <c r="AK769" s="616">
        <f t="shared" si="968"/>
        <v>0</v>
      </c>
      <c r="AL769" s="616">
        <f t="shared" si="968"/>
        <v>0</v>
      </c>
      <c r="AM769" s="616">
        <f t="shared" si="968"/>
        <v>0</v>
      </c>
      <c r="AN769" s="616">
        <f t="shared" si="968"/>
        <v>0</v>
      </c>
      <c r="AO769" s="616">
        <f t="shared" si="968"/>
        <v>0</v>
      </c>
      <c r="AP769" s="616">
        <f t="shared" si="968"/>
        <v>0</v>
      </c>
      <c r="AQ769" s="616">
        <f t="shared" si="968"/>
        <v>0</v>
      </c>
      <c r="AR769" s="616">
        <f t="shared" si="968"/>
        <v>0</v>
      </c>
      <c r="AS769" s="616">
        <f t="shared" si="968"/>
        <v>0</v>
      </c>
      <c r="AT769" s="616">
        <f t="shared" si="968"/>
        <v>0</v>
      </c>
      <c r="AU769" s="616">
        <f t="shared" si="968"/>
        <v>0</v>
      </c>
      <c r="AV769" s="616">
        <f t="shared" si="968"/>
        <v>0</v>
      </c>
      <c r="AW769" s="616">
        <f t="shared" si="968"/>
        <v>0</v>
      </c>
      <c r="AX769" s="616">
        <f t="shared" si="968"/>
        <v>0</v>
      </c>
      <c r="AY769" s="616">
        <f t="shared" si="968"/>
        <v>0</v>
      </c>
      <c r="AZ769" s="616">
        <f t="shared" si="968"/>
        <v>0</v>
      </c>
      <c r="BA769" s="616">
        <f t="shared" si="968"/>
        <v>0</v>
      </c>
      <c r="BB769" s="616">
        <f t="shared" si="968"/>
        <v>0</v>
      </c>
      <c r="BC769" s="616">
        <f t="shared" si="968"/>
        <v>0</v>
      </c>
      <c r="BD769" s="616">
        <f t="shared" si="968"/>
        <v>0</v>
      </c>
      <c r="BE769" s="616">
        <f t="shared" si="968"/>
        <v>0</v>
      </c>
      <c r="BF769" s="616">
        <f t="shared" si="968"/>
        <v>0</v>
      </c>
      <c r="BG769" s="616">
        <f t="shared" si="968"/>
        <v>0</v>
      </c>
      <c r="BH769" s="616">
        <f t="shared" si="968"/>
        <v>0</v>
      </c>
      <c r="BI769" s="616">
        <f t="shared" si="968"/>
        <v>0</v>
      </c>
      <c r="BJ769" s="616">
        <f t="shared" si="968"/>
        <v>0</v>
      </c>
      <c r="BK769" s="616">
        <f t="shared" si="968"/>
        <v>0</v>
      </c>
      <c r="BL769" s="616">
        <f t="shared" si="968"/>
        <v>0</v>
      </c>
      <c r="BM769" s="616">
        <f t="shared" si="968"/>
        <v>0</v>
      </c>
      <c r="BN769" s="616">
        <f t="shared" si="968"/>
        <v>0</v>
      </c>
      <c r="BO769" s="616">
        <f t="shared" si="968"/>
        <v>0</v>
      </c>
      <c r="BP769" s="616">
        <f t="shared" si="968"/>
        <v>0</v>
      </c>
      <c r="BQ769" s="616">
        <f t="shared" si="968"/>
        <v>0</v>
      </c>
      <c r="BR769" s="616">
        <f t="shared" si="968"/>
        <v>0</v>
      </c>
      <c r="BS769" s="616">
        <f t="shared" si="968"/>
        <v>0</v>
      </c>
      <c r="BT769" s="616">
        <f t="shared" si="968"/>
        <v>0</v>
      </c>
      <c r="BU769" s="616">
        <f t="shared" si="968"/>
        <v>0</v>
      </c>
      <c r="BV769" s="616">
        <f t="shared" si="968"/>
        <v>0</v>
      </c>
      <c r="BW769" s="616">
        <f t="shared" si="968"/>
        <v>0</v>
      </c>
      <c r="BX769" s="616">
        <f t="shared" si="968"/>
        <v>0</v>
      </c>
      <c r="BY769" s="616">
        <f t="shared" si="968"/>
        <v>0</v>
      </c>
      <c r="BZ769" s="616">
        <f t="shared" si="968"/>
        <v>0</v>
      </c>
      <c r="CA769" s="616">
        <f t="shared" si="968"/>
        <v>0</v>
      </c>
      <c r="CB769" s="616">
        <f t="shared" si="968"/>
        <v>0</v>
      </c>
      <c r="CC769" s="616">
        <f t="shared" si="968"/>
        <v>0</v>
      </c>
      <c r="CD769" s="616">
        <f t="shared" si="968"/>
        <v>0</v>
      </c>
      <c r="CE769" s="616">
        <f t="shared" si="968"/>
        <v>0</v>
      </c>
      <c r="CF769" s="616">
        <f t="shared" si="968"/>
        <v>0</v>
      </c>
      <c r="CG769" s="616">
        <f t="shared" si="968"/>
        <v>0</v>
      </c>
      <c r="CH769" s="616">
        <f t="shared" ref="CH769:CN769" si="969">CH764*$Q$393</f>
        <v>0</v>
      </c>
      <c r="CI769" s="616">
        <f t="shared" si="969"/>
        <v>0</v>
      </c>
      <c r="CJ769" s="616">
        <f t="shared" si="969"/>
        <v>0</v>
      </c>
      <c r="CK769" s="616">
        <f t="shared" si="969"/>
        <v>0</v>
      </c>
      <c r="CL769" s="616">
        <f t="shared" si="969"/>
        <v>0</v>
      </c>
      <c r="CM769" s="616">
        <f t="shared" si="969"/>
        <v>0</v>
      </c>
      <c r="CN769" s="616">
        <f t="shared" si="969"/>
        <v>0</v>
      </c>
    </row>
    <row r="770" spans="8:93">
      <c r="H770" s="602" t="s">
        <v>940</v>
      </c>
      <c r="L770" s="618" t="s">
        <v>1303</v>
      </c>
      <c r="M770" s="600" t="s">
        <v>974</v>
      </c>
      <c r="N770" s="615">
        <f>SUM(U770:AF770)</f>
        <v>0</v>
      </c>
      <c r="O770" s="615">
        <f>SUM(AG770:AR770)</f>
        <v>0</v>
      </c>
      <c r="P770" s="615">
        <f>SUM(AS770:BD770)</f>
        <v>0</v>
      </c>
      <c r="Q770" s="615">
        <f>SUM(BE770:BP770)</f>
        <v>0</v>
      </c>
      <c r="R770" s="615">
        <f>SUM(BQ770:CB770)</f>
        <v>0</v>
      </c>
      <c r="S770" s="615">
        <f>SUM(CC770:CN770)</f>
        <v>0</v>
      </c>
      <c r="U770" s="616">
        <f>U765*$Q$394</f>
        <v>0</v>
      </c>
      <c r="V770" s="616">
        <f t="shared" ref="V770:CG770" si="970">V765*$Q$394</f>
        <v>0</v>
      </c>
      <c r="W770" s="616">
        <f t="shared" si="970"/>
        <v>0</v>
      </c>
      <c r="X770" s="616">
        <f t="shared" si="970"/>
        <v>0</v>
      </c>
      <c r="Y770" s="616">
        <f t="shared" si="970"/>
        <v>0</v>
      </c>
      <c r="Z770" s="616">
        <f t="shared" si="970"/>
        <v>0</v>
      </c>
      <c r="AA770" s="616">
        <f t="shared" si="970"/>
        <v>0</v>
      </c>
      <c r="AB770" s="616">
        <f t="shared" si="970"/>
        <v>0</v>
      </c>
      <c r="AC770" s="616">
        <f t="shared" si="970"/>
        <v>0</v>
      </c>
      <c r="AD770" s="616">
        <f t="shared" si="970"/>
        <v>0</v>
      </c>
      <c r="AE770" s="616">
        <f t="shared" si="970"/>
        <v>0</v>
      </c>
      <c r="AF770" s="616">
        <f t="shared" si="970"/>
        <v>0</v>
      </c>
      <c r="AG770" s="616">
        <f t="shared" si="970"/>
        <v>0</v>
      </c>
      <c r="AH770" s="616">
        <f t="shared" si="970"/>
        <v>0</v>
      </c>
      <c r="AI770" s="616">
        <f t="shared" si="970"/>
        <v>0</v>
      </c>
      <c r="AJ770" s="616">
        <f t="shared" si="970"/>
        <v>0</v>
      </c>
      <c r="AK770" s="616">
        <f t="shared" si="970"/>
        <v>0</v>
      </c>
      <c r="AL770" s="616">
        <f t="shared" si="970"/>
        <v>0</v>
      </c>
      <c r="AM770" s="616">
        <f t="shared" si="970"/>
        <v>0</v>
      </c>
      <c r="AN770" s="616">
        <f t="shared" si="970"/>
        <v>0</v>
      </c>
      <c r="AO770" s="616">
        <f t="shared" si="970"/>
        <v>0</v>
      </c>
      <c r="AP770" s="616">
        <f t="shared" si="970"/>
        <v>0</v>
      </c>
      <c r="AQ770" s="616">
        <f t="shared" si="970"/>
        <v>0</v>
      </c>
      <c r="AR770" s="616">
        <f t="shared" si="970"/>
        <v>0</v>
      </c>
      <c r="AS770" s="616">
        <f t="shared" si="970"/>
        <v>0</v>
      </c>
      <c r="AT770" s="616">
        <f t="shared" si="970"/>
        <v>0</v>
      </c>
      <c r="AU770" s="616">
        <f t="shared" si="970"/>
        <v>0</v>
      </c>
      <c r="AV770" s="616">
        <f t="shared" si="970"/>
        <v>0</v>
      </c>
      <c r="AW770" s="616">
        <f t="shared" si="970"/>
        <v>0</v>
      </c>
      <c r="AX770" s="616">
        <f t="shared" si="970"/>
        <v>0</v>
      </c>
      <c r="AY770" s="616">
        <f t="shared" si="970"/>
        <v>0</v>
      </c>
      <c r="AZ770" s="616">
        <f t="shared" si="970"/>
        <v>0</v>
      </c>
      <c r="BA770" s="616">
        <f t="shared" si="970"/>
        <v>0</v>
      </c>
      <c r="BB770" s="616">
        <f t="shared" si="970"/>
        <v>0</v>
      </c>
      <c r="BC770" s="616">
        <f t="shared" si="970"/>
        <v>0</v>
      </c>
      <c r="BD770" s="616">
        <f t="shared" si="970"/>
        <v>0</v>
      </c>
      <c r="BE770" s="616">
        <f t="shared" si="970"/>
        <v>0</v>
      </c>
      <c r="BF770" s="616">
        <f t="shared" si="970"/>
        <v>0</v>
      </c>
      <c r="BG770" s="616">
        <f t="shared" si="970"/>
        <v>0</v>
      </c>
      <c r="BH770" s="616">
        <f t="shared" si="970"/>
        <v>0</v>
      </c>
      <c r="BI770" s="616">
        <f t="shared" si="970"/>
        <v>0</v>
      </c>
      <c r="BJ770" s="616">
        <f t="shared" si="970"/>
        <v>0</v>
      </c>
      <c r="BK770" s="616">
        <f t="shared" si="970"/>
        <v>0</v>
      </c>
      <c r="BL770" s="616">
        <f t="shared" si="970"/>
        <v>0</v>
      </c>
      <c r="BM770" s="616">
        <f t="shared" si="970"/>
        <v>0</v>
      </c>
      <c r="BN770" s="616">
        <f t="shared" si="970"/>
        <v>0</v>
      </c>
      <c r="BO770" s="616">
        <f t="shared" si="970"/>
        <v>0</v>
      </c>
      <c r="BP770" s="616">
        <f t="shared" si="970"/>
        <v>0</v>
      </c>
      <c r="BQ770" s="616">
        <f t="shared" si="970"/>
        <v>0</v>
      </c>
      <c r="BR770" s="616">
        <f t="shared" si="970"/>
        <v>0</v>
      </c>
      <c r="BS770" s="616">
        <f t="shared" si="970"/>
        <v>0</v>
      </c>
      <c r="BT770" s="616">
        <f t="shared" si="970"/>
        <v>0</v>
      </c>
      <c r="BU770" s="616">
        <f t="shared" si="970"/>
        <v>0</v>
      </c>
      <c r="BV770" s="616">
        <f t="shared" si="970"/>
        <v>0</v>
      </c>
      <c r="BW770" s="616">
        <f t="shared" si="970"/>
        <v>0</v>
      </c>
      <c r="BX770" s="616">
        <f t="shared" si="970"/>
        <v>0</v>
      </c>
      <c r="BY770" s="616">
        <f t="shared" si="970"/>
        <v>0</v>
      </c>
      <c r="BZ770" s="616">
        <f t="shared" si="970"/>
        <v>0</v>
      </c>
      <c r="CA770" s="616">
        <f t="shared" si="970"/>
        <v>0</v>
      </c>
      <c r="CB770" s="616">
        <f t="shared" si="970"/>
        <v>0</v>
      </c>
      <c r="CC770" s="616">
        <f t="shared" si="970"/>
        <v>0</v>
      </c>
      <c r="CD770" s="616">
        <f t="shared" si="970"/>
        <v>0</v>
      </c>
      <c r="CE770" s="616">
        <f t="shared" si="970"/>
        <v>0</v>
      </c>
      <c r="CF770" s="616">
        <f t="shared" si="970"/>
        <v>0</v>
      </c>
      <c r="CG770" s="616">
        <f t="shared" si="970"/>
        <v>0</v>
      </c>
      <c r="CH770" s="616">
        <f t="shared" ref="CH770:CN770" si="971">CH765*$Q$394</f>
        <v>0</v>
      </c>
      <c r="CI770" s="616">
        <f t="shared" si="971"/>
        <v>0</v>
      </c>
      <c r="CJ770" s="616">
        <f t="shared" si="971"/>
        <v>0</v>
      </c>
      <c r="CK770" s="616">
        <f t="shared" si="971"/>
        <v>0</v>
      </c>
      <c r="CL770" s="616">
        <f t="shared" si="971"/>
        <v>0</v>
      </c>
      <c r="CM770" s="616">
        <f t="shared" si="971"/>
        <v>0</v>
      </c>
      <c r="CN770" s="616">
        <f t="shared" si="971"/>
        <v>0</v>
      </c>
    </row>
    <row r="771" spans="8:93">
      <c r="H771" s="602" t="s">
        <v>940</v>
      </c>
      <c r="L771" s="618"/>
      <c r="M771" s="600"/>
      <c r="N771" s="615"/>
      <c r="O771" s="615"/>
      <c r="P771" s="615"/>
      <c r="Q771" s="615"/>
      <c r="R771" s="615"/>
      <c r="S771" s="615"/>
      <c r="U771" s="616"/>
      <c r="V771" s="616"/>
      <c r="W771" s="616"/>
      <c r="X771" s="616"/>
      <c r="Y771" s="616"/>
      <c r="Z771" s="616"/>
      <c r="AA771" s="616"/>
      <c r="AB771" s="616"/>
      <c r="AC771" s="616"/>
      <c r="AD771" s="616"/>
      <c r="AE771" s="616"/>
      <c r="AF771" s="616"/>
      <c r="AG771" s="616"/>
      <c r="AH771" s="616"/>
      <c r="AI771" s="616"/>
      <c r="AJ771" s="616"/>
      <c r="AK771" s="616"/>
      <c r="AL771" s="616"/>
      <c r="AM771" s="616"/>
      <c r="AN771" s="616"/>
      <c r="AO771" s="616"/>
      <c r="AP771" s="616"/>
      <c r="AQ771" s="616"/>
      <c r="AR771" s="616"/>
      <c r="AS771" s="616"/>
      <c r="AT771" s="616"/>
      <c r="AU771" s="616"/>
      <c r="AV771" s="616"/>
      <c r="AW771" s="616"/>
      <c r="AX771" s="616"/>
      <c r="AY771" s="616"/>
      <c r="AZ771" s="616"/>
      <c r="BA771" s="616"/>
      <c r="BB771" s="616"/>
      <c r="BC771" s="616"/>
      <c r="BD771" s="616"/>
      <c r="BE771" s="616"/>
      <c r="BF771" s="616"/>
      <c r="BG771" s="616"/>
      <c r="BH771" s="616"/>
      <c r="BI771" s="616"/>
      <c r="BJ771" s="616"/>
      <c r="BK771" s="616"/>
      <c r="BL771" s="616"/>
      <c r="BM771" s="616"/>
      <c r="BN771" s="616"/>
      <c r="BO771" s="616"/>
      <c r="BP771" s="616"/>
      <c r="BQ771" s="616"/>
      <c r="BR771" s="616"/>
      <c r="BS771" s="616"/>
      <c r="BT771" s="616"/>
      <c r="BU771" s="616"/>
      <c r="BV771" s="616"/>
      <c r="BW771" s="616"/>
      <c r="BX771" s="616"/>
      <c r="BY771" s="616"/>
      <c r="BZ771" s="616"/>
      <c r="CA771" s="616"/>
      <c r="CB771" s="616"/>
      <c r="CC771" s="616"/>
      <c r="CD771" s="616"/>
      <c r="CE771" s="616"/>
      <c r="CF771" s="616"/>
      <c r="CG771" s="616"/>
      <c r="CH771" s="616"/>
      <c r="CI771" s="616"/>
      <c r="CJ771" s="616"/>
      <c r="CK771" s="616"/>
      <c r="CL771" s="616"/>
      <c r="CM771" s="616"/>
      <c r="CN771" s="616"/>
    </row>
    <row r="772" spans="8:93">
      <c r="H772" s="602" t="s">
        <v>940</v>
      </c>
      <c r="L772" s="618" t="s">
        <v>1247</v>
      </c>
      <c r="M772" s="600" t="s">
        <v>974</v>
      </c>
      <c r="N772" s="615">
        <f>SUM(U772:AF772)</f>
        <v>0</v>
      </c>
      <c r="O772" s="615">
        <f>SUM(AG772:AR772)</f>
        <v>0</v>
      </c>
      <c r="P772" s="615">
        <f>SUM(AS772:BD772)</f>
        <v>0</v>
      </c>
      <c r="Q772" s="615">
        <f>SUM(BE772:BP772)</f>
        <v>0</v>
      </c>
      <c r="R772" s="615">
        <f>SUM(BQ772:CB772)</f>
        <v>0</v>
      </c>
      <c r="S772" s="615">
        <f>SUM(CC772:CN772)</f>
        <v>0</v>
      </c>
      <c r="U772" s="686"/>
      <c r="V772" s="686"/>
      <c r="W772" s="686"/>
      <c r="X772" s="686"/>
      <c r="Y772" s="686"/>
      <c r="Z772" s="686"/>
      <c r="AA772" s="686"/>
      <c r="AB772" s="686"/>
      <c r="AC772" s="686"/>
      <c r="AD772" s="686"/>
      <c r="AE772" s="686"/>
      <c r="AF772" s="686"/>
      <c r="AG772" s="686"/>
      <c r="AH772" s="686"/>
      <c r="AI772" s="686"/>
      <c r="AJ772" s="686"/>
      <c r="AK772" s="686"/>
      <c r="AL772" s="686"/>
      <c r="AM772" s="686"/>
      <c r="AN772" s="686"/>
      <c r="AO772" s="686"/>
      <c r="AP772" s="686"/>
      <c r="AQ772" s="686"/>
      <c r="AR772" s="686"/>
      <c r="AS772" s="686"/>
      <c r="AT772" s="686"/>
      <c r="AU772" s="686"/>
      <c r="AV772" s="686"/>
      <c r="AW772" s="686"/>
      <c r="AX772" s="686"/>
      <c r="AY772" s="686"/>
      <c r="AZ772" s="686"/>
      <c r="BA772" s="686"/>
      <c r="BB772" s="686"/>
      <c r="BC772" s="686"/>
      <c r="BD772" s="686"/>
      <c r="BE772" s="686"/>
      <c r="BF772" s="686"/>
      <c r="BG772" s="686"/>
      <c r="BH772" s="686"/>
      <c r="BI772" s="686"/>
      <c r="BJ772" s="686"/>
      <c r="BK772" s="686"/>
      <c r="BL772" s="686"/>
      <c r="BM772" s="686"/>
      <c r="BN772" s="686"/>
      <c r="BO772" s="686"/>
      <c r="BP772" s="686"/>
      <c r="BQ772" s="686"/>
      <c r="BR772" s="686"/>
      <c r="BS772" s="686"/>
      <c r="BT772" s="686"/>
      <c r="BU772" s="686"/>
      <c r="BV772" s="686"/>
      <c r="BW772" s="686"/>
      <c r="BX772" s="686"/>
      <c r="BY772" s="686"/>
      <c r="BZ772" s="686"/>
      <c r="CA772" s="686"/>
      <c r="CB772" s="686"/>
      <c r="CC772" s="686"/>
      <c r="CD772" s="686"/>
      <c r="CE772" s="686"/>
      <c r="CF772" s="686"/>
      <c r="CG772" s="686"/>
      <c r="CH772" s="686"/>
      <c r="CI772" s="686"/>
      <c r="CJ772" s="686"/>
      <c r="CK772" s="686"/>
      <c r="CL772" s="686"/>
      <c r="CM772" s="686"/>
      <c r="CN772" s="686"/>
      <c r="CO772" s="556" t="s">
        <v>1272</v>
      </c>
    </row>
    <row r="773" spans="8:93">
      <c r="H773" s="602" t="s">
        <v>940</v>
      </c>
      <c r="L773" s="618" t="s">
        <v>908</v>
      </c>
      <c r="M773" s="600" t="s">
        <v>974</v>
      </c>
      <c r="N773" s="615">
        <f>SUM(U773:AF773)</f>
        <v>0</v>
      </c>
      <c r="O773" s="615">
        <f>SUM(AG773:AR773)</f>
        <v>0</v>
      </c>
      <c r="P773" s="615">
        <f>SUM(AS773:BD773)</f>
        <v>0</v>
      </c>
      <c r="Q773" s="615">
        <f>SUM(BE773:BP773)</f>
        <v>0</v>
      </c>
      <c r="R773" s="615">
        <f>SUM(BQ773:CB773)</f>
        <v>0</v>
      </c>
      <c r="S773" s="615">
        <f>SUM(CC773:CN773)</f>
        <v>0</v>
      </c>
      <c r="U773" s="616">
        <f>U760*$Q$373</f>
        <v>0</v>
      </c>
      <c r="V773" s="616">
        <f t="shared" ref="V773:CG773" si="972">V760*$Q$373</f>
        <v>0</v>
      </c>
      <c r="W773" s="616">
        <f t="shared" si="972"/>
        <v>0</v>
      </c>
      <c r="X773" s="616">
        <f t="shared" si="972"/>
        <v>0</v>
      </c>
      <c r="Y773" s="616">
        <f t="shared" si="972"/>
        <v>0</v>
      </c>
      <c r="Z773" s="616">
        <f t="shared" si="972"/>
        <v>0</v>
      </c>
      <c r="AA773" s="616">
        <f t="shared" si="972"/>
        <v>0</v>
      </c>
      <c r="AB773" s="616">
        <f t="shared" si="972"/>
        <v>0</v>
      </c>
      <c r="AC773" s="616">
        <f t="shared" si="972"/>
        <v>0</v>
      </c>
      <c r="AD773" s="616">
        <f t="shared" si="972"/>
        <v>0</v>
      </c>
      <c r="AE773" s="616">
        <f t="shared" si="972"/>
        <v>0</v>
      </c>
      <c r="AF773" s="616">
        <f t="shared" si="972"/>
        <v>0</v>
      </c>
      <c r="AG773" s="616">
        <f t="shared" si="972"/>
        <v>0</v>
      </c>
      <c r="AH773" s="616">
        <f t="shared" si="972"/>
        <v>0</v>
      </c>
      <c r="AI773" s="616">
        <f t="shared" si="972"/>
        <v>0</v>
      </c>
      <c r="AJ773" s="616">
        <f t="shared" si="972"/>
        <v>0</v>
      </c>
      <c r="AK773" s="616">
        <f t="shared" si="972"/>
        <v>0</v>
      </c>
      <c r="AL773" s="616">
        <f t="shared" si="972"/>
        <v>0</v>
      </c>
      <c r="AM773" s="616">
        <f t="shared" si="972"/>
        <v>0</v>
      </c>
      <c r="AN773" s="616">
        <f t="shared" si="972"/>
        <v>0</v>
      </c>
      <c r="AO773" s="616">
        <f t="shared" si="972"/>
        <v>0</v>
      </c>
      <c r="AP773" s="616">
        <f t="shared" si="972"/>
        <v>0</v>
      </c>
      <c r="AQ773" s="616">
        <f t="shared" si="972"/>
        <v>0</v>
      </c>
      <c r="AR773" s="616">
        <f t="shared" si="972"/>
        <v>0</v>
      </c>
      <c r="AS773" s="616">
        <f t="shared" si="972"/>
        <v>0</v>
      </c>
      <c r="AT773" s="616">
        <f t="shared" si="972"/>
        <v>0</v>
      </c>
      <c r="AU773" s="616">
        <f t="shared" si="972"/>
        <v>0</v>
      </c>
      <c r="AV773" s="616">
        <f t="shared" si="972"/>
        <v>0</v>
      </c>
      <c r="AW773" s="616">
        <f t="shared" si="972"/>
        <v>0</v>
      </c>
      <c r="AX773" s="616">
        <f t="shared" si="972"/>
        <v>0</v>
      </c>
      <c r="AY773" s="616">
        <f t="shared" si="972"/>
        <v>0</v>
      </c>
      <c r="AZ773" s="616">
        <f t="shared" si="972"/>
        <v>0</v>
      </c>
      <c r="BA773" s="616">
        <f t="shared" si="972"/>
        <v>0</v>
      </c>
      <c r="BB773" s="616">
        <f t="shared" si="972"/>
        <v>0</v>
      </c>
      <c r="BC773" s="616">
        <f t="shared" si="972"/>
        <v>0</v>
      </c>
      <c r="BD773" s="616">
        <f t="shared" si="972"/>
        <v>0</v>
      </c>
      <c r="BE773" s="616">
        <f t="shared" si="972"/>
        <v>0</v>
      </c>
      <c r="BF773" s="616">
        <f t="shared" si="972"/>
        <v>0</v>
      </c>
      <c r="BG773" s="616">
        <f t="shared" si="972"/>
        <v>0</v>
      </c>
      <c r="BH773" s="616">
        <f t="shared" si="972"/>
        <v>0</v>
      </c>
      <c r="BI773" s="616">
        <f t="shared" si="972"/>
        <v>0</v>
      </c>
      <c r="BJ773" s="616">
        <f t="shared" si="972"/>
        <v>0</v>
      </c>
      <c r="BK773" s="616">
        <f t="shared" si="972"/>
        <v>0</v>
      </c>
      <c r="BL773" s="616">
        <f t="shared" si="972"/>
        <v>0</v>
      </c>
      <c r="BM773" s="616">
        <f t="shared" si="972"/>
        <v>0</v>
      </c>
      <c r="BN773" s="616">
        <f t="shared" si="972"/>
        <v>0</v>
      </c>
      <c r="BO773" s="616">
        <f t="shared" si="972"/>
        <v>0</v>
      </c>
      <c r="BP773" s="616">
        <f t="shared" si="972"/>
        <v>0</v>
      </c>
      <c r="BQ773" s="616">
        <f t="shared" si="972"/>
        <v>0</v>
      </c>
      <c r="BR773" s="616">
        <f t="shared" si="972"/>
        <v>0</v>
      </c>
      <c r="BS773" s="616">
        <f t="shared" si="972"/>
        <v>0</v>
      </c>
      <c r="BT773" s="616">
        <f t="shared" si="972"/>
        <v>0</v>
      </c>
      <c r="BU773" s="616">
        <f t="shared" si="972"/>
        <v>0</v>
      </c>
      <c r="BV773" s="616">
        <f t="shared" si="972"/>
        <v>0</v>
      </c>
      <c r="BW773" s="616">
        <f t="shared" si="972"/>
        <v>0</v>
      </c>
      <c r="BX773" s="616">
        <f t="shared" si="972"/>
        <v>0</v>
      </c>
      <c r="BY773" s="616">
        <f t="shared" si="972"/>
        <v>0</v>
      </c>
      <c r="BZ773" s="616">
        <f t="shared" si="972"/>
        <v>0</v>
      </c>
      <c r="CA773" s="616">
        <f t="shared" si="972"/>
        <v>0</v>
      </c>
      <c r="CB773" s="616">
        <f t="shared" si="972"/>
        <v>0</v>
      </c>
      <c r="CC773" s="616">
        <f t="shared" si="972"/>
        <v>0</v>
      </c>
      <c r="CD773" s="616">
        <f t="shared" si="972"/>
        <v>0</v>
      </c>
      <c r="CE773" s="616">
        <f t="shared" si="972"/>
        <v>0</v>
      </c>
      <c r="CF773" s="616">
        <f t="shared" si="972"/>
        <v>0</v>
      </c>
      <c r="CG773" s="616">
        <f t="shared" si="972"/>
        <v>0</v>
      </c>
      <c r="CH773" s="616">
        <f t="shared" ref="CH773:CN773" si="973">CH760*$Q$373</f>
        <v>0</v>
      </c>
      <c r="CI773" s="616">
        <f t="shared" si="973"/>
        <v>0</v>
      </c>
      <c r="CJ773" s="616">
        <f t="shared" si="973"/>
        <v>0</v>
      </c>
      <c r="CK773" s="616">
        <f t="shared" si="973"/>
        <v>0</v>
      </c>
      <c r="CL773" s="616">
        <f t="shared" si="973"/>
        <v>0</v>
      </c>
      <c r="CM773" s="616">
        <f t="shared" si="973"/>
        <v>0</v>
      </c>
      <c r="CN773" s="616">
        <f t="shared" si="973"/>
        <v>0</v>
      </c>
    </row>
    <row r="774" spans="8:93">
      <c r="H774" s="602" t="s">
        <v>940</v>
      </c>
      <c r="L774" s="618" t="s">
        <v>1304</v>
      </c>
      <c r="M774" s="600" t="s">
        <v>974</v>
      </c>
      <c r="N774" s="615">
        <f>SUM(U774:AF774)</f>
        <v>0</v>
      </c>
      <c r="O774" s="615">
        <f>SUM(AG774:AR774)</f>
        <v>0</v>
      </c>
      <c r="P774" s="615">
        <f>SUM(AS774:BD774)</f>
        <v>0</v>
      </c>
      <c r="Q774" s="615">
        <f>SUM(BE774:BP774)</f>
        <v>0</v>
      </c>
      <c r="R774" s="615">
        <f>SUM(BQ774:CB774)</f>
        <v>0</v>
      </c>
      <c r="S774" s="615">
        <f>SUM(CC774:CN774)</f>
        <v>0</v>
      </c>
      <c r="U774" s="616">
        <f>SUM(U767:U770,U772:U773)</f>
        <v>0</v>
      </c>
      <c r="V774" s="616">
        <f t="shared" ref="V774:CG774" si="974">SUM(V767:V770,V772:V773)</f>
        <v>0</v>
      </c>
      <c r="W774" s="616">
        <f t="shared" si="974"/>
        <v>0</v>
      </c>
      <c r="X774" s="616">
        <f t="shared" si="974"/>
        <v>0</v>
      </c>
      <c r="Y774" s="616">
        <f t="shared" si="974"/>
        <v>0</v>
      </c>
      <c r="Z774" s="616">
        <f t="shared" si="974"/>
        <v>0</v>
      </c>
      <c r="AA774" s="616">
        <f t="shared" si="974"/>
        <v>0</v>
      </c>
      <c r="AB774" s="616">
        <f t="shared" si="974"/>
        <v>0</v>
      </c>
      <c r="AC774" s="616">
        <f t="shared" si="974"/>
        <v>0</v>
      </c>
      <c r="AD774" s="616">
        <f t="shared" si="974"/>
        <v>0</v>
      </c>
      <c r="AE774" s="616">
        <f t="shared" si="974"/>
        <v>0</v>
      </c>
      <c r="AF774" s="616">
        <f t="shared" si="974"/>
        <v>0</v>
      </c>
      <c r="AG774" s="616">
        <f t="shared" si="974"/>
        <v>0</v>
      </c>
      <c r="AH774" s="616">
        <f t="shared" si="974"/>
        <v>0</v>
      </c>
      <c r="AI774" s="616">
        <f t="shared" si="974"/>
        <v>0</v>
      </c>
      <c r="AJ774" s="616">
        <f t="shared" si="974"/>
        <v>0</v>
      </c>
      <c r="AK774" s="616">
        <f t="shared" si="974"/>
        <v>0</v>
      </c>
      <c r="AL774" s="616">
        <f t="shared" si="974"/>
        <v>0</v>
      </c>
      <c r="AM774" s="616">
        <f t="shared" si="974"/>
        <v>0</v>
      </c>
      <c r="AN774" s="616">
        <f t="shared" si="974"/>
        <v>0</v>
      </c>
      <c r="AO774" s="616">
        <f t="shared" si="974"/>
        <v>0</v>
      </c>
      <c r="AP774" s="616">
        <f t="shared" si="974"/>
        <v>0</v>
      </c>
      <c r="AQ774" s="616">
        <f t="shared" si="974"/>
        <v>0</v>
      </c>
      <c r="AR774" s="616">
        <f t="shared" si="974"/>
        <v>0</v>
      </c>
      <c r="AS774" s="616">
        <f t="shared" si="974"/>
        <v>0</v>
      </c>
      <c r="AT774" s="616">
        <f t="shared" si="974"/>
        <v>0</v>
      </c>
      <c r="AU774" s="616">
        <f t="shared" si="974"/>
        <v>0</v>
      </c>
      <c r="AV774" s="616">
        <f t="shared" si="974"/>
        <v>0</v>
      </c>
      <c r="AW774" s="616">
        <f t="shared" si="974"/>
        <v>0</v>
      </c>
      <c r="AX774" s="616">
        <f t="shared" si="974"/>
        <v>0</v>
      </c>
      <c r="AY774" s="616">
        <f t="shared" si="974"/>
        <v>0</v>
      </c>
      <c r="AZ774" s="616">
        <f t="shared" si="974"/>
        <v>0</v>
      </c>
      <c r="BA774" s="616">
        <f t="shared" si="974"/>
        <v>0</v>
      </c>
      <c r="BB774" s="616">
        <f t="shared" si="974"/>
        <v>0</v>
      </c>
      <c r="BC774" s="616">
        <f t="shared" si="974"/>
        <v>0</v>
      </c>
      <c r="BD774" s="616">
        <f t="shared" si="974"/>
        <v>0</v>
      </c>
      <c r="BE774" s="616">
        <f t="shared" si="974"/>
        <v>0</v>
      </c>
      <c r="BF774" s="616">
        <f t="shared" si="974"/>
        <v>0</v>
      </c>
      <c r="BG774" s="616">
        <f t="shared" si="974"/>
        <v>0</v>
      </c>
      <c r="BH774" s="616">
        <f t="shared" si="974"/>
        <v>0</v>
      </c>
      <c r="BI774" s="616">
        <f t="shared" si="974"/>
        <v>0</v>
      </c>
      <c r="BJ774" s="616">
        <f t="shared" si="974"/>
        <v>0</v>
      </c>
      <c r="BK774" s="616">
        <f t="shared" si="974"/>
        <v>0</v>
      </c>
      <c r="BL774" s="616">
        <f t="shared" si="974"/>
        <v>0</v>
      </c>
      <c r="BM774" s="616">
        <f t="shared" si="974"/>
        <v>0</v>
      </c>
      <c r="BN774" s="616">
        <f t="shared" si="974"/>
        <v>0</v>
      </c>
      <c r="BO774" s="616">
        <f t="shared" si="974"/>
        <v>0</v>
      </c>
      <c r="BP774" s="616">
        <f t="shared" si="974"/>
        <v>0</v>
      </c>
      <c r="BQ774" s="616">
        <f t="shared" si="974"/>
        <v>0</v>
      </c>
      <c r="BR774" s="616">
        <f t="shared" si="974"/>
        <v>0</v>
      </c>
      <c r="BS774" s="616">
        <f t="shared" si="974"/>
        <v>0</v>
      </c>
      <c r="BT774" s="616">
        <f t="shared" si="974"/>
        <v>0</v>
      </c>
      <c r="BU774" s="616">
        <f t="shared" si="974"/>
        <v>0</v>
      </c>
      <c r="BV774" s="616">
        <f t="shared" si="974"/>
        <v>0</v>
      </c>
      <c r="BW774" s="616">
        <f t="shared" si="974"/>
        <v>0</v>
      </c>
      <c r="BX774" s="616">
        <f t="shared" si="974"/>
        <v>0</v>
      </c>
      <c r="BY774" s="616">
        <f t="shared" si="974"/>
        <v>0</v>
      </c>
      <c r="BZ774" s="616">
        <f t="shared" si="974"/>
        <v>0</v>
      </c>
      <c r="CA774" s="616">
        <f t="shared" si="974"/>
        <v>0</v>
      </c>
      <c r="CB774" s="616">
        <f t="shared" si="974"/>
        <v>0</v>
      </c>
      <c r="CC774" s="616">
        <f t="shared" si="974"/>
        <v>0</v>
      </c>
      <c r="CD774" s="616">
        <f t="shared" si="974"/>
        <v>0</v>
      </c>
      <c r="CE774" s="616">
        <f t="shared" si="974"/>
        <v>0</v>
      </c>
      <c r="CF774" s="616">
        <f t="shared" si="974"/>
        <v>0</v>
      </c>
      <c r="CG774" s="616">
        <f t="shared" si="974"/>
        <v>0</v>
      </c>
      <c r="CH774" s="616">
        <f t="shared" ref="CH774:CN774" si="975">SUM(CH767:CH770,CH772:CH773)</f>
        <v>0</v>
      </c>
      <c r="CI774" s="616">
        <f t="shared" si="975"/>
        <v>0</v>
      </c>
      <c r="CJ774" s="616">
        <f t="shared" si="975"/>
        <v>0</v>
      </c>
      <c r="CK774" s="616">
        <f t="shared" si="975"/>
        <v>0</v>
      </c>
      <c r="CL774" s="616">
        <f t="shared" si="975"/>
        <v>0</v>
      </c>
      <c r="CM774" s="616">
        <f t="shared" si="975"/>
        <v>0</v>
      </c>
      <c r="CN774" s="616">
        <f t="shared" si="975"/>
        <v>0</v>
      </c>
    </row>
    <row r="775" spans="8:93">
      <c r="H775" s="602" t="s">
        <v>940</v>
      </c>
      <c r="L775" s="618" t="s">
        <v>909</v>
      </c>
      <c r="M775" s="600" t="s">
        <v>974</v>
      </c>
      <c r="N775" s="615">
        <f>SUM(U775:AF775)</f>
        <v>0</v>
      </c>
      <c r="O775" s="615">
        <f>SUM(AG775:AR775)</f>
        <v>0</v>
      </c>
      <c r="P775" s="615">
        <f>SUM(AS775:BD775)</f>
        <v>0</v>
      </c>
      <c r="Q775" s="615">
        <f>SUM(BE775:BP775)</f>
        <v>0</v>
      </c>
      <c r="R775" s="615">
        <f>SUM(BQ775:CB775)</f>
        <v>0</v>
      </c>
      <c r="S775" s="615">
        <f>SUM(CC775:CN775)</f>
        <v>0</v>
      </c>
      <c r="U775" s="616">
        <f>U774*$Q$374/100</f>
        <v>0</v>
      </c>
      <c r="V775" s="616">
        <f t="shared" ref="V775:CG775" si="976">V774*$Q$374/100</f>
        <v>0</v>
      </c>
      <c r="W775" s="616">
        <f t="shared" si="976"/>
        <v>0</v>
      </c>
      <c r="X775" s="616">
        <f t="shared" si="976"/>
        <v>0</v>
      </c>
      <c r="Y775" s="616">
        <f t="shared" si="976"/>
        <v>0</v>
      </c>
      <c r="Z775" s="616">
        <f t="shared" si="976"/>
        <v>0</v>
      </c>
      <c r="AA775" s="616">
        <f t="shared" si="976"/>
        <v>0</v>
      </c>
      <c r="AB775" s="616">
        <f t="shared" si="976"/>
        <v>0</v>
      </c>
      <c r="AC775" s="616">
        <f t="shared" si="976"/>
        <v>0</v>
      </c>
      <c r="AD775" s="616">
        <f t="shared" si="976"/>
        <v>0</v>
      </c>
      <c r="AE775" s="616">
        <f t="shared" si="976"/>
        <v>0</v>
      </c>
      <c r="AF775" s="616">
        <f t="shared" si="976"/>
        <v>0</v>
      </c>
      <c r="AG775" s="616">
        <f t="shared" si="976"/>
        <v>0</v>
      </c>
      <c r="AH775" s="616">
        <f t="shared" si="976"/>
        <v>0</v>
      </c>
      <c r="AI775" s="616">
        <f t="shared" si="976"/>
        <v>0</v>
      </c>
      <c r="AJ775" s="616">
        <f t="shared" si="976"/>
        <v>0</v>
      </c>
      <c r="AK775" s="616">
        <f t="shared" si="976"/>
        <v>0</v>
      </c>
      <c r="AL775" s="616">
        <f t="shared" si="976"/>
        <v>0</v>
      </c>
      <c r="AM775" s="616">
        <f t="shared" si="976"/>
        <v>0</v>
      </c>
      <c r="AN775" s="616">
        <f t="shared" si="976"/>
        <v>0</v>
      </c>
      <c r="AO775" s="616">
        <f t="shared" si="976"/>
        <v>0</v>
      </c>
      <c r="AP775" s="616">
        <f t="shared" si="976"/>
        <v>0</v>
      </c>
      <c r="AQ775" s="616">
        <f t="shared" si="976"/>
        <v>0</v>
      </c>
      <c r="AR775" s="616">
        <f t="shared" si="976"/>
        <v>0</v>
      </c>
      <c r="AS775" s="616">
        <f t="shared" si="976"/>
        <v>0</v>
      </c>
      <c r="AT775" s="616">
        <f t="shared" si="976"/>
        <v>0</v>
      </c>
      <c r="AU775" s="616">
        <f t="shared" si="976"/>
        <v>0</v>
      </c>
      <c r="AV775" s="616">
        <f t="shared" si="976"/>
        <v>0</v>
      </c>
      <c r="AW775" s="616">
        <f t="shared" si="976"/>
        <v>0</v>
      </c>
      <c r="AX775" s="616">
        <f t="shared" si="976"/>
        <v>0</v>
      </c>
      <c r="AY775" s="616">
        <f t="shared" si="976"/>
        <v>0</v>
      </c>
      <c r="AZ775" s="616">
        <f t="shared" si="976"/>
        <v>0</v>
      </c>
      <c r="BA775" s="616">
        <f t="shared" si="976"/>
        <v>0</v>
      </c>
      <c r="BB775" s="616">
        <f t="shared" si="976"/>
        <v>0</v>
      </c>
      <c r="BC775" s="616">
        <f t="shared" si="976"/>
        <v>0</v>
      </c>
      <c r="BD775" s="616">
        <f t="shared" si="976"/>
        <v>0</v>
      </c>
      <c r="BE775" s="616">
        <f t="shared" si="976"/>
        <v>0</v>
      </c>
      <c r="BF775" s="616">
        <f t="shared" si="976"/>
        <v>0</v>
      </c>
      <c r="BG775" s="616">
        <f t="shared" si="976"/>
        <v>0</v>
      </c>
      <c r="BH775" s="616">
        <f t="shared" si="976"/>
        <v>0</v>
      </c>
      <c r="BI775" s="616">
        <f t="shared" si="976"/>
        <v>0</v>
      </c>
      <c r="BJ775" s="616">
        <f t="shared" si="976"/>
        <v>0</v>
      </c>
      <c r="BK775" s="616">
        <f t="shared" si="976"/>
        <v>0</v>
      </c>
      <c r="BL775" s="616">
        <f t="shared" si="976"/>
        <v>0</v>
      </c>
      <c r="BM775" s="616">
        <f t="shared" si="976"/>
        <v>0</v>
      </c>
      <c r="BN775" s="616">
        <f t="shared" si="976"/>
        <v>0</v>
      </c>
      <c r="BO775" s="616">
        <f t="shared" si="976"/>
        <v>0</v>
      </c>
      <c r="BP775" s="616">
        <f t="shared" si="976"/>
        <v>0</v>
      </c>
      <c r="BQ775" s="616">
        <f t="shared" si="976"/>
        <v>0</v>
      </c>
      <c r="BR775" s="616">
        <f t="shared" si="976"/>
        <v>0</v>
      </c>
      <c r="BS775" s="616">
        <f t="shared" si="976"/>
        <v>0</v>
      </c>
      <c r="BT775" s="616">
        <f t="shared" si="976"/>
        <v>0</v>
      </c>
      <c r="BU775" s="616">
        <f t="shared" si="976"/>
        <v>0</v>
      </c>
      <c r="BV775" s="616">
        <f t="shared" si="976"/>
        <v>0</v>
      </c>
      <c r="BW775" s="616">
        <f t="shared" si="976"/>
        <v>0</v>
      </c>
      <c r="BX775" s="616">
        <f t="shared" si="976"/>
        <v>0</v>
      </c>
      <c r="BY775" s="616">
        <f t="shared" si="976"/>
        <v>0</v>
      </c>
      <c r="BZ775" s="616">
        <f t="shared" si="976"/>
        <v>0</v>
      </c>
      <c r="CA775" s="616">
        <f t="shared" si="976"/>
        <v>0</v>
      </c>
      <c r="CB775" s="616">
        <f t="shared" si="976"/>
        <v>0</v>
      </c>
      <c r="CC775" s="616">
        <f t="shared" si="976"/>
        <v>0</v>
      </c>
      <c r="CD775" s="616">
        <f t="shared" si="976"/>
        <v>0</v>
      </c>
      <c r="CE775" s="616">
        <f t="shared" si="976"/>
        <v>0</v>
      </c>
      <c r="CF775" s="616">
        <f t="shared" si="976"/>
        <v>0</v>
      </c>
      <c r="CG775" s="616">
        <f t="shared" si="976"/>
        <v>0</v>
      </c>
      <c r="CH775" s="616">
        <f t="shared" ref="CH775:CN775" si="977">CH774*$Q$374/100</f>
        <v>0</v>
      </c>
      <c r="CI775" s="616">
        <f t="shared" si="977"/>
        <v>0</v>
      </c>
      <c r="CJ775" s="616">
        <f t="shared" si="977"/>
        <v>0</v>
      </c>
      <c r="CK775" s="616">
        <f t="shared" si="977"/>
        <v>0</v>
      </c>
      <c r="CL775" s="616">
        <f t="shared" si="977"/>
        <v>0</v>
      </c>
      <c r="CM775" s="616">
        <f t="shared" si="977"/>
        <v>0</v>
      </c>
      <c r="CN775" s="616">
        <f t="shared" si="977"/>
        <v>0</v>
      </c>
    </row>
    <row r="776" spans="8:93">
      <c r="H776" s="602" t="s">
        <v>940</v>
      </c>
      <c r="L776" s="618"/>
      <c r="M776" s="600"/>
      <c r="N776" s="615"/>
      <c r="O776" s="615"/>
      <c r="P776" s="615"/>
      <c r="Q776" s="615"/>
      <c r="R776" s="615"/>
      <c r="S776" s="615"/>
      <c r="U776" s="616"/>
      <c r="V776" s="616"/>
      <c r="W776" s="616"/>
      <c r="X776" s="616"/>
      <c r="Y776" s="616"/>
      <c r="Z776" s="616"/>
      <c r="AA776" s="616"/>
      <c r="AB776" s="616"/>
      <c r="AC776" s="616"/>
      <c r="AD776" s="616"/>
      <c r="AE776" s="616"/>
      <c r="AF776" s="616"/>
      <c r="AG776" s="616"/>
      <c r="AH776" s="616"/>
      <c r="AI776" s="616"/>
      <c r="AJ776" s="616"/>
      <c r="AK776" s="616"/>
      <c r="AL776" s="616"/>
      <c r="AM776" s="616"/>
      <c r="AN776" s="616"/>
      <c r="AO776" s="616"/>
      <c r="AP776" s="616"/>
      <c r="AQ776" s="616"/>
      <c r="AR776" s="616"/>
      <c r="AS776" s="616"/>
      <c r="AT776" s="616"/>
      <c r="AU776" s="616"/>
      <c r="AV776" s="616"/>
      <c r="AW776" s="616"/>
      <c r="AX776" s="616"/>
      <c r="AY776" s="616"/>
      <c r="AZ776" s="616"/>
      <c r="BA776" s="616"/>
      <c r="BB776" s="616"/>
      <c r="BC776" s="616"/>
      <c r="BD776" s="616"/>
      <c r="BE776" s="616"/>
      <c r="BF776" s="616"/>
      <c r="BG776" s="616"/>
      <c r="BH776" s="616"/>
      <c r="BI776" s="616"/>
      <c r="BJ776" s="616"/>
      <c r="BK776" s="616"/>
      <c r="BL776" s="616"/>
      <c r="BM776" s="616"/>
      <c r="BN776" s="616"/>
      <c r="BO776" s="616"/>
      <c r="BP776" s="616"/>
      <c r="BQ776" s="616"/>
      <c r="BR776" s="616"/>
      <c r="BS776" s="616"/>
      <c r="BT776" s="616"/>
      <c r="BU776" s="616"/>
      <c r="BV776" s="616"/>
      <c r="BW776" s="616"/>
      <c r="BX776" s="616"/>
      <c r="BY776" s="616"/>
      <c r="BZ776" s="616"/>
      <c r="CA776" s="616"/>
      <c r="CB776" s="616"/>
      <c r="CC776" s="616"/>
      <c r="CD776" s="616"/>
      <c r="CE776" s="616"/>
      <c r="CF776" s="616"/>
      <c r="CG776" s="616"/>
      <c r="CH776" s="616"/>
      <c r="CI776" s="616"/>
      <c r="CJ776" s="616"/>
      <c r="CK776" s="616"/>
      <c r="CL776" s="616"/>
      <c r="CM776" s="616"/>
      <c r="CN776" s="616"/>
    </row>
    <row r="777" spans="8:93">
      <c r="H777" s="602" t="s">
        <v>940</v>
      </c>
      <c r="L777" s="618" t="s">
        <v>1305</v>
      </c>
      <c r="M777" s="600" t="s">
        <v>974</v>
      </c>
      <c r="N777" s="615">
        <f>SUM(U777:AF777)</f>
        <v>0</v>
      </c>
      <c r="O777" s="615">
        <f>SUM(AG777:AR777)</f>
        <v>0</v>
      </c>
      <c r="P777" s="615">
        <f>SUM(AS777:BD777)</f>
        <v>0</v>
      </c>
      <c r="Q777" s="615">
        <f>SUM(BE777:BP777)</f>
        <v>0</v>
      </c>
      <c r="R777" s="615">
        <f>SUM(BQ777:CB777)</f>
        <v>0</v>
      </c>
      <c r="S777" s="615">
        <f>SUM(CC777:CN777)</f>
        <v>0</v>
      </c>
      <c r="U777" s="616">
        <f>SUM(U774:U775)</f>
        <v>0</v>
      </c>
      <c r="V777" s="616">
        <f t="shared" ref="V777:CG777" si="978">SUM(V774:V775)</f>
        <v>0</v>
      </c>
      <c r="W777" s="616">
        <f t="shared" si="978"/>
        <v>0</v>
      </c>
      <c r="X777" s="616">
        <f t="shared" si="978"/>
        <v>0</v>
      </c>
      <c r="Y777" s="616">
        <f t="shared" si="978"/>
        <v>0</v>
      </c>
      <c r="Z777" s="616">
        <f t="shared" si="978"/>
        <v>0</v>
      </c>
      <c r="AA777" s="616">
        <f t="shared" si="978"/>
        <v>0</v>
      </c>
      <c r="AB777" s="616">
        <f t="shared" si="978"/>
        <v>0</v>
      </c>
      <c r="AC777" s="616">
        <f t="shared" si="978"/>
        <v>0</v>
      </c>
      <c r="AD777" s="616">
        <f t="shared" si="978"/>
        <v>0</v>
      </c>
      <c r="AE777" s="616">
        <f t="shared" si="978"/>
        <v>0</v>
      </c>
      <c r="AF777" s="616">
        <f t="shared" si="978"/>
        <v>0</v>
      </c>
      <c r="AG777" s="616">
        <f t="shared" si="978"/>
        <v>0</v>
      </c>
      <c r="AH777" s="616">
        <f t="shared" si="978"/>
        <v>0</v>
      </c>
      <c r="AI777" s="616">
        <f t="shared" si="978"/>
        <v>0</v>
      </c>
      <c r="AJ777" s="616">
        <f t="shared" si="978"/>
        <v>0</v>
      </c>
      <c r="AK777" s="616">
        <f t="shared" si="978"/>
        <v>0</v>
      </c>
      <c r="AL777" s="616">
        <f t="shared" si="978"/>
        <v>0</v>
      </c>
      <c r="AM777" s="616">
        <f t="shared" si="978"/>
        <v>0</v>
      </c>
      <c r="AN777" s="616">
        <f t="shared" si="978"/>
        <v>0</v>
      </c>
      <c r="AO777" s="616">
        <f t="shared" si="978"/>
        <v>0</v>
      </c>
      <c r="AP777" s="616">
        <f t="shared" si="978"/>
        <v>0</v>
      </c>
      <c r="AQ777" s="616">
        <f t="shared" si="978"/>
        <v>0</v>
      </c>
      <c r="AR777" s="616">
        <f t="shared" si="978"/>
        <v>0</v>
      </c>
      <c r="AS777" s="616">
        <f t="shared" si="978"/>
        <v>0</v>
      </c>
      <c r="AT777" s="616">
        <f t="shared" si="978"/>
        <v>0</v>
      </c>
      <c r="AU777" s="616">
        <f t="shared" si="978"/>
        <v>0</v>
      </c>
      <c r="AV777" s="616">
        <f t="shared" si="978"/>
        <v>0</v>
      </c>
      <c r="AW777" s="616">
        <f t="shared" si="978"/>
        <v>0</v>
      </c>
      <c r="AX777" s="616">
        <f t="shared" si="978"/>
        <v>0</v>
      </c>
      <c r="AY777" s="616">
        <f t="shared" si="978"/>
        <v>0</v>
      </c>
      <c r="AZ777" s="616">
        <f t="shared" si="978"/>
        <v>0</v>
      </c>
      <c r="BA777" s="616">
        <f t="shared" si="978"/>
        <v>0</v>
      </c>
      <c r="BB777" s="616">
        <f t="shared" si="978"/>
        <v>0</v>
      </c>
      <c r="BC777" s="616">
        <f t="shared" si="978"/>
        <v>0</v>
      </c>
      <c r="BD777" s="616">
        <f t="shared" si="978"/>
        <v>0</v>
      </c>
      <c r="BE777" s="616">
        <f t="shared" si="978"/>
        <v>0</v>
      </c>
      <c r="BF777" s="616">
        <f t="shared" si="978"/>
        <v>0</v>
      </c>
      <c r="BG777" s="616">
        <f t="shared" si="978"/>
        <v>0</v>
      </c>
      <c r="BH777" s="616">
        <f t="shared" si="978"/>
        <v>0</v>
      </c>
      <c r="BI777" s="616">
        <f t="shared" si="978"/>
        <v>0</v>
      </c>
      <c r="BJ777" s="616">
        <f t="shared" si="978"/>
        <v>0</v>
      </c>
      <c r="BK777" s="616">
        <f t="shared" si="978"/>
        <v>0</v>
      </c>
      <c r="BL777" s="616">
        <f t="shared" si="978"/>
        <v>0</v>
      </c>
      <c r="BM777" s="616">
        <f t="shared" si="978"/>
        <v>0</v>
      </c>
      <c r="BN777" s="616">
        <f t="shared" si="978"/>
        <v>0</v>
      </c>
      <c r="BO777" s="616">
        <f t="shared" si="978"/>
        <v>0</v>
      </c>
      <c r="BP777" s="616">
        <f t="shared" si="978"/>
        <v>0</v>
      </c>
      <c r="BQ777" s="616">
        <f t="shared" si="978"/>
        <v>0</v>
      </c>
      <c r="BR777" s="616">
        <f t="shared" si="978"/>
        <v>0</v>
      </c>
      <c r="BS777" s="616">
        <f t="shared" si="978"/>
        <v>0</v>
      </c>
      <c r="BT777" s="616">
        <f t="shared" si="978"/>
        <v>0</v>
      </c>
      <c r="BU777" s="616">
        <f t="shared" si="978"/>
        <v>0</v>
      </c>
      <c r="BV777" s="616">
        <f t="shared" si="978"/>
        <v>0</v>
      </c>
      <c r="BW777" s="616">
        <f t="shared" si="978"/>
        <v>0</v>
      </c>
      <c r="BX777" s="616">
        <f t="shared" si="978"/>
        <v>0</v>
      </c>
      <c r="BY777" s="616">
        <f t="shared" si="978"/>
        <v>0</v>
      </c>
      <c r="BZ777" s="616">
        <f t="shared" si="978"/>
        <v>0</v>
      </c>
      <c r="CA777" s="616">
        <f t="shared" si="978"/>
        <v>0</v>
      </c>
      <c r="CB777" s="616">
        <f t="shared" si="978"/>
        <v>0</v>
      </c>
      <c r="CC777" s="616">
        <f t="shared" si="978"/>
        <v>0</v>
      </c>
      <c r="CD777" s="616">
        <f t="shared" si="978"/>
        <v>0</v>
      </c>
      <c r="CE777" s="616">
        <f t="shared" si="978"/>
        <v>0</v>
      </c>
      <c r="CF777" s="616">
        <f t="shared" si="978"/>
        <v>0</v>
      </c>
      <c r="CG777" s="616">
        <f t="shared" si="978"/>
        <v>0</v>
      </c>
      <c r="CH777" s="616">
        <f t="shared" ref="CH777:CN777" si="979">SUM(CH774:CH775)</f>
        <v>0</v>
      </c>
      <c r="CI777" s="616">
        <f t="shared" si="979"/>
        <v>0</v>
      </c>
      <c r="CJ777" s="616">
        <f t="shared" si="979"/>
        <v>0</v>
      </c>
      <c r="CK777" s="616">
        <f t="shared" si="979"/>
        <v>0</v>
      </c>
      <c r="CL777" s="616">
        <f t="shared" si="979"/>
        <v>0</v>
      </c>
      <c r="CM777" s="616">
        <f t="shared" si="979"/>
        <v>0</v>
      </c>
      <c r="CN777" s="616">
        <f t="shared" si="979"/>
        <v>0</v>
      </c>
    </row>
    <row r="778" spans="8:93" ht="13.5" thickBot="1">
      <c r="H778" s="602" t="s">
        <v>940</v>
      </c>
    </row>
    <row r="779" spans="8:93" ht="13.5" thickTop="1">
      <c r="H779" s="602" t="s">
        <v>940</v>
      </c>
      <c r="L779" s="757" t="s">
        <v>1315</v>
      </c>
      <c r="M779" s="758"/>
      <c r="N779" s="758"/>
      <c r="O779" s="758"/>
      <c r="P779" s="758"/>
      <c r="Q779" s="758"/>
      <c r="R779" s="758"/>
      <c r="S779" s="758"/>
      <c r="T779" s="758"/>
      <c r="U779" s="758"/>
      <c r="V779" s="758"/>
      <c r="W779" s="758"/>
      <c r="X779" s="758"/>
      <c r="Y779" s="758"/>
      <c r="Z779" s="758"/>
      <c r="AA779" s="758"/>
      <c r="AB779" s="758"/>
      <c r="AC779" s="758"/>
      <c r="AD779" s="758"/>
      <c r="AE779" s="758"/>
      <c r="AF779" s="758"/>
      <c r="AG779" s="758"/>
      <c r="AH779" s="758"/>
      <c r="AI779" s="758"/>
      <c r="AJ779" s="758"/>
      <c r="AK779" s="758"/>
      <c r="AL779" s="758"/>
      <c r="AM779" s="758"/>
      <c r="AN779" s="758"/>
      <c r="AO779" s="758"/>
      <c r="AP779" s="758"/>
      <c r="AQ779" s="758"/>
      <c r="AR779" s="758"/>
      <c r="AS779" s="758"/>
      <c r="AT779" s="758"/>
      <c r="AU779" s="758"/>
      <c r="AV779" s="758"/>
      <c r="AW779" s="758"/>
      <c r="AX779" s="758"/>
      <c r="AY779" s="758"/>
      <c r="AZ779" s="758"/>
      <c r="BA779" s="758"/>
      <c r="BB779" s="758"/>
      <c r="BC779" s="758"/>
      <c r="BD779" s="758"/>
      <c r="BE779" s="758"/>
      <c r="BF779" s="758"/>
      <c r="BG779" s="758"/>
      <c r="BH779" s="758"/>
      <c r="BI779" s="758"/>
      <c r="BJ779" s="758"/>
      <c r="BK779" s="758"/>
      <c r="BL779" s="758"/>
      <c r="BM779" s="758"/>
      <c r="BN779" s="758"/>
      <c r="BO779" s="758"/>
      <c r="BP779" s="758"/>
      <c r="BQ779" s="758"/>
      <c r="BR779" s="758"/>
      <c r="BS779" s="758"/>
      <c r="BT779" s="758"/>
      <c r="BU779" s="758"/>
      <c r="BV779" s="758"/>
      <c r="BW779" s="758"/>
      <c r="BX779" s="758"/>
      <c r="BY779" s="758"/>
      <c r="BZ779" s="758"/>
      <c r="CA779" s="758"/>
      <c r="CB779" s="758"/>
      <c r="CC779" s="758"/>
      <c r="CD779" s="758"/>
      <c r="CE779" s="758"/>
      <c r="CF779" s="758"/>
      <c r="CG779" s="758"/>
      <c r="CH779" s="758"/>
      <c r="CI779" s="758"/>
      <c r="CJ779" s="758"/>
      <c r="CK779" s="758"/>
      <c r="CL779" s="758"/>
      <c r="CM779" s="758"/>
      <c r="CN779" s="758"/>
    </row>
    <row r="780" spans="8:93">
      <c r="H780" s="602" t="s">
        <v>940</v>
      </c>
      <c r="L780" s="609"/>
      <c r="M780" s="609" t="s">
        <v>359</v>
      </c>
      <c r="N780" s="704" t="s">
        <v>929</v>
      </c>
      <c r="O780" s="704" t="s">
        <v>1193</v>
      </c>
      <c r="P780" s="704" t="s">
        <v>1194</v>
      </c>
      <c r="Q780" s="704" t="s">
        <v>1195</v>
      </c>
      <c r="R780" s="704" t="s">
        <v>1196</v>
      </c>
      <c r="S780" s="704" t="s">
        <v>1197</v>
      </c>
      <c r="T780" s="753"/>
      <c r="U780" s="692" t="s">
        <v>929</v>
      </c>
      <c r="AF780" s="753"/>
      <c r="AG780" s="704" t="s">
        <v>1193</v>
      </c>
      <c r="AR780" s="753"/>
      <c r="AS780" s="704" t="s">
        <v>1194</v>
      </c>
      <c r="BD780" s="753"/>
      <c r="BE780" s="704" t="s">
        <v>1195</v>
      </c>
      <c r="BP780" s="753"/>
      <c r="BQ780" s="704" t="s">
        <v>1196</v>
      </c>
      <c r="CB780" s="753"/>
      <c r="CC780" s="704" t="s">
        <v>1197</v>
      </c>
    </row>
    <row r="781" spans="8:93">
      <c r="H781" s="602" t="s">
        <v>940</v>
      </c>
      <c r="L781" s="611"/>
      <c r="M781" s="611"/>
      <c r="N781" s="754" t="s">
        <v>405</v>
      </c>
      <c r="O781" s="754" t="s">
        <v>405</v>
      </c>
      <c r="P781" s="754" t="s">
        <v>405</v>
      </c>
      <c r="Q781" s="754" t="s">
        <v>405</v>
      </c>
      <c r="R781" s="754" t="s">
        <v>405</v>
      </c>
      <c r="S781" s="754" t="s">
        <v>405</v>
      </c>
      <c r="T781" s="755"/>
      <c r="U781" s="754" t="s">
        <v>1259</v>
      </c>
      <c r="V781" s="754" t="s">
        <v>1260</v>
      </c>
      <c r="W781" s="754" t="s">
        <v>1261</v>
      </c>
      <c r="X781" s="754" t="s">
        <v>1262</v>
      </c>
      <c r="Y781" s="754" t="s">
        <v>947</v>
      </c>
      <c r="Z781" s="754" t="s">
        <v>1263</v>
      </c>
      <c r="AA781" s="754" t="s">
        <v>1264</v>
      </c>
      <c r="AB781" s="754" t="s">
        <v>1265</v>
      </c>
      <c r="AC781" s="754" t="s">
        <v>1266</v>
      </c>
      <c r="AD781" s="754" t="s">
        <v>1267</v>
      </c>
      <c r="AE781" s="754" t="s">
        <v>1268</v>
      </c>
      <c r="AF781" s="756" t="s">
        <v>1269</v>
      </c>
      <c r="AG781" s="754" t="s">
        <v>1259</v>
      </c>
      <c r="AH781" s="754" t="s">
        <v>1260</v>
      </c>
      <c r="AI781" s="754" t="s">
        <v>1261</v>
      </c>
      <c r="AJ781" s="754" t="s">
        <v>1262</v>
      </c>
      <c r="AK781" s="754" t="s">
        <v>947</v>
      </c>
      <c r="AL781" s="754" t="s">
        <v>1263</v>
      </c>
      <c r="AM781" s="754" t="s">
        <v>1264</v>
      </c>
      <c r="AN781" s="754" t="s">
        <v>1265</v>
      </c>
      <c r="AO781" s="754" t="s">
        <v>1266</v>
      </c>
      <c r="AP781" s="754" t="s">
        <v>1267</v>
      </c>
      <c r="AQ781" s="754" t="s">
        <v>1268</v>
      </c>
      <c r="AR781" s="756" t="s">
        <v>1269</v>
      </c>
      <c r="AS781" s="754" t="s">
        <v>1259</v>
      </c>
      <c r="AT781" s="754" t="s">
        <v>1260</v>
      </c>
      <c r="AU781" s="754" t="s">
        <v>1261</v>
      </c>
      <c r="AV781" s="754" t="s">
        <v>1262</v>
      </c>
      <c r="AW781" s="754" t="s">
        <v>947</v>
      </c>
      <c r="AX781" s="754" t="s">
        <v>1263</v>
      </c>
      <c r="AY781" s="754" t="s">
        <v>1264</v>
      </c>
      <c r="AZ781" s="754" t="s">
        <v>1265</v>
      </c>
      <c r="BA781" s="754" t="s">
        <v>1266</v>
      </c>
      <c r="BB781" s="754" t="s">
        <v>1267</v>
      </c>
      <c r="BC781" s="754" t="s">
        <v>1268</v>
      </c>
      <c r="BD781" s="756" t="s">
        <v>1269</v>
      </c>
      <c r="BE781" s="754" t="s">
        <v>1259</v>
      </c>
      <c r="BF781" s="754" t="s">
        <v>1260</v>
      </c>
      <c r="BG781" s="754" t="s">
        <v>1261</v>
      </c>
      <c r="BH781" s="754" t="s">
        <v>1262</v>
      </c>
      <c r="BI781" s="754" t="s">
        <v>947</v>
      </c>
      <c r="BJ781" s="754" t="s">
        <v>1263</v>
      </c>
      <c r="BK781" s="754" t="s">
        <v>1264</v>
      </c>
      <c r="BL781" s="754" t="s">
        <v>1265</v>
      </c>
      <c r="BM781" s="754" t="s">
        <v>1266</v>
      </c>
      <c r="BN781" s="754" t="s">
        <v>1267</v>
      </c>
      <c r="BO781" s="754" t="s">
        <v>1268</v>
      </c>
      <c r="BP781" s="756" t="s">
        <v>1269</v>
      </c>
      <c r="BQ781" s="754" t="s">
        <v>1259</v>
      </c>
      <c r="BR781" s="754" t="s">
        <v>1260</v>
      </c>
      <c r="BS781" s="754" t="s">
        <v>1261</v>
      </c>
      <c r="BT781" s="754" t="s">
        <v>1262</v>
      </c>
      <c r="BU781" s="754" t="s">
        <v>947</v>
      </c>
      <c r="BV781" s="754" t="s">
        <v>1263</v>
      </c>
      <c r="BW781" s="754" t="s">
        <v>1264</v>
      </c>
      <c r="BX781" s="754" t="s">
        <v>1265</v>
      </c>
      <c r="BY781" s="754" t="s">
        <v>1266</v>
      </c>
      <c r="BZ781" s="754" t="s">
        <v>1267</v>
      </c>
      <c r="CA781" s="754" t="s">
        <v>1268</v>
      </c>
      <c r="CB781" s="756" t="s">
        <v>1269</v>
      </c>
      <c r="CC781" s="754" t="s">
        <v>1259</v>
      </c>
      <c r="CD781" s="754" t="s">
        <v>1260</v>
      </c>
      <c r="CE781" s="754" t="s">
        <v>1261</v>
      </c>
      <c r="CF781" s="754" t="s">
        <v>1262</v>
      </c>
      <c r="CG781" s="754" t="s">
        <v>947</v>
      </c>
      <c r="CH781" s="754" t="s">
        <v>1263</v>
      </c>
      <c r="CI781" s="754" t="s">
        <v>1264</v>
      </c>
      <c r="CJ781" s="754" t="s">
        <v>1265</v>
      </c>
      <c r="CK781" s="754" t="s">
        <v>1266</v>
      </c>
      <c r="CL781" s="754" t="s">
        <v>1267</v>
      </c>
      <c r="CM781" s="754" t="s">
        <v>1268</v>
      </c>
      <c r="CN781" s="754" t="s">
        <v>1269</v>
      </c>
    </row>
    <row r="782" spans="8:93">
      <c r="H782" s="602" t="s">
        <v>940</v>
      </c>
    </row>
    <row r="783" spans="8:93">
      <c r="H783" s="602" t="s">
        <v>940</v>
      </c>
      <c r="L783" s="618" t="s">
        <v>1290</v>
      </c>
      <c r="M783" s="600" t="s">
        <v>922</v>
      </c>
      <c r="N783" s="615" t="e">
        <f>SUM(U783:AF783)</f>
        <v>#N/A</v>
      </c>
      <c r="O783" s="615" t="e">
        <f>SUM(AG783:AR783)</f>
        <v>#N/A</v>
      </c>
      <c r="P783" s="615" t="e">
        <f>SUM(AS783:BD783)</f>
        <v>#N/A</v>
      </c>
      <c r="Q783" s="615" t="e">
        <f>SUM(BE783:BP783)</f>
        <v>#N/A</v>
      </c>
      <c r="R783" s="615" t="e">
        <f>SUM(BQ783:CB783)</f>
        <v>#N/A</v>
      </c>
      <c r="S783" s="615" t="e">
        <f>SUM(CC783:CN783)</f>
        <v>#N/A</v>
      </c>
      <c r="U783" s="616" t="e">
        <f>U502</f>
        <v>#N/A</v>
      </c>
      <c r="V783" s="616" t="e">
        <f t="shared" ref="V783:CG783" si="980">V502</f>
        <v>#N/A</v>
      </c>
      <c r="W783" s="616" t="e">
        <f t="shared" si="980"/>
        <v>#N/A</v>
      </c>
      <c r="X783" s="616" t="e">
        <f t="shared" si="980"/>
        <v>#N/A</v>
      </c>
      <c r="Y783" s="616" t="e">
        <f t="shared" si="980"/>
        <v>#N/A</v>
      </c>
      <c r="Z783" s="616" t="e">
        <f t="shared" si="980"/>
        <v>#N/A</v>
      </c>
      <c r="AA783" s="616" t="e">
        <f t="shared" si="980"/>
        <v>#N/A</v>
      </c>
      <c r="AB783" s="616" t="e">
        <f t="shared" si="980"/>
        <v>#N/A</v>
      </c>
      <c r="AC783" s="616" t="e">
        <f t="shared" si="980"/>
        <v>#N/A</v>
      </c>
      <c r="AD783" s="616" t="e">
        <f t="shared" si="980"/>
        <v>#N/A</v>
      </c>
      <c r="AE783" s="616" t="e">
        <f t="shared" si="980"/>
        <v>#N/A</v>
      </c>
      <c r="AF783" s="616" t="e">
        <f t="shared" si="980"/>
        <v>#N/A</v>
      </c>
      <c r="AG783" s="616" t="e">
        <f t="shared" si="980"/>
        <v>#N/A</v>
      </c>
      <c r="AH783" s="616" t="e">
        <f t="shared" si="980"/>
        <v>#N/A</v>
      </c>
      <c r="AI783" s="616" t="e">
        <f t="shared" si="980"/>
        <v>#N/A</v>
      </c>
      <c r="AJ783" s="616" t="e">
        <f t="shared" si="980"/>
        <v>#N/A</v>
      </c>
      <c r="AK783" s="616" t="e">
        <f t="shared" si="980"/>
        <v>#N/A</v>
      </c>
      <c r="AL783" s="616" t="e">
        <f t="shared" si="980"/>
        <v>#N/A</v>
      </c>
      <c r="AM783" s="616" t="e">
        <f t="shared" si="980"/>
        <v>#N/A</v>
      </c>
      <c r="AN783" s="616" t="e">
        <f t="shared" si="980"/>
        <v>#N/A</v>
      </c>
      <c r="AO783" s="616" t="e">
        <f t="shared" si="980"/>
        <v>#N/A</v>
      </c>
      <c r="AP783" s="616" t="e">
        <f t="shared" si="980"/>
        <v>#N/A</v>
      </c>
      <c r="AQ783" s="616" t="e">
        <f t="shared" si="980"/>
        <v>#N/A</v>
      </c>
      <c r="AR783" s="616" t="e">
        <f t="shared" si="980"/>
        <v>#N/A</v>
      </c>
      <c r="AS783" s="616" t="e">
        <f t="shared" si="980"/>
        <v>#N/A</v>
      </c>
      <c r="AT783" s="616" t="e">
        <f t="shared" si="980"/>
        <v>#N/A</v>
      </c>
      <c r="AU783" s="616" t="e">
        <f t="shared" si="980"/>
        <v>#N/A</v>
      </c>
      <c r="AV783" s="616" t="e">
        <f t="shared" si="980"/>
        <v>#N/A</v>
      </c>
      <c r="AW783" s="616" t="e">
        <f t="shared" si="980"/>
        <v>#N/A</v>
      </c>
      <c r="AX783" s="616" t="e">
        <f t="shared" si="980"/>
        <v>#N/A</v>
      </c>
      <c r="AY783" s="616" t="e">
        <f t="shared" si="980"/>
        <v>#N/A</v>
      </c>
      <c r="AZ783" s="616" t="e">
        <f t="shared" si="980"/>
        <v>#N/A</v>
      </c>
      <c r="BA783" s="616" t="e">
        <f t="shared" si="980"/>
        <v>#N/A</v>
      </c>
      <c r="BB783" s="616" t="e">
        <f t="shared" si="980"/>
        <v>#N/A</v>
      </c>
      <c r="BC783" s="616" t="e">
        <f t="shared" si="980"/>
        <v>#N/A</v>
      </c>
      <c r="BD783" s="616" t="e">
        <f t="shared" si="980"/>
        <v>#N/A</v>
      </c>
      <c r="BE783" s="616" t="e">
        <f t="shared" si="980"/>
        <v>#N/A</v>
      </c>
      <c r="BF783" s="616" t="e">
        <f t="shared" si="980"/>
        <v>#N/A</v>
      </c>
      <c r="BG783" s="616" t="e">
        <f t="shared" si="980"/>
        <v>#N/A</v>
      </c>
      <c r="BH783" s="616" t="e">
        <f t="shared" si="980"/>
        <v>#N/A</v>
      </c>
      <c r="BI783" s="616" t="e">
        <f t="shared" si="980"/>
        <v>#N/A</v>
      </c>
      <c r="BJ783" s="616" t="e">
        <f t="shared" si="980"/>
        <v>#N/A</v>
      </c>
      <c r="BK783" s="616" t="e">
        <f t="shared" si="980"/>
        <v>#N/A</v>
      </c>
      <c r="BL783" s="616" t="e">
        <f t="shared" si="980"/>
        <v>#N/A</v>
      </c>
      <c r="BM783" s="616" t="e">
        <f t="shared" si="980"/>
        <v>#N/A</v>
      </c>
      <c r="BN783" s="616" t="e">
        <f t="shared" si="980"/>
        <v>#N/A</v>
      </c>
      <c r="BO783" s="616" t="e">
        <f t="shared" si="980"/>
        <v>#N/A</v>
      </c>
      <c r="BP783" s="616" t="e">
        <f t="shared" si="980"/>
        <v>#N/A</v>
      </c>
      <c r="BQ783" s="616" t="e">
        <f t="shared" si="980"/>
        <v>#N/A</v>
      </c>
      <c r="BR783" s="616" t="e">
        <f t="shared" si="980"/>
        <v>#N/A</v>
      </c>
      <c r="BS783" s="616" t="e">
        <f t="shared" si="980"/>
        <v>#N/A</v>
      </c>
      <c r="BT783" s="616" t="e">
        <f t="shared" si="980"/>
        <v>#N/A</v>
      </c>
      <c r="BU783" s="616" t="e">
        <f t="shared" si="980"/>
        <v>#N/A</v>
      </c>
      <c r="BV783" s="616" t="e">
        <f t="shared" si="980"/>
        <v>#N/A</v>
      </c>
      <c r="BW783" s="616" t="e">
        <f t="shared" si="980"/>
        <v>#N/A</v>
      </c>
      <c r="BX783" s="616" t="e">
        <f t="shared" si="980"/>
        <v>#N/A</v>
      </c>
      <c r="BY783" s="616" t="e">
        <f t="shared" si="980"/>
        <v>#N/A</v>
      </c>
      <c r="BZ783" s="616" t="e">
        <f t="shared" si="980"/>
        <v>#N/A</v>
      </c>
      <c r="CA783" s="616" t="e">
        <f t="shared" si="980"/>
        <v>#N/A</v>
      </c>
      <c r="CB783" s="616" t="e">
        <f t="shared" si="980"/>
        <v>#N/A</v>
      </c>
      <c r="CC783" s="616" t="e">
        <f t="shared" si="980"/>
        <v>#N/A</v>
      </c>
      <c r="CD783" s="616" t="e">
        <f t="shared" si="980"/>
        <v>#N/A</v>
      </c>
      <c r="CE783" s="616" t="e">
        <f t="shared" si="980"/>
        <v>#N/A</v>
      </c>
      <c r="CF783" s="616" t="e">
        <f t="shared" si="980"/>
        <v>#N/A</v>
      </c>
      <c r="CG783" s="616" t="e">
        <f t="shared" si="980"/>
        <v>#N/A</v>
      </c>
      <c r="CH783" s="616" t="e">
        <f t="shared" ref="CH783:CN783" si="981">CH502</f>
        <v>#N/A</v>
      </c>
      <c r="CI783" s="616" t="e">
        <f t="shared" si="981"/>
        <v>#N/A</v>
      </c>
      <c r="CJ783" s="616" t="e">
        <f t="shared" si="981"/>
        <v>#N/A</v>
      </c>
      <c r="CK783" s="616" t="e">
        <f t="shared" si="981"/>
        <v>#N/A</v>
      </c>
      <c r="CL783" s="616" t="e">
        <f t="shared" si="981"/>
        <v>#N/A</v>
      </c>
      <c r="CM783" s="616" t="e">
        <f t="shared" si="981"/>
        <v>#N/A</v>
      </c>
      <c r="CN783" s="616" t="e">
        <f t="shared" si="981"/>
        <v>#N/A</v>
      </c>
    </row>
    <row r="784" spans="8:93">
      <c r="H784" s="602" t="s">
        <v>940</v>
      </c>
      <c r="L784" s="609"/>
      <c r="N784" s="615"/>
      <c r="O784" s="615"/>
      <c r="P784" s="615"/>
      <c r="Q784" s="615"/>
      <c r="R784" s="615"/>
      <c r="S784" s="615"/>
    </row>
    <row r="785" spans="8:93">
      <c r="H785" s="602" t="s">
        <v>940</v>
      </c>
      <c r="L785" s="618" t="s">
        <v>1296</v>
      </c>
      <c r="M785" s="600" t="s">
        <v>922</v>
      </c>
      <c r="N785" s="615" t="e">
        <f>SUM(U785:AF785)</f>
        <v>#N/A</v>
      </c>
      <c r="O785" s="615" t="e">
        <f>SUM(AG785:AR785)</f>
        <v>#N/A</v>
      </c>
      <c r="P785" s="615" t="e">
        <f>SUM(AS785:BD785)</f>
        <v>#N/A</v>
      </c>
      <c r="Q785" s="615" t="e">
        <f>SUM(BE785:BP785)</f>
        <v>#N/A</v>
      </c>
      <c r="R785" s="615" t="e">
        <f>SUM(BQ785:CB785)</f>
        <v>#N/A</v>
      </c>
      <c r="S785" s="615" t="e">
        <f>SUM(CC785:CN785)</f>
        <v>#N/A</v>
      </c>
      <c r="U785" s="616" t="e">
        <f>MIN(U783,$Q$386)</f>
        <v>#N/A</v>
      </c>
      <c r="V785" s="616" t="e">
        <f t="shared" ref="V785:CG785" si="982">MIN(V783,$Q$386)</f>
        <v>#N/A</v>
      </c>
      <c r="W785" s="616" t="e">
        <f t="shared" si="982"/>
        <v>#N/A</v>
      </c>
      <c r="X785" s="616" t="e">
        <f t="shared" si="982"/>
        <v>#N/A</v>
      </c>
      <c r="Y785" s="616" t="e">
        <f t="shared" si="982"/>
        <v>#N/A</v>
      </c>
      <c r="Z785" s="616" t="e">
        <f t="shared" si="982"/>
        <v>#N/A</v>
      </c>
      <c r="AA785" s="616" t="e">
        <f t="shared" si="982"/>
        <v>#N/A</v>
      </c>
      <c r="AB785" s="616" t="e">
        <f t="shared" si="982"/>
        <v>#N/A</v>
      </c>
      <c r="AC785" s="616" t="e">
        <f t="shared" si="982"/>
        <v>#N/A</v>
      </c>
      <c r="AD785" s="616" t="e">
        <f t="shared" si="982"/>
        <v>#N/A</v>
      </c>
      <c r="AE785" s="616" t="e">
        <f t="shared" si="982"/>
        <v>#N/A</v>
      </c>
      <c r="AF785" s="616" t="e">
        <f t="shared" si="982"/>
        <v>#N/A</v>
      </c>
      <c r="AG785" s="616" t="e">
        <f t="shared" si="982"/>
        <v>#N/A</v>
      </c>
      <c r="AH785" s="616" t="e">
        <f t="shared" si="982"/>
        <v>#N/A</v>
      </c>
      <c r="AI785" s="616" t="e">
        <f t="shared" si="982"/>
        <v>#N/A</v>
      </c>
      <c r="AJ785" s="616" t="e">
        <f t="shared" si="982"/>
        <v>#N/A</v>
      </c>
      <c r="AK785" s="616" t="e">
        <f t="shared" si="982"/>
        <v>#N/A</v>
      </c>
      <c r="AL785" s="616" t="e">
        <f t="shared" si="982"/>
        <v>#N/A</v>
      </c>
      <c r="AM785" s="616" t="e">
        <f t="shared" si="982"/>
        <v>#N/A</v>
      </c>
      <c r="AN785" s="616" t="e">
        <f t="shared" si="982"/>
        <v>#N/A</v>
      </c>
      <c r="AO785" s="616" t="e">
        <f t="shared" si="982"/>
        <v>#N/A</v>
      </c>
      <c r="AP785" s="616" t="e">
        <f t="shared" si="982"/>
        <v>#N/A</v>
      </c>
      <c r="AQ785" s="616" t="e">
        <f t="shared" si="982"/>
        <v>#N/A</v>
      </c>
      <c r="AR785" s="616" t="e">
        <f t="shared" si="982"/>
        <v>#N/A</v>
      </c>
      <c r="AS785" s="616" t="e">
        <f t="shared" si="982"/>
        <v>#N/A</v>
      </c>
      <c r="AT785" s="616" t="e">
        <f t="shared" si="982"/>
        <v>#N/A</v>
      </c>
      <c r="AU785" s="616" t="e">
        <f t="shared" si="982"/>
        <v>#N/A</v>
      </c>
      <c r="AV785" s="616" t="e">
        <f t="shared" si="982"/>
        <v>#N/A</v>
      </c>
      <c r="AW785" s="616" t="e">
        <f t="shared" si="982"/>
        <v>#N/A</v>
      </c>
      <c r="AX785" s="616" t="e">
        <f t="shared" si="982"/>
        <v>#N/A</v>
      </c>
      <c r="AY785" s="616" t="e">
        <f t="shared" si="982"/>
        <v>#N/A</v>
      </c>
      <c r="AZ785" s="616" t="e">
        <f t="shared" si="982"/>
        <v>#N/A</v>
      </c>
      <c r="BA785" s="616" t="e">
        <f t="shared" si="982"/>
        <v>#N/A</v>
      </c>
      <c r="BB785" s="616" t="e">
        <f t="shared" si="982"/>
        <v>#N/A</v>
      </c>
      <c r="BC785" s="616" t="e">
        <f t="shared" si="982"/>
        <v>#N/A</v>
      </c>
      <c r="BD785" s="616" t="e">
        <f t="shared" si="982"/>
        <v>#N/A</v>
      </c>
      <c r="BE785" s="616" t="e">
        <f t="shared" si="982"/>
        <v>#N/A</v>
      </c>
      <c r="BF785" s="616" t="e">
        <f t="shared" si="982"/>
        <v>#N/A</v>
      </c>
      <c r="BG785" s="616" t="e">
        <f t="shared" si="982"/>
        <v>#N/A</v>
      </c>
      <c r="BH785" s="616" t="e">
        <f t="shared" si="982"/>
        <v>#N/A</v>
      </c>
      <c r="BI785" s="616" t="e">
        <f t="shared" si="982"/>
        <v>#N/A</v>
      </c>
      <c r="BJ785" s="616" t="e">
        <f t="shared" si="982"/>
        <v>#N/A</v>
      </c>
      <c r="BK785" s="616" t="e">
        <f t="shared" si="982"/>
        <v>#N/A</v>
      </c>
      <c r="BL785" s="616" t="e">
        <f t="shared" si="982"/>
        <v>#N/A</v>
      </c>
      <c r="BM785" s="616" t="e">
        <f t="shared" si="982"/>
        <v>#N/A</v>
      </c>
      <c r="BN785" s="616" t="e">
        <f t="shared" si="982"/>
        <v>#N/A</v>
      </c>
      <c r="BO785" s="616" t="e">
        <f t="shared" si="982"/>
        <v>#N/A</v>
      </c>
      <c r="BP785" s="616" t="e">
        <f t="shared" si="982"/>
        <v>#N/A</v>
      </c>
      <c r="BQ785" s="616" t="e">
        <f t="shared" si="982"/>
        <v>#N/A</v>
      </c>
      <c r="BR785" s="616" t="e">
        <f t="shared" si="982"/>
        <v>#N/A</v>
      </c>
      <c r="BS785" s="616" t="e">
        <f t="shared" si="982"/>
        <v>#N/A</v>
      </c>
      <c r="BT785" s="616" t="e">
        <f t="shared" si="982"/>
        <v>#N/A</v>
      </c>
      <c r="BU785" s="616" t="e">
        <f t="shared" si="982"/>
        <v>#N/A</v>
      </c>
      <c r="BV785" s="616" t="e">
        <f t="shared" si="982"/>
        <v>#N/A</v>
      </c>
      <c r="BW785" s="616" t="e">
        <f t="shared" si="982"/>
        <v>#N/A</v>
      </c>
      <c r="BX785" s="616" t="e">
        <f t="shared" si="982"/>
        <v>#N/A</v>
      </c>
      <c r="BY785" s="616" t="e">
        <f t="shared" si="982"/>
        <v>#N/A</v>
      </c>
      <c r="BZ785" s="616" t="e">
        <f t="shared" si="982"/>
        <v>#N/A</v>
      </c>
      <c r="CA785" s="616" t="e">
        <f t="shared" si="982"/>
        <v>#N/A</v>
      </c>
      <c r="CB785" s="616" t="e">
        <f t="shared" si="982"/>
        <v>#N/A</v>
      </c>
      <c r="CC785" s="616" t="e">
        <f t="shared" si="982"/>
        <v>#N/A</v>
      </c>
      <c r="CD785" s="616" t="e">
        <f t="shared" si="982"/>
        <v>#N/A</v>
      </c>
      <c r="CE785" s="616" t="e">
        <f t="shared" si="982"/>
        <v>#N/A</v>
      </c>
      <c r="CF785" s="616" t="e">
        <f t="shared" si="982"/>
        <v>#N/A</v>
      </c>
      <c r="CG785" s="616" t="e">
        <f t="shared" si="982"/>
        <v>#N/A</v>
      </c>
      <c r="CH785" s="616" t="e">
        <f t="shared" ref="CH785:CN785" si="983">MIN(CH783,$Q$386)</f>
        <v>#N/A</v>
      </c>
      <c r="CI785" s="616" t="e">
        <f t="shared" si="983"/>
        <v>#N/A</v>
      </c>
      <c r="CJ785" s="616" t="e">
        <f t="shared" si="983"/>
        <v>#N/A</v>
      </c>
      <c r="CK785" s="616" t="e">
        <f t="shared" si="983"/>
        <v>#N/A</v>
      </c>
      <c r="CL785" s="616" t="e">
        <f t="shared" si="983"/>
        <v>#N/A</v>
      </c>
      <c r="CM785" s="616" t="e">
        <f t="shared" si="983"/>
        <v>#N/A</v>
      </c>
      <c r="CN785" s="616" t="e">
        <f t="shared" si="983"/>
        <v>#N/A</v>
      </c>
    </row>
    <row r="786" spans="8:93">
      <c r="H786" s="602" t="s">
        <v>940</v>
      </c>
      <c r="L786" s="618" t="s">
        <v>1297</v>
      </c>
      <c r="M786" s="600" t="s">
        <v>922</v>
      </c>
      <c r="N786" s="615" t="e">
        <f>SUM(U786:AF786)</f>
        <v>#N/A</v>
      </c>
      <c r="O786" s="615" t="e">
        <f>SUM(AG786:AR786)</f>
        <v>#N/A</v>
      </c>
      <c r="P786" s="615" t="e">
        <f>SUM(AS786:BD786)</f>
        <v>#N/A</v>
      </c>
      <c r="Q786" s="615" t="e">
        <f>SUM(BE786:BP786)</f>
        <v>#N/A</v>
      </c>
      <c r="R786" s="615" t="e">
        <f>SUM(BQ786:CB786)</f>
        <v>#N/A</v>
      </c>
      <c r="S786" s="615" t="e">
        <f>SUM(CC786:CN786)</f>
        <v>#N/A</v>
      </c>
      <c r="U786" s="616" t="e">
        <f t="shared" ref="U786:CF786" si="984">MIN(U783-U785,$Q$387)</f>
        <v>#N/A</v>
      </c>
      <c r="V786" s="616" t="e">
        <f t="shared" si="984"/>
        <v>#N/A</v>
      </c>
      <c r="W786" s="616" t="e">
        <f t="shared" si="984"/>
        <v>#N/A</v>
      </c>
      <c r="X786" s="616" t="e">
        <f t="shared" si="984"/>
        <v>#N/A</v>
      </c>
      <c r="Y786" s="616" t="e">
        <f t="shared" si="984"/>
        <v>#N/A</v>
      </c>
      <c r="Z786" s="616" t="e">
        <f t="shared" si="984"/>
        <v>#N/A</v>
      </c>
      <c r="AA786" s="616" t="e">
        <f t="shared" si="984"/>
        <v>#N/A</v>
      </c>
      <c r="AB786" s="616" t="e">
        <f t="shared" si="984"/>
        <v>#N/A</v>
      </c>
      <c r="AC786" s="616" t="e">
        <f t="shared" si="984"/>
        <v>#N/A</v>
      </c>
      <c r="AD786" s="616" t="e">
        <f t="shared" si="984"/>
        <v>#N/A</v>
      </c>
      <c r="AE786" s="616" t="e">
        <f t="shared" si="984"/>
        <v>#N/A</v>
      </c>
      <c r="AF786" s="616" t="e">
        <f t="shared" si="984"/>
        <v>#N/A</v>
      </c>
      <c r="AG786" s="616" t="e">
        <f t="shared" si="984"/>
        <v>#N/A</v>
      </c>
      <c r="AH786" s="616" t="e">
        <f t="shared" si="984"/>
        <v>#N/A</v>
      </c>
      <c r="AI786" s="616" t="e">
        <f t="shared" si="984"/>
        <v>#N/A</v>
      </c>
      <c r="AJ786" s="616" t="e">
        <f t="shared" si="984"/>
        <v>#N/A</v>
      </c>
      <c r="AK786" s="616" t="e">
        <f t="shared" si="984"/>
        <v>#N/A</v>
      </c>
      <c r="AL786" s="616" t="e">
        <f t="shared" si="984"/>
        <v>#N/A</v>
      </c>
      <c r="AM786" s="616" t="e">
        <f t="shared" si="984"/>
        <v>#N/A</v>
      </c>
      <c r="AN786" s="616" t="e">
        <f t="shared" si="984"/>
        <v>#N/A</v>
      </c>
      <c r="AO786" s="616" t="e">
        <f t="shared" si="984"/>
        <v>#N/A</v>
      </c>
      <c r="AP786" s="616" t="e">
        <f t="shared" si="984"/>
        <v>#N/A</v>
      </c>
      <c r="AQ786" s="616" t="e">
        <f t="shared" si="984"/>
        <v>#N/A</v>
      </c>
      <c r="AR786" s="616" t="e">
        <f t="shared" si="984"/>
        <v>#N/A</v>
      </c>
      <c r="AS786" s="616" t="e">
        <f t="shared" si="984"/>
        <v>#N/A</v>
      </c>
      <c r="AT786" s="616" t="e">
        <f t="shared" si="984"/>
        <v>#N/A</v>
      </c>
      <c r="AU786" s="616" t="e">
        <f t="shared" si="984"/>
        <v>#N/A</v>
      </c>
      <c r="AV786" s="616" t="e">
        <f t="shared" si="984"/>
        <v>#N/A</v>
      </c>
      <c r="AW786" s="616" t="e">
        <f t="shared" si="984"/>
        <v>#N/A</v>
      </c>
      <c r="AX786" s="616" t="e">
        <f t="shared" si="984"/>
        <v>#N/A</v>
      </c>
      <c r="AY786" s="616" t="e">
        <f t="shared" si="984"/>
        <v>#N/A</v>
      </c>
      <c r="AZ786" s="616" t="e">
        <f t="shared" si="984"/>
        <v>#N/A</v>
      </c>
      <c r="BA786" s="616" t="e">
        <f t="shared" si="984"/>
        <v>#N/A</v>
      </c>
      <c r="BB786" s="616" t="e">
        <f t="shared" si="984"/>
        <v>#N/A</v>
      </c>
      <c r="BC786" s="616" t="e">
        <f t="shared" si="984"/>
        <v>#N/A</v>
      </c>
      <c r="BD786" s="616" t="e">
        <f t="shared" si="984"/>
        <v>#N/A</v>
      </c>
      <c r="BE786" s="616" t="e">
        <f t="shared" si="984"/>
        <v>#N/A</v>
      </c>
      <c r="BF786" s="616" t="e">
        <f t="shared" si="984"/>
        <v>#N/A</v>
      </c>
      <c r="BG786" s="616" t="e">
        <f t="shared" si="984"/>
        <v>#N/A</v>
      </c>
      <c r="BH786" s="616" t="e">
        <f t="shared" si="984"/>
        <v>#N/A</v>
      </c>
      <c r="BI786" s="616" t="e">
        <f t="shared" si="984"/>
        <v>#N/A</v>
      </c>
      <c r="BJ786" s="616" t="e">
        <f t="shared" si="984"/>
        <v>#N/A</v>
      </c>
      <c r="BK786" s="616" t="e">
        <f t="shared" si="984"/>
        <v>#N/A</v>
      </c>
      <c r="BL786" s="616" t="e">
        <f t="shared" si="984"/>
        <v>#N/A</v>
      </c>
      <c r="BM786" s="616" t="e">
        <f t="shared" si="984"/>
        <v>#N/A</v>
      </c>
      <c r="BN786" s="616" t="e">
        <f t="shared" si="984"/>
        <v>#N/A</v>
      </c>
      <c r="BO786" s="616" t="e">
        <f t="shared" si="984"/>
        <v>#N/A</v>
      </c>
      <c r="BP786" s="616" t="e">
        <f t="shared" si="984"/>
        <v>#N/A</v>
      </c>
      <c r="BQ786" s="616" t="e">
        <f t="shared" si="984"/>
        <v>#N/A</v>
      </c>
      <c r="BR786" s="616" t="e">
        <f t="shared" si="984"/>
        <v>#N/A</v>
      </c>
      <c r="BS786" s="616" t="e">
        <f t="shared" si="984"/>
        <v>#N/A</v>
      </c>
      <c r="BT786" s="616" t="e">
        <f t="shared" si="984"/>
        <v>#N/A</v>
      </c>
      <c r="BU786" s="616" t="e">
        <f t="shared" si="984"/>
        <v>#N/A</v>
      </c>
      <c r="BV786" s="616" t="e">
        <f t="shared" si="984"/>
        <v>#N/A</v>
      </c>
      <c r="BW786" s="616" t="e">
        <f t="shared" si="984"/>
        <v>#N/A</v>
      </c>
      <c r="BX786" s="616" t="e">
        <f t="shared" si="984"/>
        <v>#N/A</v>
      </c>
      <c r="BY786" s="616" t="e">
        <f t="shared" si="984"/>
        <v>#N/A</v>
      </c>
      <c r="BZ786" s="616" t="e">
        <f t="shared" si="984"/>
        <v>#N/A</v>
      </c>
      <c r="CA786" s="616" t="e">
        <f t="shared" si="984"/>
        <v>#N/A</v>
      </c>
      <c r="CB786" s="616" t="e">
        <f t="shared" si="984"/>
        <v>#N/A</v>
      </c>
      <c r="CC786" s="616" t="e">
        <f t="shared" si="984"/>
        <v>#N/A</v>
      </c>
      <c r="CD786" s="616" t="e">
        <f t="shared" si="984"/>
        <v>#N/A</v>
      </c>
      <c r="CE786" s="616" t="e">
        <f t="shared" si="984"/>
        <v>#N/A</v>
      </c>
      <c r="CF786" s="616" t="e">
        <f t="shared" si="984"/>
        <v>#N/A</v>
      </c>
      <c r="CG786" s="616" t="e">
        <f t="shared" ref="CG786:CN786" si="985">MIN(CG783-CG785,$Q$387)</f>
        <v>#N/A</v>
      </c>
      <c r="CH786" s="616" t="e">
        <f t="shared" si="985"/>
        <v>#N/A</v>
      </c>
      <c r="CI786" s="616" t="e">
        <f t="shared" si="985"/>
        <v>#N/A</v>
      </c>
      <c r="CJ786" s="616" t="e">
        <f t="shared" si="985"/>
        <v>#N/A</v>
      </c>
      <c r="CK786" s="616" t="e">
        <f t="shared" si="985"/>
        <v>#N/A</v>
      </c>
      <c r="CL786" s="616" t="e">
        <f t="shared" si="985"/>
        <v>#N/A</v>
      </c>
      <c r="CM786" s="616" t="e">
        <f t="shared" si="985"/>
        <v>#N/A</v>
      </c>
      <c r="CN786" s="616" t="e">
        <f t="shared" si="985"/>
        <v>#N/A</v>
      </c>
    </row>
    <row r="787" spans="8:93">
      <c r="H787" s="602" t="s">
        <v>940</v>
      </c>
      <c r="L787" s="618" t="s">
        <v>1298</v>
      </c>
      <c r="M787" s="600" t="s">
        <v>922</v>
      </c>
      <c r="N787" s="615" t="e">
        <f>SUM(U787:AF787)</f>
        <v>#N/A</v>
      </c>
      <c r="O787" s="615" t="e">
        <f>SUM(AG787:AR787)</f>
        <v>#N/A</v>
      </c>
      <c r="P787" s="615" t="e">
        <f>SUM(AS787:BD787)</f>
        <v>#N/A</v>
      </c>
      <c r="Q787" s="615" t="e">
        <f>SUM(BE787:BP787)</f>
        <v>#N/A</v>
      </c>
      <c r="R787" s="615" t="e">
        <f>SUM(BQ787:CB787)</f>
        <v>#N/A</v>
      </c>
      <c r="S787" s="615" t="e">
        <f>SUM(CC787:CN787)</f>
        <v>#N/A</v>
      </c>
      <c r="U787" s="616" t="e">
        <f t="shared" ref="U787:CF787" si="986">MIN(U783-(U785+U786),$Q$388)</f>
        <v>#N/A</v>
      </c>
      <c r="V787" s="616" t="e">
        <f t="shared" si="986"/>
        <v>#N/A</v>
      </c>
      <c r="W787" s="616" t="e">
        <f t="shared" si="986"/>
        <v>#N/A</v>
      </c>
      <c r="X787" s="616" t="e">
        <f t="shared" si="986"/>
        <v>#N/A</v>
      </c>
      <c r="Y787" s="616" t="e">
        <f t="shared" si="986"/>
        <v>#N/A</v>
      </c>
      <c r="Z787" s="616" t="e">
        <f t="shared" si="986"/>
        <v>#N/A</v>
      </c>
      <c r="AA787" s="616" t="e">
        <f t="shared" si="986"/>
        <v>#N/A</v>
      </c>
      <c r="AB787" s="616" t="e">
        <f t="shared" si="986"/>
        <v>#N/A</v>
      </c>
      <c r="AC787" s="616" t="e">
        <f t="shared" si="986"/>
        <v>#N/A</v>
      </c>
      <c r="AD787" s="616" t="e">
        <f t="shared" si="986"/>
        <v>#N/A</v>
      </c>
      <c r="AE787" s="616" t="e">
        <f t="shared" si="986"/>
        <v>#N/A</v>
      </c>
      <c r="AF787" s="616" t="e">
        <f t="shared" si="986"/>
        <v>#N/A</v>
      </c>
      <c r="AG787" s="616" t="e">
        <f t="shared" si="986"/>
        <v>#N/A</v>
      </c>
      <c r="AH787" s="616" t="e">
        <f t="shared" si="986"/>
        <v>#N/A</v>
      </c>
      <c r="AI787" s="616" t="e">
        <f t="shared" si="986"/>
        <v>#N/A</v>
      </c>
      <c r="AJ787" s="616" t="e">
        <f t="shared" si="986"/>
        <v>#N/A</v>
      </c>
      <c r="AK787" s="616" t="e">
        <f t="shared" si="986"/>
        <v>#N/A</v>
      </c>
      <c r="AL787" s="616" t="e">
        <f t="shared" si="986"/>
        <v>#N/A</v>
      </c>
      <c r="AM787" s="616" t="e">
        <f t="shared" si="986"/>
        <v>#N/A</v>
      </c>
      <c r="AN787" s="616" t="e">
        <f t="shared" si="986"/>
        <v>#N/A</v>
      </c>
      <c r="AO787" s="616" t="e">
        <f t="shared" si="986"/>
        <v>#N/A</v>
      </c>
      <c r="AP787" s="616" t="e">
        <f t="shared" si="986"/>
        <v>#N/A</v>
      </c>
      <c r="AQ787" s="616" t="e">
        <f t="shared" si="986"/>
        <v>#N/A</v>
      </c>
      <c r="AR787" s="616" t="e">
        <f t="shared" si="986"/>
        <v>#N/A</v>
      </c>
      <c r="AS787" s="616" t="e">
        <f t="shared" si="986"/>
        <v>#N/A</v>
      </c>
      <c r="AT787" s="616" t="e">
        <f t="shared" si="986"/>
        <v>#N/A</v>
      </c>
      <c r="AU787" s="616" t="e">
        <f t="shared" si="986"/>
        <v>#N/A</v>
      </c>
      <c r="AV787" s="616" t="e">
        <f t="shared" si="986"/>
        <v>#N/A</v>
      </c>
      <c r="AW787" s="616" t="e">
        <f t="shared" si="986"/>
        <v>#N/A</v>
      </c>
      <c r="AX787" s="616" t="e">
        <f t="shared" si="986"/>
        <v>#N/A</v>
      </c>
      <c r="AY787" s="616" t="e">
        <f t="shared" si="986"/>
        <v>#N/A</v>
      </c>
      <c r="AZ787" s="616" t="e">
        <f t="shared" si="986"/>
        <v>#N/A</v>
      </c>
      <c r="BA787" s="616" t="e">
        <f t="shared" si="986"/>
        <v>#N/A</v>
      </c>
      <c r="BB787" s="616" t="e">
        <f t="shared" si="986"/>
        <v>#N/A</v>
      </c>
      <c r="BC787" s="616" t="e">
        <f t="shared" si="986"/>
        <v>#N/A</v>
      </c>
      <c r="BD787" s="616" t="e">
        <f t="shared" si="986"/>
        <v>#N/A</v>
      </c>
      <c r="BE787" s="616" t="e">
        <f t="shared" si="986"/>
        <v>#N/A</v>
      </c>
      <c r="BF787" s="616" t="e">
        <f t="shared" si="986"/>
        <v>#N/A</v>
      </c>
      <c r="BG787" s="616" t="e">
        <f t="shared" si="986"/>
        <v>#N/A</v>
      </c>
      <c r="BH787" s="616" t="e">
        <f t="shared" si="986"/>
        <v>#N/A</v>
      </c>
      <c r="BI787" s="616" t="e">
        <f t="shared" si="986"/>
        <v>#N/A</v>
      </c>
      <c r="BJ787" s="616" t="e">
        <f t="shared" si="986"/>
        <v>#N/A</v>
      </c>
      <c r="BK787" s="616" t="e">
        <f t="shared" si="986"/>
        <v>#N/A</v>
      </c>
      <c r="BL787" s="616" t="e">
        <f t="shared" si="986"/>
        <v>#N/A</v>
      </c>
      <c r="BM787" s="616" t="e">
        <f t="shared" si="986"/>
        <v>#N/A</v>
      </c>
      <c r="BN787" s="616" t="e">
        <f t="shared" si="986"/>
        <v>#N/A</v>
      </c>
      <c r="BO787" s="616" t="e">
        <f t="shared" si="986"/>
        <v>#N/A</v>
      </c>
      <c r="BP787" s="616" t="e">
        <f t="shared" si="986"/>
        <v>#N/A</v>
      </c>
      <c r="BQ787" s="616" t="e">
        <f t="shared" si="986"/>
        <v>#N/A</v>
      </c>
      <c r="BR787" s="616" t="e">
        <f t="shared" si="986"/>
        <v>#N/A</v>
      </c>
      <c r="BS787" s="616" t="e">
        <f t="shared" si="986"/>
        <v>#N/A</v>
      </c>
      <c r="BT787" s="616" t="e">
        <f t="shared" si="986"/>
        <v>#N/A</v>
      </c>
      <c r="BU787" s="616" t="e">
        <f t="shared" si="986"/>
        <v>#N/A</v>
      </c>
      <c r="BV787" s="616" t="e">
        <f t="shared" si="986"/>
        <v>#N/A</v>
      </c>
      <c r="BW787" s="616" t="e">
        <f t="shared" si="986"/>
        <v>#N/A</v>
      </c>
      <c r="BX787" s="616" t="e">
        <f t="shared" si="986"/>
        <v>#N/A</v>
      </c>
      <c r="BY787" s="616" t="e">
        <f t="shared" si="986"/>
        <v>#N/A</v>
      </c>
      <c r="BZ787" s="616" t="e">
        <f t="shared" si="986"/>
        <v>#N/A</v>
      </c>
      <c r="CA787" s="616" t="e">
        <f t="shared" si="986"/>
        <v>#N/A</v>
      </c>
      <c r="CB787" s="616" t="e">
        <f t="shared" si="986"/>
        <v>#N/A</v>
      </c>
      <c r="CC787" s="616" t="e">
        <f t="shared" si="986"/>
        <v>#N/A</v>
      </c>
      <c r="CD787" s="616" t="e">
        <f t="shared" si="986"/>
        <v>#N/A</v>
      </c>
      <c r="CE787" s="616" t="e">
        <f t="shared" si="986"/>
        <v>#N/A</v>
      </c>
      <c r="CF787" s="616" t="e">
        <f t="shared" si="986"/>
        <v>#N/A</v>
      </c>
      <c r="CG787" s="616" t="e">
        <f t="shared" ref="CG787:CN787" si="987">MIN(CG783-(CG785+CG786),$Q$388)</f>
        <v>#N/A</v>
      </c>
      <c r="CH787" s="616" t="e">
        <f t="shared" si="987"/>
        <v>#N/A</v>
      </c>
      <c r="CI787" s="616" t="e">
        <f t="shared" si="987"/>
        <v>#N/A</v>
      </c>
      <c r="CJ787" s="616" t="e">
        <f t="shared" si="987"/>
        <v>#N/A</v>
      </c>
      <c r="CK787" s="616" t="e">
        <f t="shared" si="987"/>
        <v>#N/A</v>
      </c>
      <c r="CL787" s="616" t="e">
        <f t="shared" si="987"/>
        <v>#N/A</v>
      </c>
      <c r="CM787" s="616" t="e">
        <f t="shared" si="987"/>
        <v>#N/A</v>
      </c>
      <c r="CN787" s="616" t="e">
        <f t="shared" si="987"/>
        <v>#N/A</v>
      </c>
    </row>
    <row r="788" spans="8:93">
      <c r="H788" s="602" t="s">
        <v>940</v>
      </c>
      <c r="L788" s="618" t="s">
        <v>1299</v>
      </c>
      <c r="M788" s="600" t="s">
        <v>922</v>
      </c>
      <c r="N788" s="615" t="e">
        <f>SUM(U788:AF788)</f>
        <v>#N/A</v>
      </c>
      <c r="O788" s="615" t="e">
        <f>SUM(AG788:AR788)</f>
        <v>#N/A</v>
      </c>
      <c r="P788" s="615" t="e">
        <f>SUM(AS788:BD788)</f>
        <v>#N/A</v>
      </c>
      <c r="Q788" s="615" t="e">
        <f>SUM(BE788:BP788)</f>
        <v>#N/A</v>
      </c>
      <c r="R788" s="615" t="e">
        <f>SUM(BQ788:CB788)</f>
        <v>#N/A</v>
      </c>
      <c r="S788" s="615" t="e">
        <f>SUM(CC788:CN788)</f>
        <v>#N/A</v>
      </c>
      <c r="U788" s="616" t="e">
        <f t="shared" ref="U788:CF788" si="988">MIN(U783-(U785+U786+U787),$Q$389)</f>
        <v>#N/A</v>
      </c>
      <c r="V788" s="616" t="e">
        <f t="shared" si="988"/>
        <v>#N/A</v>
      </c>
      <c r="W788" s="616" t="e">
        <f t="shared" si="988"/>
        <v>#N/A</v>
      </c>
      <c r="X788" s="616" t="e">
        <f t="shared" si="988"/>
        <v>#N/A</v>
      </c>
      <c r="Y788" s="616" t="e">
        <f t="shared" si="988"/>
        <v>#N/A</v>
      </c>
      <c r="Z788" s="616" t="e">
        <f t="shared" si="988"/>
        <v>#N/A</v>
      </c>
      <c r="AA788" s="616" t="e">
        <f t="shared" si="988"/>
        <v>#N/A</v>
      </c>
      <c r="AB788" s="616" t="e">
        <f t="shared" si="988"/>
        <v>#N/A</v>
      </c>
      <c r="AC788" s="616" t="e">
        <f t="shared" si="988"/>
        <v>#N/A</v>
      </c>
      <c r="AD788" s="616" t="e">
        <f t="shared" si="988"/>
        <v>#N/A</v>
      </c>
      <c r="AE788" s="616" t="e">
        <f t="shared" si="988"/>
        <v>#N/A</v>
      </c>
      <c r="AF788" s="616" t="e">
        <f t="shared" si="988"/>
        <v>#N/A</v>
      </c>
      <c r="AG788" s="616" t="e">
        <f t="shared" si="988"/>
        <v>#N/A</v>
      </c>
      <c r="AH788" s="616" t="e">
        <f t="shared" si="988"/>
        <v>#N/A</v>
      </c>
      <c r="AI788" s="616" t="e">
        <f t="shared" si="988"/>
        <v>#N/A</v>
      </c>
      <c r="AJ788" s="616" t="e">
        <f t="shared" si="988"/>
        <v>#N/A</v>
      </c>
      <c r="AK788" s="616" t="e">
        <f t="shared" si="988"/>
        <v>#N/A</v>
      </c>
      <c r="AL788" s="616" t="e">
        <f t="shared" si="988"/>
        <v>#N/A</v>
      </c>
      <c r="AM788" s="616" t="e">
        <f t="shared" si="988"/>
        <v>#N/A</v>
      </c>
      <c r="AN788" s="616" t="e">
        <f t="shared" si="988"/>
        <v>#N/A</v>
      </c>
      <c r="AO788" s="616" t="e">
        <f t="shared" si="988"/>
        <v>#N/A</v>
      </c>
      <c r="AP788" s="616" t="e">
        <f t="shared" si="988"/>
        <v>#N/A</v>
      </c>
      <c r="AQ788" s="616" t="e">
        <f t="shared" si="988"/>
        <v>#N/A</v>
      </c>
      <c r="AR788" s="616" t="e">
        <f t="shared" si="988"/>
        <v>#N/A</v>
      </c>
      <c r="AS788" s="616" t="e">
        <f t="shared" si="988"/>
        <v>#N/A</v>
      </c>
      <c r="AT788" s="616" t="e">
        <f t="shared" si="988"/>
        <v>#N/A</v>
      </c>
      <c r="AU788" s="616" t="e">
        <f t="shared" si="988"/>
        <v>#N/A</v>
      </c>
      <c r="AV788" s="616" t="e">
        <f t="shared" si="988"/>
        <v>#N/A</v>
      </c>
      <c r="AW788" s="616" t="e">
        <f t="shared" si="988"/>
        <v>#N/A</v>
      </c>
      <c r="AX788" s="616" t="e">
        <f t="shared" si="988"/>
        <v>#N/A</v>
      </c>
      <c r="AY788" s="616" t="e">
        <f t="shared" si="988"/>
        <v>#N/A</v>
      </c>
      <c r="AZ788" s="616" t="e">
        <f t="shared" si="988"/>
        <v>#N/A</v>
      </c>
      <c r="BA788" s="616" t="e">
        <f t="shared" si="988"/>
        <v>#N/A</v>
      </c>
      <c r="BB788" s="616" t="e">
        <f t="shared" si="988"/>
        <v>#N/A</v>
      </c>
      <c r="BC788" s="616" t="e">
        <f t="shared" si="988"/>
        <v>#N/A</v>
      </c>
      <c r="BD788" s="616" t="e">
        <f t="shared" si="988"/>
        <v>#N/A</v>
      </c>
      <c r="BE788" s="616" t="e">
        <f t="shared" si="988"/>
        <v>#N/A</v>
      </c>
      <c r="BF788" s="616" t="e">
        <f t="shared" si="988"/>
        <v>#N/A</v>
      </c>
      <c r="BG788" s="616" t="e">
        <f t="shared" si="988"/>
        <v>#N/A</v>
      </c>
      <c r="BH788" s="616" t="e">
        <f t="shared" si="988"/>
        <v>#N/A</v>
      </c>
      <c r="BI788" s="616" t="e">
        <f t="shared" si="988"/>
        <v>#N/A</v>
      </c>
      <c r="BJ788" s="616" t="e">
        <f t="shared" si="988"/>
        <v>#N/A</v>
      </c>
      <c r="BK788" s="616" t="e">
        <f t="shared" si="988"/>
        <v>#N/A</v>
      </c>
      <c r="BL788" s="616" t="e">
        <f t="shared" si="988"/>
        <v>#N/A</v>
      </c>
      <c r="BM788" s="616" t="e">
        <f t="shared" si="988"/>
        <v>#N/A</v>
      </c>
      <c r="BN788" s="616" t="e">
        <f t="shared" si="988"/>
        <v>#N/A</v>
      </c>
      <c r="BO788" s="616" t="e">
        <f t="shared" si="988"/>
        <v>#N/A</v>
      </c>
      <c r="BP788" s="616" t="e">
        <f t="shared" si="988"/>
        <v>#N/A</v>
      </c>
      <c r="BQ788" s="616" t="e">
        <f t="shared" si="988"/>
        <v>#N/A</v>
      </c>
      <c r="BR788" s="616" t="e">
        <f t="shared" si="988"/>
        <v>#N/A</v>
      </c>
      <c r="BS788" s="616" t="e">
        <f t="shared" si="988"/>
        <v>#N/A</v>
      </c>
      <c r="BT788" s="616" t="e">
        <f t="shared" si="988"/>
        <v>#N/A</v>
      </c>
      <c r="BU788" s="616" t="e">
        <f t="shared" si="988"/>
        <v>#N/A</v>
      </c>
      <c r="BV788" s="616" t="e">
        <f t="shared" si="988"/>
        <v>#N/A</v>
      </c>
      <c r="BW788" s="616" t="e">
        <f t="shared" si="988"/>
        <v>#N/A</v>
      </c>
      <c r="BX788" s="616" t="e">
        <f t="shared" si="988"/>
        <v>#N/A</v>
      </c>
      <c r="BY788" s="616" t="e">
        <f t="shared" si="988"/>
        <v>#N/A</v>
      </c>
      <c r="BZ788" s="616" t="e">
        <f t="shared" si="988"/>
        <v>#N/A</v>
      </c>
      <c r="CA788" s="616" t="e">
        <f t="shared" si="988"/>
        <v>#N/A</v>
      </c>
      <c r="CB788" s="616" t="e">
        <f t="shared" si="988"/>
        <v>#N/A</v>
      </c>
      <c r="CC788" s="616" t="e">
        <f t="shared" si="988"/>
        <v>#N/A</v>
      </c>
      <c r="CD788" s="616" t="e">
        <f t="shared" si="988"/>
        <v>#N/A</v>
      </c>
      <c r="CE788" s="616" t="e">
        <f t="shared" si="988"/>
        <v>#N/A</v>
      </c>
      <c r="CF788" s="616" t="e">
        <f t="shared" si="988"/>
        <v>#N/A</v>
      </c>
      <c r="CG788" s="616" t="e">
        <f t="shared" ref="CG788:CN788" si="989">MIN(CG783-(CG785+CG786+CG787),$Q$389)</f>
        <v>#N/A</v>
      </c>
      <c r="CH788" s="616" t="e">
        <f t="shared" si="989"/>
        <v>#N/A</v>
      </c>
      <c r="CI788" s="616" t="e">
        <f t="shared" si="989"/>
        <v>#N/A</v>
      </c>
      <c r="CJ788" s="616" t="e">
        <f t="shared" si="989"/>
        <v>#N/A</v>
      </c>
      <c r="CK788" s="616" t="e">
        <f t="shared" si="989"/>
        <v>#N/A</v>
      </c>
      <c r="CL788" s="616" t="e">
        <f t="shared" si="989"/>
        <v>#N/A</v>
      </c>
      <c r="CM788" s="616" t="e">
        <f t="shared" si="989"/>
        <v>#N/A</v>
      </c>
      <c r="CN788" s="616" t="e">
        <f t="shared" si="989"/>
        <v>#N/A</v>
      </c>
    </row>
    <row r="789" spans="8:93">
      <c r="H789" s="602" t="s">
        <v>940</v>
      </c>
      <c r="L789" s="618"/>
      <c r="M789" s="600"/>
      <c r="N789" s="615"/>
      <c r="O789" s="615"/>
      <c r="P789" s="615"/>
      <c r="Q789" s="615"/>
      <c r="R789" s="615"/>
      <c r="S789" s="615"/>
    </row>
    <row r="790" spans="8:93">
      <c r="H790" s="602" t="s">
        <v>940</v>
      </c>
      <c r="L790" s="618" t="s">
        <v>1300</v>
      </c>
      <c r="M790" s="600" t="s">
        <v>974</v>
      </c>
      <c r="N790" s="615" t="e">
        <f>SUM(U790:AF790)</f>
        <v>#N/A</v>
      </c>
      <c r="O790" s="615" t="e">
        <f>SUM(AG790:AR790)</f>
        <v>#N/A</v>
      </c>
      <c r="P790" s="615" t="e">
        <f>SUM(AS790:BD790)</f>
        <v>#N/A</v>
      </c>
      <c r="Q790" s="615" t="e">
        <f>SUM(BE790:BP790)</f>
        <v>#N/A</v>
      </c>
      <c r="R790" s="615" t="e">
        <f>SUM(BQ790:CB790)</f>
        <v>#N/A</v>
      </c>
      <c r="S790" s="615" t="e">
        <f>SUM(CC790:CN790)</f>
        <v>#N/A</v>
      </c>
      <c r="U790" s="616" t="e">
        <f>U785*$Q$391</f>
        <v>#N/A</v>
      </c>
      <c r="V790" s="616" t="e">
        <f t="shared" ref="V790:CG790" si="990">V785*$Q$391</f>
        <v>#N/A</v>
      </c>
      <c r="W790" s="616" t="e">
        <f t="shared" si="990"/>
        <v>#N/A</v>
      </c>
      <c r="X790" s="616" t="e">
        <f t="shared" si="990"/>
        <v>#N/A</v>
      </c>
      <c r="Y790" s="616" t="e">
        <f t="shared" si="990"/>
        <v>#N/A</v>
      </c>
      <c r="Z790" s="616" t="e">
        <f t="shared" si="990"/>
        <v>#N/A</v>
      </c>
      <c r="AA790" s="616" t="e">
        <f t="shared" si="990"/>
        <v>#N/A</v>
      </c>
      <c r="AB790" s="616" t="e">
        <f t="shared" si="990"/>
        <v>#N/A</v>
      </c>
      <c r="AC790" s="616" t="e">
        <f t="shared" si="990"/>
        <v>#N/A</v>
      </c>
      <c r="AD790" s="616" t="e">
        <f t="shared" si="990"/>
        <v>#N/A</v>
      </c>
      <c r="AE790" s="616" t="e">
        <f t="shared" si="990"/>
        <v>#N/A</v>
      </c>
      <c r="AF790" s="616" t="e">
        <f t="shared" si="990"/>
        <v>#N/A</v>
      </c>
      <c r="AG790" s="616" t="e">
        <f t="shared" si="990"/>
        <v>#N/A</v>
      </c>
      <c r="AH790" s="616" t="e">
        <f t="shared" si="990"/>
        <v>#N/A</v>
      </c>
      <c r="AI790" s="616" t="e">
        <f t="shared" si="990"/>
        <v>#N/A</v>
      </c>
      <c r="AJ790" s="616" t="e">
        <f t="shared" si="990"/>
        <v>#N/A</v>
      </c>
      <c r="AK790" s="616" t="e">
        <f t="shared" si="990"/>
        <v>#N/A</v>
      </c>
      <c r="AL790" s="616" t="e">
        <f t="shared" si="990"/>
        <v>#N/A</v>
      </c>
      <c r="AM790" s="616" t="e">
        <f t="shared" si="990"/>
        <v>#N/A</v>
      </c>
      <c r="AN790" s="616" t="e">
        <f t="shared" si="990"/>
        <v>#N/A</v>
      </c>
      <c r="AO790" s="616" t="e">
        <f t="shared" si="990"/>
        <v>#N/A</v>
      </c>
      <c r="AP790" s="616" t="e">
        <f t="shared" si="990"/>
        <v>#N/A</v>
      </c>
      <c r="AQ790" s="616" t="e">
        <f t="shared" si="990"/>
        <v>#N/A</v>
      </c>
      <c r="AR790" s="616" t="e">
        <f t="shared" si="990"/>
        <v>#N/A</v>
      </c>
      <c r="AS790" s="616" t="e">
        <f t="shared" si="990"/>
        <v>#N/A</v>
      </c>
      <c r="AT790" s="616" t="e">
        <f t="shared" si="990"/>
        <v>#N/A</v>
      </c>
      <c r="AU790" s="616" t="e">
        <f t="shared" si="990"/>
        <v>#N/A</v>
      </c>
      <c r="AV790" s="616" t="e">
        <f t="shared" si="990"/>
        <v>#N/A</v>
      </c>
      <c r="AW790" s="616" t="e">
        <f t="shared" si="990"/>
        <v>#N/A</v>
      </c>
      <c r="AX790" s="616" t="e">
        <f t="shared" si="990"/>
        <v>#N/A</v>
      </c>
      <c r="AY790" s="616" t="e">
        <f t="shared" si="990"/>
        <v>#N/A</v>
      </c>
      <c r="AZ790" s="616" t="e">
        <f t="shared" si="990"/>
        <v>#N/A</v>
      </c>
      <c r="BA790" s="616" t="e">
        <f t="shared" si="990"/>
        <v>#N/A</v>
      </c>
      <c r="BB790" s="616" t="e">
        <f t="shared" si="990"/>
        <v>#N/A</v>
      </c>
      <c r="BC790" s="616" t="e">
        <f t="shared" si="990"/>
        <v>#N/A</v>
      </c>
      <c r="BD790" s="616" t="e">
        <f t="shared" si="990"/>
        <v>#N/A</v>
      </c>
      <c r="BE790" s="616" t="e">
        <f t="shared" si="990"/>
        <v>#N/A</v>
      </c>
      <c r="BF790" s="616" t="e">
        <f t="shared" si="990"/>
        <v>#N/A</v>
      </c>
      <c r="BG790" s="616" t="e">
        <f t="shared" si="990"/>
        <v>#N/A</v>
      </c>
      <c r="BH790" s="616" t="e">
        <f t="shared" si="990"/>
        <v>#N/A</v>
      </c>
      <c r="BI790" s="616" t="e">
        <f t="shared" si="990"/>
        <v>#N/A</v>
      </c>
      <c r="BJ790" s="616" t="e">
        <f t="shared" si="990"/>
        <v>#N/A</v>
      </c>
      <c r="BK790" s="616" t="e">
        <f t="shared" si="990"/>
        <v>#N/A</v>
      </c>
      <c r="BL790" s="616" t="e">
        <f t="shared" si="990"/>
        <v>#N/A</v>
      </c>
      <c r="BM790" s="616" t="e">
        <f t="shared" si="990"/>
        <v>#N/A</v>
      </c>
      <c r="BN790" s="616" t="e">
        <f t="shared" si="990"/>
        <v>#N/A</v>
      </c>
      <c r="BO790" s="616" t="e">
        <f t="shared" si="990"/>
        <v>#N/A</v>
      </c>
      <c r="BP790" s="616" t="e">
        <f t="shared" si="990"/>
        <v>#N/A</v>
      </c>
      <c r="BQ790" s="616" t="e">
        <f t="shared" si="990"/>
        <v>#N/A</v>
      </c>
      <c r="BR790" s="616" t="e">
        <f t="shared" si="990"/>
        <v>#N/A</v>
      </c>
      <c r="BS790" s="616" t="e">
        <f t="shared" si="990"/>
        <v>#N/A</v>
      </c>
      <c r="BT790" s="616" t="e">
        <f t="shared" si="990"/>
        <v>#N/A</v>
      </c>
      <c r="BU790" s="616" t="e">
        <f t="shared" si="990"/>
        <v>#N/A</v>
      </c>
      <c r="BV790" s="616" t="e">
        <f t="shared" si="990"/>
        <v>#N/A</v>
      </c>
      <c r="BW790" s="616" t="e">
        <f t="shared" si="990"/>
        <v>#N/A</v>
      </c>
      <c r="BX790" s="616" t="e">
        <f t="shared" si="990"/>
        <v>#N/A</v>
      </c>
      <c r="BY790" s="616" t="e">
        <f t="shared" si="990"/>
        <v>#N/A</v>
      </c>
      <c r="BZ790" s="616" t="e">
        <f t="shared" si="990"/>
        <v>#N/A</v>
      </c>
      <c r="CA790" s="616" t="e">
        <f t="shared" si="990"/>
        <v>#N/A</v>
      </c>
      <c r="CB790" s="616" t="e">
        <f t="shared" si="990"/>
        <v>#N/A</v>
      </c>
      <c r="CC790" s="616" t="e">
        <f t="shared" si="990"/>
        <v>#N/A</v>
      </c>
      <c r="CD790" s="616" t="e">
        <f t="shared" si="990"/>
        <v>#N/A</v>
      </c>
      <c r="CE790" s="616" t="e">
        <f t="shared" si="990"/>
        <v>#N/A</v>
      </c>
      <c r="CF790" s="616" t="e">
        <f t="shared" si="990"/>
        <v>#N/A</v>
      </c>
      <c r="CG790" s="616" t="e">
        <f t="shared" si="990"/>
        <v>#N/A</v>
      </c>
      <c r="CH790" s="616" t="e">
        <f t="shared" ref="CH790:CN790" si="991">CH785*$Q$391</f>
        <v>#N/A</v>
      </c>
      <c r="CI790" s="616" t="e">
        <f t="shared" si="991"/>
        <v>#N/A</v>
      </c>
      <c r="CJ790" s="616" t="e">
        <f t="shared" si="991"/>
        <v>#N/A</v>
      </c>
      <c r="CK790" s="616" t="e">
        <f t="shared" si="991"/>
        <v>#N/A</v>
      </c>
      <c r="CL790" s="616" t="e">
        <f t="shared" si="991"/>
        <v>#N/A</v>
      </c>
      <c r="CM790" s="616" t="e">
        <f t="shared" si="991"/>
        <v>#N/A</v>
      </c>
      <c r="CN790" s="616" t="e">
        <f t="shared" si="991"/>
        <v>#N/A</v>
      </c>
    </row>
    <row r="791" spans="8:93">
      <c r="H791" s="602" t="s">
        <v>940</v>
      </c>
      <c r="L791" s="618" t="s">
        <v>1301</v>
      </c>
      <c r="M791" s="600" t="s">
        <v>974</v>
      </c>
      <c r="N791" s="615" t="e">
        <f>SUM(U791:AF791)</f>
        <v>#N/A</v>
      </c>
      <c r="O791" s="615" t="e">
        <f>SUM(AG791:AR791)</f>
        <v>#N/A</v>
      </c>
      <c r="P791" s="615" t="e">
        <f>SUM(AS791:BD791)</f>
        <v>#N/A</v>
      </c>
      <c r="Q791" s="615" t="e">
        <f>SUM(BE791:BP791)</f>
        <v>#N/A</v>
      </c>
      <c r="R791" s="615" t="e">
        <f>SUM(BQ791:CB791)</f>
        <v>#N/A</v>
      </c>
      <c r="S791" s="615" t="e">
        <f>SUM(CC791:CN791)</f>
        <v>#N/A</v>
      </c>
      <c r="U791" s="616" t="e">
        <f>U786*$Q$392</f>
        <v>#N/A</v>
      </c>
      <c r="V791" s="616" t="e">
        <f t="shared" ref="V791:CG791" si="992">V786*$Q$392</f>
        <v>#N/A</v>
      </c>
      <c r="W791" s="616" t="e">
        <f t="shared" si="992"/>
        <v>#N/A</v>
      </c>
      <c r="X791" s="616" t="e">
        <f t="shared" si="992"/>
        <v>#N/A</v>
      </c>
      <c r="Y791" s="616" t="e">
        <f t="shared" si="992"/>
        <v>#N/A</v>
      </c>
      <c r="Z791" s="616" t="e">
        <f t="shared" si="992"/>
        <v>#N/A</v>
      </c>
      <c r="AA791" s="616" t="e">
        <f t="shared" si="992"/>
        <v>#N/A</v>
      </c>
      <c r="AB791" s="616" t="e">
        <f t="shared" si="992"/>
        <v>#N/A</v>
      </c>
      <c r="AC791" s="616" t="e">
        <f t="shared" si="992"/>
        <v>#N/A</v>
      </c>
      <c r="AD791" s="616" t="e">
        <f t="shared" si="992"/>
        <v>#N/A</v>
      </c>
      <c r="AE791" s="616" t="e">
        <f t="shared" si="992"/>
        <v>#N/A</v>
      </c>
      <c r="AF791" s="616" t="e">
        <f t="shared" si="992"/>
        <v>#N/A</v>
      </c>
      <c r="AG791" s="616" t="e">
        <f t="shared" si="992"/>
        <v>#N/A</v>
      </c>
      <c r="AH791" s="616" t="e">
        <f t="shared" si="992"/>
        <v>#N/A</v>
      </c>
      <c r="AI791" s="616" t="e">
        <f t="shared" si="992"/>
        <v>#N/A</v>
      </c>
      <c r="AJ791" s="616" t="e">
        <f t="shared" si="992"/>
        <v>#N/A</v>
      </c>
      <c r="AK791" s="616" t="e">
        <f t="shared" si="992"/>
        <v>#N/A</v>
      </c>
      <c r="AL791" s="616" t="e">
        <f t="shared" si="992"/>
        <v>#N/A</v>
      </c>
      <c r="AM791" s="616" t="e">
        <f t="shared" si="992"/>
        <v>#N/A</v>
      </c>
      <c r="AN791" s="616" t="e">
        <f t="shared" si="992"/>
        <v>#N/A</v>
      </c>
      <c r="AO791" s="616" t="e">
        <f t="shared" si="992"/>
        <v>#N/A</v>
      </c>
      <c r="AP791" s="616" t="e">
        <f t="shared" si="992"/>
        <v>#N/A</v>
      </c>
      <c r="AQ791" s="616" t="e">
        <f t="shared" si="992"/>
        <v>#N/A</v>
      </c>
      <c r="AR791" s="616" t="e">
        <f t="shared" si="992"/>
        <v>#N/A</v>
      </c>
      <c r="AS791" s="616" t="e">
        <f t="shared" si="992"/>
        <v>#N/A</v>
      </c>
      <c r="AT791" s="616" t="e">
        <f t="shared" si="992"/>
        <v>#N/A</v>
      </c>
      <c r="AU791" s="616" t="e">
        <f t="shared" si="992"/>
        <v>#N/A</v>
      </c>
      <c r="AV791" s="616" t="e">
        <f t="shared" si="992"/>
        <v>#N/A</v>
      </c>
      <c r="AW791" s="616" t="e">
        <f t="shared" si="992"/>
        <v>#N/A</v>
      </c>
      <c r="AX791" s="616" t="e">
        <f t="shared" si="992"/>
        <v>#N/A</v>
      </c>
      <c r="AY791" s="616" t="e">
        <f t="shared" si="992"/>
        <v>#N/A</v>
      </c>
      <c r="AZ791" s="616" t="e">
        <f t="shared" si="992"/>
        <v>#N/A</v>
      </c>
      <c r="BA791" s="616" t="e">
        <f t="shared" si="992"/>
        <v>#N/A</v>
      </c>
      <c r="BB791" s="616" t="e">
        <f t="shared" si="992"/>
        <v>#N/A</v>
      </c>
      <c r="BC791" s="616" t="e">
        <f t="shared" si="992"/>
        <v>#N/A</v>
      </c>
      <c r="BD791" s="616" t="e">
        <f t="shared" si="992"/>
        <v>#N/A</v>
      </c>
      <c r="BE791" s="616" t="e">
        <f t="shared" si="992"/>
        <v>#N/A</v>
      </c>
      <c r="BF791" s="616" t="e">
        <f t="shared" si="992"/>
        <v>#N/A</v>
      </c>
      <c r="BG791" s="616" t="e">
        <f t="shared" si="992"/>
        <v>#N/A</v>
      </c>
      <c r="BH791" s="616" t="e">
        <f t="shared" si="992"/>
        <v>#N/A</v>
      </c>
      <c r="BI791" s="616" t="e">
        <f t="shared" si="992"/>
        <v>#N/A</v>
      </c>
      <c r="BJ791" s="616" t="e">
        <f t="shared" si="992"/>
        <v>#N/A</v>
      </c>
      <c r="BK791" s="616" t="e">
        <f t="shared" si="992"/>
        <v>#N/A</v>
      </c>
      <c r="BL791" s="616" t="e">
        <f t="shared" si="992"/>
        <v>#N/A</v>
      </c>
      <c r="BM791" s="616" t="e">
        <f t="shared" si="992"/>
        <v>#N/A</v>
      </c>
      <c r="BN791" s="616" t="e">
        <f t="shared" si="992"/>
        <v>#N/A</v>
      </c>
      <c r="BO791" s="616" t="e">
        <f t="shared" si="992"/>
        <v>#N/A</v>
      </c>
      <c r="BP791" s="616" t="e">
        <f t="shared" si="992"/>
        <v>#N/A</v>
      </c>
      <c r="BQ791" s="616" t="e">
        <f t="shared" si="992"/>
        <v>#N/A</v>
      </c>
      <c r="BR791" s="616" t="e">
        <f t="shared" si="992"/>
        <v>#N/A</v>
      </c>
      <c r="BS791" s="616" t="e">
        <f t="shared" si="992"/>
        <v>#N/A</v>
      </c>
      <c r="BT791" s="616" t="e">
        <f t="shared" si="992"/>
        <v>#N/A</v>
      </c>
      <c r="BU791" s="616" t="e">
        <f t="shared" si="992"/>
        <v>#N/A</v>
      </c>
      <c r="BV791" s="616" t="e">
        <f t="shared" si="992"/>
        <v>#N/A</v>
      </c>
      <c r="BW791" s="616" t="e">
        <f t="shared" si="992"/>
        <v>#N/A</v>
      </c>
      <c r="BX791" s="616" t="e">
        <f t="shared" si="992"/>
        <v>#N/A</v>
      </c>
      <c r="BY791" s="616" t="e">
        <f t="shared" si="992"/>
        <v>#N/A</v>
      </c>
      <c r="BZ791" s="616" t="e">
        <f t="shared" si="992"/>
        <v>#N/A</v>
      </c>
      <c r="CA791" s="616" t="e">
        <f t="shared" si="992"/>
        <v>#N/A</v>
      </c>
      <c r="CB791" s="616" t="e">
        <f t="shared" si="992"/>
        <v>#N/A</v>
      </c>
      <c r="CC791" s="616" t="e">
        <f t="shared" si="992"/>
        <v>#N/A</v>
      </c>
      <c r="CD791" s="616" t="e">
        <f t="shared" si="992"/>
        <v>#N/A</v>
      </c>
      <c r="CE791" s="616" t="e">
        <f t="shared" si="992"/>
        <v>#N/A</v>
      </c>
      <c r="CF791" s="616" t="e">
        <f t="shared" si="992"/>
        <v>#N/A</v>
      </c>
      <c r="CG791" s="616" t="e">
        <f t="shared" si="992"/>
        <v>#N/A</v>
      </c>
      <c r="CH791" s="616" t="e">
        <f t="shared" ref="CH791:CN791" si="993">CH786*$Q$392</f>
        <v>#N/A</v>
      </c>
      <c r="CI791" s="616" t="e">
        <f t="shared" si="993"/>
        <v>#N/A</v>
      </c>
      <c r="CJ791" s="616" t="e">
        <f t="shared" si="993"/>
        <v>#N/A</v>
      </c>
      <c r="CK791" s="616" t="e">
        <f t="shared" si="993"/>
        <v>#N/A</v>
      </c>
      <c r="CL791" s="616" t="e">
        <f t="shared" si="993"/>
        <v>#N/A</v>
      </c>
      <c r="CM791" s="616" t="e">
        <f t="shared" si="993"/>
        <v>#N/A</v>
      </c>
      <c r="CN791" s="616" t="e">
        <f t="shared" si="993"/>
        <v>#N/A</v>
      </c>
    </row>
    <row r="792" spans="8:93">
      <c r="H792" s="602" t="s">
        <v>940</v>
      </c>
      <c r="L792" s="618" t="s">
        <v>1302</v>
      </c>
      <c r="M792" s="600" t="s">
        <v>974</v>
      </c>
      <c r="N792" s="615" t="e">
        <f>SUM(U792:AF792)</f>
        <v>#N/A</v>
      </c>
      <c r="O792" s="615" t="e">
        <f>SUM(AG792:AR792)</f>
        <v>#N/A</v>
      </c>
      <c r="P792" s="615" t="e">
        <f>SUM(AS792:BD792)</f>
        <v>#N/A</v>
      </c>
      <c r="Q792" s="615" t="e">
        <f>SUM(BE792:BP792)</f>
        <v>#N/A</v>
      </c>
      <c r="R792" s="615" t="e">
        <f>SUM(BQ792:CB792)</f>
        <v>#N/A</v>
      </c>
      <c r="S792" s="615" t="e">
        <f>SUM(CC792:CN792)</f>
        <v>#N/A</v>
      </c>
      <c r="U792" s="616" t="e">
        <f>U787*$Q$393</f>
        <v>#N/A</v>
      </c>
      <c r="V792" s="616" t="e">
        <f t="shared" ref="V792:CG792" si="994">V787*$Q$393</f>
        <v>#N/A</v>
      </c>
      <c r="W792" s="616" t="e">
        <f t="shared" si="994"/>
        <v>#N/A</v>
      </c>
      <c r="X792" s="616" t="e">
        <f t="shared" si="994"/>
        <v>#N/A</v>
      </c>
      <c r="Y792" s="616" t="e">
        <f t="shared" si="994"/>
        <v>#N/A</v>
      </c>
      <c r="Z792" s="616" t="e">
        <f t="shared" si="994"/>
        <v>#N/A</v>
      </c>
      <c r="AA792" s="616" t="e">
        <f t="shared" si="994"/>
        <v>#N/A</v>
      </c>
      <c r="AB792" s="616" t="e">
        <f t="shared" si="994"/>
        <v>#N/A</v>
      </c>
      <c r="AC792" s="616" t="e">
        <f t="shared" si="994"/>
        <v>#N/A</v>
      </c>
      <c r="AD792" s="616" t="e">
        <f t="shared" si="994"/>
        <v>#N/A</v>
      </c>
      <c r="AE792" s="616" t="e">
        <f t="shared" si="994"/>
        <v>#N/A</v>
      </c>
      <c r="AF792" s="616" t="e">
        <f t="shared" si="994"/>
        <v>#N/A</v>
      </c>
      <c r="AG792" s="616" t="e">
        <f t="shared" si="994"/>
        <v>#N/A</v>
      </c>
      <c r="AH792" s="616" t="e">
        <f t="shared" si="994"/>
        <v>#N/A</v>
      </c>
      <c r="AI792" s="616" t="e">
        <f t="shared" si="994"/>
        <v>#N/A</v>
      </c>
      <c r="AJ792" s="616" t="e">
        <f t="shared" si="994"/>
        <v>#N/A</v>
      </c>
      <c r="AK792" s="616" t="e">
        <f t="shared" si="994"/>
        <v>#N/A</v>
      </c>
      <c r="AL792" s="616" t="e">
        <f t="shared" si="994"/>
        <v>#N/A</v>
      </c>
      <c r="AM792" s="616" t="e">
        <f t="shared" si="994"/>
        <v>#N/A</v>
      </c>
      <c r="AN792" s="616" t="e">
        <f t="shared" si="994"/>
        <v>#N/A</v>
      </c>
      <c r="AO792" s="616" t="e">
        <f t="shared" si="994"/>
        <v>#N/A</v>
      </c>
      <c r="AP792" s="616" t="e">
        <f t="shared" si="994"/>
        <v>#N/A</v>
      </c>
      <c r="AQ792" s="616" t="e">
        <f t="shared" si="994"/>
        <v>#N/A</v>
      </c>
      <c r="AR792" s="616" t="e">
        <f t="shared" si="994"/>
        <v>#N/A</v>
      </c>
      <c r="AS792" s="616" t="e">
        <f t="shared" si="994"/>
        <v>#N/A</v>
      </c>
      <c r="AT792" s="616" t="e">
        <f t="shared" si="994"/>
        <v>#N/A</v>
      </c>
      <c r="AU792" s="616" t="e">
        <f t="shared" si="994"/>
        <v>#N/A</v>
      </c>
      <c r="AV792" s="616" t="e">
        <f t="shared" si="994"/>
        <v>#N/A</v>
      </c>
      <c r="AW792" s="616" t="e">
        <f t="shared" si="994"/>
        <v>#N/A</v>
      </c>
      <c r="AX792" s="616" t="e">
        <f t="shared" si="994"/>
        <v>#N/A</v>
      </c>
      <c r="AY792" s="616" t="e">
        <f t="shared" si="994"/>
        <v>#N/A</v>
      </c>
      <c r="AZ792" s="616" t="e">
        <f t="shared" si="994"/>
        <v>#N/A</v>
      </c>
      <c r="BA792" s="616" t="e">
        <f t="shared" si="994"/>
        <v>#N/A</v>
      </c>
      <c r="BB792" s="616" t="e">
        <f t="shared" si="994"/>
        <v>#N/A</v>
      </c>
      <c r="BC792" s="616" t="e">
        <f t="shared" si="994"/>
        <v>#N/A</v>
      </c>
      <c r="BD792" s="616" t="e">
        <f t="shared" si="994"/>
        <v>#N/A</v>
      </c>
      <c r="BE792" s="616" t="e">
        <f t="shared" si="994"/>
        <v>#N/A</v>
      </c>
      <c r="BF792" s="616" t="e">
        <f t="shared" si="994"/>
        <v>#N/A</v>
      </c>
      <c r="BG792" s="616" t="e">
        <f t="shared" si="994"/>
        <v>#N/A</v>
      </c>
      <c r="BH792" s="616" t="e">
        <f t="shared" si="994"/>
        <v>#N/A</v>
      </c>
      <c r="BI792" s="616" t="e">
        <f t="shared" si="994"/>
        <v>#N/A</v>
      </c>
      <c r="BJ792" s="616" t="e">
        <f t="shared" si="994"/>
        <v>#N/A</v>
      </c>
      <c r="BK792" s="616" t="e">
        <f t="shared" si="994"/>
        <v>#N/A</v>
      </c>
      <c r="BL792" s="616" t="e">
        <f t="shared" si="994"/>
        <v>#N/A</v>
      </c>
      <c r="BM792" s="616" t="e">
        <f t="shared" si="994"/>
        <v>#N/A</v>
      </c>
      <c r="BN792" s="616" t="e">
        <f t="shared" si="994"/>
        <v>#N/A</v>
      </c>
      <c r="BO792" s="616" t="e">
        <f t="shared" si="994"/>
        <v>#N/A</v>
      </c>
      <c r="BP792" s="616" t="e">
        <f t="shared" si="994"/>
        <v>#N/A</v>
      </c>
      <c r="BQ792" s="616" t="e">
        <f t="shared" si="994"/>
        <v>#N/A</v>
      </c>
      <c r="BR792" s="616" t="e">
        <f t="shared" si="994"/>
        <v>#N/A</v>
      </c>
      <c r="BS792" s="616" t="e">
        <f t="shared" si="994"/>
        <v>#N/A</v>
      </c>
      <c r="BT792" s="616" t="e">
        <f t="shared" si="994"/>
        <v>#N/A</v>
      </c>
      <c r="BU792" s="616" t="e">
        <f t="shared" si="994"/>
        <v>#N/A</v>
      </c>
      <c r="BV792" s="616" t="e">
        <f t="shared" si="994"/>
        <v>#N/A</v>
      </c>
      <c r="BW792" s="616" t="e">
        <f t="shared" si="994"/>
        <v>#N/A</v>
      </c>
      <c r="BX792" s="616" t="e">
        <f t="shared" si="994"/>
        <v>#N/A</v>
      </c>
      <c r="BY792" s="616" t="e">
        <f t="shared" si="994"/>
        <v>#N/A</v>
      </c>
      <c r="BZ792" s="616" t="e">
        <f t="shared" si="994"/>
        <v>#N/A</v>
      </c>
      <c r="CA792" s="616" t="e">
        <f t="shared" si="994"/>
        <v>#N/A</v>
      </c>
      <c r="CB792" s="616" t="e">
        <f t="shared" si="994"/>
        <v>#N/A</v>
      </c>
      <c r="CC792" s="616" t="e">
        <f t="shared" si="994"/>
        <v>#N/A</v>
      </c>
      <c r="CD792" s="616" t="e">
        <f t="shared" si="994"/>
        <v>#N/A</v>
      </c>
      <c r="CE792" s="616" t="e">
        <f t="shared" si="994"/>
        <v>#N/A</v>
      </c>
      <c r="CF792" s="616" t="e">
        <f t="shared" si="994"/>
        <v>#N/A</v>
      </c>
      <c r="CG792" s="616" t="e">
        <f t="shared" si="994"/>
        <v>#N/A</v>
      </c>
      <c r="CH792" s="616" t="e">
        <f t="shared" ref="CH792:CN792" si="995">CH787*$Q$393</f>
        <v>#N/A</v>
      </c>
      <c r="CI792" s="616" t="e">
        <f t="shared" si="995"/>
        <v>#N/A</v>
      </c>
      <c r="CJ792" s="616" t="e">
        <f t="shared" si="995"/>
        <v>#N/A</v>
      </c>
      <c r="CK792" s="616" t="e">
        <f t="shared" si="995"/>
        <v>#N/A</v>
      </c>
      <c r="CL792" s="616" t="e">
        <f t="shared" si="995"/>
        <v>#N/A</v>
      </c>
      <c r="CM792" s="616" t="e">
        <f t="shared" si="995"/>
        <v>#N/A</v>
      </c>
      <c r="CN792" s="616" t="e">
        <f t="shared" si="995"/>
        <v>#N/A</v>
      </c>
    </row>
    <row r="793" spans="8:93">
      <c r="H793" s="602" t="s">
        <v>940</v>
      </c>
      <c r="L793" s="618" t="s">
        <v>1303</v>
      </c>
      <c r="M793" s="600" t="s">
        <v>974</v>
      </c>
      <c r="N793" s="615" t="e">
        <f>SUM(U793:AF793)</f>
        <v>#N/A</v>
      </c>
      <c r="O793" s="615" t="e">
        <f>SUM(AG793:AR793)</f>
        <v>#N/A</v>
      </c>
      <c r="P793" s="615" t="e">
        <f>SUM(AS793:BD793)</f>
        <v>#N/A</v>
      </c>
      <c r="Q793" s="615" t="e">
        <f>SUM(BE793:BP793)</f>
        <v>#N/A</v>
      </c>
      <c r="R793" s="615" t="e">
        <f>SUM(BQ793:CB793)</f>
        <v>#N/A</v>
      </c>
      <c r="S793" s="615" t="e">
        <f>SUM(CC793:CN793)</f>
        <v>#N/A</v>
      </c>
      <c r="U793" s="616" t="e">
        <f>U788*$Q$394</f>
        <v>#N/A</v>
      </c>
      <c r="V793" s="616" t="e">
        <f t="shared" ref="V793:CG793" si="996">V788*$Q$394</f>
        <v>#N/A</v>
      </c>
      <c r="W793" s="616" t="e">
        <f t="shared" si="996"/>
        <v>#N/A</v>
      </c>
      <c r="X793" s="616" t="e">
        <f t="shared" si="996"/>
        <v>#N/A</v>
      </c>
      <c r="Y793" s="616" t="e">
        <f t="shared" si="996"/>
        <v>#N/A</v>
      </c>
      <c r="Z793" s="616" t="e">
        <f t="shared" si="996"/>
        <v>#N/A</v>
      </c>
      <c r="AA793" s="616" t="e">
        <f t="shared" si="996"/>
        <v>#N/A</v>
      </c>
      <c r="AB793" s="616" t="e">
        <f t="shared" si="996"/>
        <v>#N/A</v>
      </c>
      <c r="AC793" s="616" t="e">
        <f t="shared" si="996"/>
        <v>#N/A</v>
      </c>
      <c r="AD793" s="616" t="e">
        <f t="shared" si="996"/>
        <v>#N/A</v>
      </c>
      <c r="AE793" s="616" t="e">
        <f t="shared" si="996"/>
        <v>#N/A</v>
      </c>
      <c r="AF793" s="616" t="e">
        <f t="shared" si="996"/>
        <v>#N/A</v>
      </c>
      <c r="AG793" s="616" t="e">
        <f t="shared" si="996"/>
        <v>#N/A</v>
      </c>
      <c r="AH793" s="616" t="e">
        <f t="shared" si="996"/>
        <v>#N/A</v>
      </c>
      <c r="AI793" s="616" t="e">
        <f t="shared" si="996"/>
        <v>#N/A</v>
      </c>
      <c r="AJ793" s="616" t="e">
        <f t="shared" si="996"/>
        <v>#N/A</v>
      </c>
      <c r="AK793" s="616" t="e">
        <f t="shared" si="996"/>
        <v>#N/A</v>
      </c>
      <c r="AL793" s="616" t="e">
        <f t="shared" si="996"/>
        <v>#N/A</v>
      </c>
      <c r="AM793" s="616" t="e">
        <f t="shared" si="996"/>
        <v>#N/A</v>
      </c>
      <c r="AN793" s="616" t="e">
        <f t="shared" si="996"/>
        <v>#N/A</v>
      </c>
      <c r="AO793" s="616" t="e">
        <f t="shared" si="996"/>
        <v>#N/A</v>
      </c>
      <c r="AP793" s="616" t="e">
        <f t="shared" si="996"/>
        <v>#N/A</v>
      </c>
      <c r="AQ793" s="616" t="e">
        <f t="shared" si="996"/>
        <v>#N/A</v>
      </c>
      <c r="AR793" s="616" t="e">
        <f t="shared" si="996"/>
        <v>#N/A</v>
      </c>
      <c r="AS793" s="616" t="e">
        <f t="shared" si="996"/>
        <v>#N/A</v>
      </c>
      <c r="AT793" s="616" t="e">
        <f t="shared" si="996"/>
        <v>#N/A</v>
      </c>
      <c r="AU793" s="616" t="e">
        <f t="shared" si="996"/>
        <v>#N/A</v>
      </c>
      <c r="AV793" s="616" t="e">
        <f t="shared" si="996"/>
        <v>#N/A</v>
      </c>
      <c r="AW793" s="616" t="e">
        <f t="shared" si="996"/>
        <v>#N/A</v>
      </c>
      <c r="AX793" s="616" t="e">
        <f t="shared" si="996"/>
        <v>#N/A</v>
      </c>
      <c r="AY793" s="616" t="e">
        <f t="shared" si="996"/>
        <v>#N/A</v>
      </c>
      <c r="AZ793" s="616" t="e">
        <f t="shared" si="996"/>
        <v>#N/A</v>
      </c>
      <c r="BA793" s="616" t="e">
        <f t="shared" si="996"/>
        <v>#N/A</v>
      </c>
      <c r="BB793" s="616" t="e">
        <f t="shared" si="996"/>
        <v>#N/A</v>
      </c>
      <c r="BC793" s="616" t="e">
        <f t="shared" si="996"/>
        <v>#N/A</v>
      </c>
      <c r="BD793" s="616" t="e">
        <f t="shared" si="996"/>
        <v>#N/A</v>
      </c>
      <c r="BE793" s="616" t="e">
        <f t="shared" si="996"/>
        <v>#N/A</v>
      </c>
      <c r="BF793" s="616" t="e">
        <f t="shared" si="996"/>
        <v>#N/A</v>
      </c>
      <c r="BG793" s="616" t="e">
        <f t="shared" si="996"/>
        <v>#N/A</v>
      </c>
      <c r="BH793" s="616" t="e">
        <f t="shared" si="996"/>
        <v>#N/A</v>
      </c>
      <c r="BI793" s="616" t="e">
        <f t="shared" si="996"/>
        <v>#N/A</v>
      </c>
      <c r="BJ793" s="616" t="e">
        <f t="shared" si="996"/>
        <v>#N/A</v>
      </c>
      <c r="BK793" s="616" t="e">
        <f t="shared" si="996"/>
        <v>#N/A</v>
      </c>
      <c r="BL793" s="616" t="e">
        <f t="shared" si="996"/>
        <v>#N/A</v>
      </c>
      <c r="BM793" s="616" t="e">
        <f t="shared" si="996"/>
        <v>#N/A</v>
      </c>
      <c r="BN793" s="616" t="e">
        <f t="shared" si="996"/>
        <v>#N/A</v>
      </c>
      <c r="BO793" s="616" t="e">
        <f t="shared" si="996"/>
        <v>#N/A</v>
      </c>
      <c r="BP793" s="616" t="e">
        <f t="shared" si="996"/>
        <v>#N/A</v>
      </c>
      <c r="BQ793" s="616" t="e">
        <f t="shared" si="996"/>
        <v>#N/A</v>
      </c>
      <c r="BR793" s="616" t="e">
        <f t="shared" si="996"/>
        <v>#N/A</v>
      </c>
      <c r="BS793" s="616" t="e">
        <f t="shared" si="996"/>
        <v>#N/A</v>
      </c>
      <c r="BT793" s="616" t="e">
        <f t="shared" si="996"/>
        <v>#N/A</v>
      </c>
      <c r="BU793" s="616" t="e">
        <f t="shared" si="996"/>
        <v>#N/A</v>
      </c>
      <c r="BV793" s="616" t="e">
        <f t="shared" si="996"/>
        <v>#N/A</v>
      </c>
      <c r="BW793" s="616" t="e">
        <f t="shared" si="996"/>
        <v>#N/A</v>
      </c>
      <c r="BX793" s="616" t="e">
        <f t="shared" si="996"/>
        <v>#N/A</v>
      </c>
      <c r="BY793" s="616" t="e">
        <f t="shared" si="996"/>
        <v>#N/A</v>
      </c>
      <c r="BZ793" s="616" t="e">
        <f t="shared" si="996"/>
        <v>#N/A</v>
      </c>
      <c r="CA793" s="616" t="e">
        <f t="shared" si="996"/>
        <v>#N/A</v>
      </c>
      <c r="CB793" s="616" t="e">
        <f t="shared" si="996"/>
        <v>#N/A</v>
      </c>
      <c r="CC793" s="616" t="e">
        <f t="shared" si="996"/>
        <v>#N/A</v>
      </c>
      <c r="CD793" s="616" t="e">
        <f t="shared" si="996"/>
        <v>#N/A</v>
      </c>
      <c r="CE793" s="616" t="e">
        <f t="shared" si="996"/>
        <v>#N/A</v>
      </c>
      <c r="CF793" s="616" t="e">
        <f t="shared" si="996"/>
        <v>#N/A</v>
      </c>
      <c r="CG793" s="616" t="e">
        <f t="shared" si="996"/>
        <v>#N/A</v>
      </c>
      <c r="CH793" s="616" t="e">
        <f t="shared" ref="CH793:CN793" si="997">CH788*$Q$394</f>
        <v>#N/A</v>
      </c>
      <c r="CI793" s="616" t="e">
        <f t="shared" si="997"/>
        <v>#N/A</v>
      </c>
      <c r="CJ793" s="616" t="e">
        <f t="shared" si="997"/>
        <v>#N/A</v>
      </c>
      <c r="CK793" s="616" t="e">
        <f t="shared" si="997"/>
        <v>#N/A</v>
      </c>
      <c r="CL793" s="616" t="e">
        <f t="shared" si="997"/>
        <v>#N/A</v>
      </c>
      <c r="CM793" s="616" t="e">
        <f t="shared" si="997"/>
        <v>#N/A</v>
      </c>
      <c r="CN793" s="616" t="e">
        <f t="shared" si="997"/>
        <v>#N/A</v>
      </c>
    </row>
    <row r="794" spans="8:93">
      <c r="H794" s="602" t="s">
        <v>940</v>
      </c>
      <c r="L794" s="618"/>
      <c r="M794" s="600"/>
      <c r="N794" s="615"/>
      <c r="O794" s="615"/>
      <c r="P794" s="615"/>
      <c r="Q794" s="615"/>
      <c r="R794" s="615"/>
      <c r="S794" s="615"/>
      <c r="U794" s="616"/>
      <c r="V794" s="616"/>
      <c r="W794" s="616"/>
      <c r="X794" s="616"/>
      <c r="Y794" s="616"/>
      <c r="Z794" s="616"/>
      <c r="AA794" s="616"/>
      <c r="AB794" s="616"/>
      <c r="AC794" s="616"/>
      <c r="AD794" s="616"/>
      <c r="AE794" s="616"/>
      <c r="AF794" s="616"/>
      <c r="AG794" s="616"/>
      <c r="AH794" s="616"/>
      <c r="AI794" s="616"/>
      <c r="AJ794" s="616"/>
      <c r="AK794" s="616"/>
      <c r="AL794" s="616"/>
      <c r="AM794" s="616"/>
      <c r="AN794" s="616"/>
      <c r="AO794" s="616"/>
      <c r="AP794" s="616"/>
      <c r="AQ794" s="616"/>
      <c r="AR794" s="616"/>
      <c r="AS794" s="616"/>
      <c r="AT794" s="616"/>
      <c r="AU794" s="616"/>
      <c r="AV794" s="616"/>
      <c r="AW794" s="616"/>
      <c r="AX794" s="616"/>
      <c r="AY794" s="616"/>
      <c r="AZ794" s="616"/>
      <c r="BA794" s="616"/>
      <c r="BB794" s="616"/>
      <c r="BC794" s="616"/>
      <c r="BD794" s="616"/>
      <c r="BE794" s="616"/>
      <c r="BF794" s="616"/>
      <c r="BG794" s="616"/>
      <c r="BH794" s="616"/>
      <c r="BI794" s="616"/>
      <c r="BJ794" s="616"/>
      <c r="BK794" s="616"/>
      <c r="BL794" s="616"/>
      <c r="BM794" s="616"/>
      <c r="BN794" s="616"/>
      <c r="BO794" s="616"/>
      <c r="BP794" s="616"/>
      <c r="BQ794" s="616"/>
      <c r="BR794" s="616"/>
      <c r="BS794" s="616"/>
      <c r="BT794" s="616"/>
      <c r="BU794" s="616"/>
      <c r="BV794" s="616"/>
      <c r="BW794" s="616"/>
      <c r="BX794" s="616"/>
      <c r="BY794" s="616"/>
      <c r="BZ794" s="616"/>
      <c r="CA794" s="616"/>
      <c r="CB794" s="616"/>
      <c r="CC794" s="616"/>
      <c r="CD794" s="616"/>
      <c r="CE794" s="616"/>
      <c r="CF794" s="616"/>
      <c r="CG794" s="616"/>
      <c r="CH794" s="616"/>
      <c r="CI794" s="616"/>
      <c r="CJ794" s="616"/>
      <c r="CK794" s="616"/>
      <c r="CL794" s="616"/>
      <c r="CM794" s="616"/>
      <c r="CN794" s="616"/>
    </row>
    <row r="795" spans="8:93">
      <c r="H795" s="602" t="s">
        <v>940</v>
      </c>
      <c r="L795" s="618" t="s">
        <v>1247</v>
      </c>
      <c r="M795" s="600" t="s">
        <v>974</v>
      </c>
      <c r="N795" s="615">
        <f>SUM(U795:AF795)</f>
        <v>0</v>
      </c>
      <c r="O795" s="615">
        <f>SUM(AG795:AR795)</f>
        <v>0</v>
      </c>
      <c r="P795" s="615">
        <f>SUM(AS795:BD795)</f>
        <v>0</v>
      </c>
      <c r="Q795" s="615">
        <f>SUM(BE795:BP795)</f>
        <v>0</v>
      </c>
      <c r="R795" s="615">
        <f>SUM(BQ795:CB795)</f>
        <v>0</v>
      </c>
      <c r="S795" s="615">
        <f>SUM(CC795:CN795)</f>
        <v>0</v>
      </c>
      <c r="U795" s="686"/>
      <c r="V795" s="686"/>
      <c r="W795" s="686"/>
      <c r="X795" s="686"/>
      <c r="Y795" s="686"/>
      <c r="Z795" s="686"/>
      <c r="AA795" s="686"/>
      <c r="AB795" s="686"/>
      <c r="AC795" s="686"/>
      <c r="AD795" s="686"/>
      <c r="AE795" s="686"/>
      <c r="AF795" s="686"/>
      <c r="AG795" s="686"/>
      <c r="AH795" s="686"/>
      <c r="AI795" s="686"/>
      <c r="AJ795" s="686"/>
      <c r="AK795" s="686"/>
      <c r="AL795" s="686"/>
      <c r="AM795" s="686"/>
      <c r="AN795" s="686"/>
      <c r="AO795" s="686"/>
      <c r="AP795" s="686"/>
      <c r="AQ795" s="686"/>
      <c r="AR795" s="686"/>
      <c r="AS795" s="686"/>
      <c r="AT795" s="686"/>
      <c r="AU795" s="686"/>
      <c r="AV795" s="686"/>
      <c r="AW795" s="686"/>
      <c r="AX795" s="686"/>
      <c r="AY795" s="686"/>
      <c r="AZ795" s="686"/>
      <c r="BA795" s="686"/>
      <c r="BB795" s="686"/>
      <c r="BC795" s="686"/>
      <c r="BD795" s="686"/>
      <c r="BE795" s="686"/>
      <c r="BF795" s="686"/>
      <c r="BG795" s="686"/>
      <c r="BH795" s="686"/>
      <c r="BI795" s="686"/>
      <c r="BJ795" s="686"/>
      <c r="BK795" s="686"/>
      <c r="BL795" s="686"/>
      <c r="BM795" s="686"/>
      <c r="BN795" s="686"/>
      <c r="BO795" s="686"/>
      <c r="BP795" s="686"/>
      <c r="BQ795" s="686"/>
      <c r="BR795" s="686"/>
      <c r="BS795" s="686"/>
      <c r="BT795" s="686"/>
      <c r="BU795" s="686"/>
      <c r="BV795" s="686"/>
      <c r="BW795" s="686"/>
      <c r="BX795" s="686"/>
      <c r="BY795" s="686"/>
      <c r="BZ795" s="686"/>
      <c r="CA795" s="686"/>
      <c r="CB795" s="686"/>
      <c r="CC795" s="686"/>
      <c r="CD795" s="686"/>
      <c r="CE795" s="686"/>
      <c r="CF795" s="686"/>
      <c r="CG795" s="686"/>
      <c r="CH795" s="686"/>
      <c r="CI795" s="686"/>
      <c r="CJ795" s="686"/>
      <c r="CK795" s="686"/>
      <c r="CL795" s="686"/>
      <c r="CM795" s="686"/>
      <c r="CN795" s="686"/>
      <c r="CO795" s="556" t="s">
        <v>1272</v>
      </c>
    </row>
    <row r="796" spans="8:93">
      <c r="H796" s="602" t="s">
        <v>940</v>
      </c>
      <c r="L796" s="618" t="s">
        <v>908</v>
      </c>
      <c r="M796" s="600" t="s">
        <v>974</v>
      </c>
      <c r="N796" s="615" t="e">
        <f>SUM(U796:AF796)</f>
        <v>#N/A</v>
      </c>
      <c r="O796" s="615" t="e">
        <f>SUM(AG796:AR796)</f>
        <v>#N/A</v>
      </c>
      <c r="P796" s="615" t="e">
        <f>SUM(AS796:BD796)</f>
        <v>#N/A</v>
      </c>
      <c r="Q796" s="615" t="e">
        <f>SUM(BE796:BP796)</f>
        <v>#N/A</v>
      </c>
      <c r="R796" s="615" t="e">
        <f>SUM(BQ796:CB796)</f>
        <v>#N/A</v>
      </c>
      <c r="S796" s="615" t="e">
        <f>SUM(CC796:CN796)</f>
        <v>#N/A</v>
      </c>
      <c r="U796" s="616" t="e">
        <f>U783*$Q$373</f>
        <v>#N/A</v>
      </c>
      <c r="V796" s="616" t="e">
        <f t="shared" ref="V796:CG796" si="998">V783*$Q$373</f>
        <v>#N/A</v>
      </c>
      <c r="W796" s="616" t="e">
        <f t="shared" si="998"/>
        <v>#N/A</v>
      </c>
      <c r="X796" s="616" t="e">
        <f t="shared" si="998"/>
        <v>#N/A</v>
      </c>
      <c r="Y796" s="616" t="e">
        <f t="shared" si="998"/>
        <v>#N/A</v>
      </c>
      <c r="Z796" s="616" t="e">
        <f t="shared" si="998"/>
        <v>#N/A</v>
      </c>
      <c r="AA796" s="616" t="e">
        <f t="shared" si="998"/>
        <v>#N/A</v>
      </c>
      <c r="AB796" s="616" t="e">
        <f t="shared" si="998"/>
        <v>#N/A</v>
      </c>
      <c r="AC796" s="616" t="e">
        <f t="shared" si="998"/>
        <v>#N/A</v>
      </c>
      <c r="AD796" s="616" t="e">
        <f t="shared" si="998"/>
        <v>#N/A</v>
      </c>
      <c r="AE796" s="616" t="e">
        <f t="shared" si="998"/>
        <v>#N/A</v>
      </c>
      <c r="AF796" s="616" t="e">
        <f t="shared" si="998"/>
        <v>#N/A</v>
      </c>
      <c r="AG796" s="616" t="e">
        <f t="shared" si="998"/>
        <v>#N/A</v>
      </c>
      <c r="AH796" s="616" t="e">
        <f t="shared" si="998"/>
        <v>#N/A</v>
      </c>
      <c r="AI796" s="616" t="e">
        <f t="shared" si="998"/>
        <v>#N/A</v>
      </c>
      <c r="AJ796" s="616" t="e">
        <f t="shared" si="998"/>
        <v>#N/A</v>
      </c>
      <c r="AK796" s="616" t="e">
        <f t="shared" si="998"/>
        <v>#N/A</v>
      </c>
      <c r="AL796" s="616" t="e">
        <f t="shared" si="998"/>
        <v>#N/A</v>
      </c>
      <c r="AM796" s="616" t="e">
        <f t="shared" si="998"/>
        <v>#N/A</v>
      </c>
      <c r="AN796" s="616" t="e">
        <f t="shared" si="998"/>
        <v>#N/A</v>
      </c>
      <c r="AO796" s="616" t="e">
        <f t="shared" si="998"/>
        <v>#N/A</v>
      </c>
      <c r="AP796" s="616" t="e">
        <f t="shared" si="998"/>
        <v>#N/A</v>
      </c>
      <c r="AQ796" s="616" t="e">
        <f t="shared" si="998"/>
        <v>#N/A</v>
      </c>
      <c r="AR796" s="616" t="e">
        <f t="shared" si="998"/>
        <v>#N/A</v>
      </c>
      <c r="AS796" s="616" t="e">
        <f t="shared" si="998"/>
        <v>#N/A</v>
      </c>
      <c r="AT796" s="616" t="e">
        <f t="shared" si="998"/>
        <v>#N/A</v>
      </c>
      <c r="AU796" s="616" t="e">
        <f t="shared" si="998"/>
        <v>#N/A</v>
      </c>
      <c r="AV796" s="616" t="e">
        <f t="shared" si="998"/>
        <v>#N/A</v>
      </c>
      <c r="AW796" s="616" t="e">
        <f t="shared" si="998"/>
        <v>#N/A</v>
      </c>
      <c r="AX796" s="616" t="e">
        <f t="shared" si="998"/>
        <v>#N/A</v>
      </c>
      <c r="AY796" s="616" t="e">
        <f t="shared" si="998"/>
        <v>#N/A</v>
      </c>
      <c r="AZ796" s="616" t="e">
        <f t="shared" si="998"/>
        <v>#N/A</v>
      </c>
      <c r="BA796" s="616" t="e">
        <f t="shared" si="998"/>
        <v>#N/A</v>
      </c>
      <c r="BB796" s="616" t="e">
        <f t="shared" si="998"/>
        <v>#N/A</v>
      </c>
      <c r="BC796" s="616" t="e">
        <f t="shared" si="998"/>
        <v>#N/A</v>
      </c>
      <c r="BD796" s="616" t="e">
        <f t="shared" si="998"/>
        <v>#N/A</v>
      </c>
      <c r="BE796" s="616" t="e">
        <f t="shared" si="998"/>
        <v>#N/A</v>
      </c>
      <c r="BF796" s="616" t="e">
        <f t="shared" si="998"/>
        <v>#N/A</v>
      </c>
      <c r="BG796" s="616" t="e">
        <f t="shared" si="998"/>
        <v>#N/A</v>
      </c>
      <c r="BH796" s="616" t="e">
        <f t="shared" si="998"/>
        <v>#N/A</v>
      </c>
      <c r="BI796" s="616" t="e">
        <f t="shared" si="998"/>
        <v>#N/A</v>
      </c>
      <c r="BJ796" s="616" t="e">
        <f t="shared" si="998"/>
        <v>#N/A</v>
      </c>
      <c r="BK796" s="616" t="e">
        <f t="shared" si="998"/>
        <v>#N/A</v>
      </c>
      <c r="BL796" s="616" t="e">
        <f t="shared" si="998"/>
        <v>#N/A</v>
      </c>
      <c r="BM796" s="616" t="e">
        <f t="shared" si="998"/>
        <v>#N/A</v>
      </c>
      <c r="BN796" s="616" t="e">
        <f t="shared" si="998"/>
        <v>#N/A</v>
      </c>
      <c r="BO796" s="616" t="e">
        <f t="shared" si="998"/>
        <v>#N/A</v>
      </c>
      <c r="BP796" s="616" t="e">
        <f t="shared" si="998"/>
        <v>#N/A</v>
      </c>
      <c r="BQ796" s="616" t="e">
        <f t="shared" si="998"/>
        <v>#N/A</v>
      </c>
      <c r="BR796" s="616" t="e">
        <f t="shared" si="998"/>
        <v>#N/A</v>
      </c>
      <c r="BS796" s="616" t="e">
        <f t="shared" si="998"/>
        <v>#N/A</v>
      </c>
      <c r="BT796" s="616" t="e">
        <f t="shared" si="998"/>
        <v>#N/A</v>
      </c>
      <c r="BU796" s="616" t="e">
        <f t="shared" si="998"/>
        <v>#N/A</v>
      </c>
      <c r="BV796" s="616" t="e">
        <f t="shared" si="998"/>
        <v>#N/A</v>
      </c>
      <c r="BW796" s="616" t="e">
        <f t="shared" si="998"/>
        <v>#N/A</v>
      </c>
      <c r="BX796" s="616" t="e">
        <f t="shared" si="998"/>
        <v>#N/A</v>
      </c>
      <c r="BY796" s="616" t="e">
        <f t="shared" si="998"/>
        <v>#N/A</v>
      </c>
      <c r="BZ796" s="616" t="e">
        <f t="shared" si="998"/>
        <v>#N/A</v>
      </c>
      <c r="CA796" s="616" t="e">
        <f t="shared" si="998"/>
        <v>#N/A</v>
      </c>
      <c r="CB796" s="616" t="e">
        <f t="shared" si="998"/>
        <v>#N/A</v>
      </c>
      <c r="CC796" s="616" t="e">
        <f t="shared" si="998"/>
        <v>#N/A</v>
      </c>
      <c r="CD796" s="616" t="e">
        <f t="shared" si="998"/>
        <v>#N/A</v>
      </c>
      <c r="CE796" s="616" t="e">
        <f t="shared" si="998"/>
        <v>#N/A</v>
      </c>
      <c r="CF796" s="616" t="e">
        <f t="shared" si="998"/>
        <v>#N/A</v>
      </c>
      <c r="CG796" s="616" t="e">
        <f t="shared" si="998"/>
        <v>#N/A</v>
      </c>
      <c r="CH796" s="616" t="e">
        <f t="shared" ref="CH796:CN796" si="999">CH783*$Q$373</f>
        <v>#N/A</v>
      </c>
      <c r="CI796" s="616" t="e">
        <f t="shared" si="999"/>
        <v>#N/A</v>
      </c>
      <c r="CJ796" s="616" t="e">
        <f t="shared" si="999"/>
        <v>#N/A</v>
      </c>
      <c r="CK796" s="616" t="e">
        <f t="shared" si="999"/>
        <v>#N/A</v>
      </c>
      <c r="CL796" s="616" t="e">
        <f t="shared" si="999"/>
        <v>#N/A</v>
      </c>
      <c r="CM796" s="616" t="e">
        <f t="shared" si="999"/>
        <v>#N/A</v>
      </c>
      <c r="CN796" s="616" t="e">
        <f t="shared" si="999"/>
        <v>#N/A</v>
      </c>
    </row>
    <row r="797" spans="8:93">
      <c r="H797" s="602" t="s">
        <v>940</v>
      </c>
      <c r="L797" s="618" t="s">
        <v>1304</v>
      </c>
      <c r="M797" s="600" t="s">
        <v>974</v>
      </c>
      <c r="N797" s="615" t="e">
        <f>SUM(U797:AF797)</f>
        <v>#N/A</v>
      </c>
      <c r="O797" s="615" t="e">
        <f>SUM(AG797:AR797)</f>
        <v>#N/A</v>
      </c>
      <c r="P797" s="615" t="e">
        <f>SUM(AS797:BD797)</f>
        <v>#N/A</v>
      </c>
      <c r="Q797" s="615" t="e">
        <f>SUM(BE797:BP797)</f>
        <v>#N/A</v>
      </c>
      <c r="R797" s="615" t="e">
        <f>SUM(BQ797:CB797)</f>
        <v>#N/A</v>
      </c>
      <c r="S797" s="615" t="e">
        <f>SUM(CC797:CN797)</f>
        <v>#N/A</v>
      </c>
      <c r="U797" s="616" t="e">
        <f t="shared" ref="U797:CF797" si="1000">SUM(U790:U793,U795:U796)</f>
        <v>#N/A</v>
      </c>
      <c r="V797" s="616" t="e">
        <f t="shared" si="1000"/>
        <v>#N/A</v>
      </c>
      <c r="W797" s="616" t="e">
        <f t="shared" si="1000"/>
        <v>#N/A</v>
      </c>
      <c r="X797" s="616" t="e">
        <f t="shared" si="1000"/>
        <v>#N/A</v>
      </c>
      <c r="Y797" s="616" t="e">
        <f t="shared" si="1000"/>
        <v>#N/A</v>
      </c>
      <c r="Z797" s="616" t="e">
        <f t="shared" si="1000"/>
        <v>#N/A</v>
      </c>
      <c r="AA797" s="616" t="e">
        <f t="shared" si="1000"/>
        <v>#N/A</v>
      </c>
      <c r="AB797" s="616" t="e">
        <f t="shared" si="1000"/>
        <v>#N/A</v>
      </c>
      <c r="AC797" s="616" t="e">
        <f t="shared" si="1000"/>
        <v>#N/A</v>
      </c>
      <c r="AD797" s="616" t="e">
        <f t="shared" si="1000"/>
        <v>#N/A</v>
      </c>
      <c r="AE797" s="616" t="e">
        <f t="shared" si="1000"/>
        <v>#N/A</v>
      </c>
      <c r="AF797" s="616" t="e">
        <f t="shared" si="1000"/>
        <v>#N/A</v>
      </c>
      <c r="AG797" s="616" t="e">
        <f t="shared" si="1000"/>
        <v>#N/A</v>
      </c>
      <c r="AH797" s="616" t="e">
        <f t="shared" si="1000"/>
        <v>#N/A</v>
      </c>
      <c r="AI797" s="616" t="e">
        <f t="shared" si="1000"/>
        <v>#N/A</v>
      </c>
      <c r="AJ797" s="616" t="e">
        <f t="shared" si="1000"/>
        <v>#N/A</v>
      </c>
      <c r="AK797" s="616" t="e">
        <f t="shared" si="1000"/>
        <v>#N/A</v>
      </c>
      <c r="AL797" s="616" t="e">
        <f t="shared" si="1000"/>
        <v>#N/A</v>
      </c>
      <c r="AM797" s="616" t="e">
        <f t="shared" si="1000"/>
        <v>#N/A</v>
      </c>
      <c r="AN797" s="616" t="e">
        <f t="shared" si="1000"/>
        <v>#N/A</v>
      </c>
      <c r="AO797" s="616" t="e">
        <f t="shared" si="1000"/>
        <v>#N/A</v>
      </c>
      <c r="AP797" s="616" t="e">
        <f t="shared" si="1000"/>
        <v>#N/A</v>
      </c>
      <c r="AQ797" s="616" t="e">
        <f t="shared" si="1000"/>
        <v>#N/A</v>
      </c>
      <c r="AR797" s="616" t="e">
        <f t="shared" si="1000"/>
        <v>#N/A</v>
      </c>
      <c r="AS797" s="616" t="e">
        <f t="shared" si="1000"/>
        <v>#N/A</v>
      </c>
      <c r="AT797" s="616" t="e">
        <f t="shared" si="1000"/>
        <v>#N/A</v>
      </c>
      <c r="AU797" s="616" t="e">
        <f t="shared" si="1000"/>
        <v>#N/A</v>
      </c>
      <c r="AV797" s="616" t="e">
        <f t="shared" si="1000"/>
        <v>#N/A</v>
      </c>
      <c r="AW797" s="616" t="e">
        <f t="shared" si="1000"/>
        <v>#N/A</v>
      </c>
      <c r="AX797" s="616" t="e">
        <f t="shared" si="1000"/>
        <v>#N/A</v>
      </c>
      <c r="AY797" s="616" t="e">
        <f t="shared" si="1000"/>
        <v>#N/A</v>
      </c>
      <c r="AZ797" s="616" t="e">
        <f t="shared" si="1000"/>
        <v>#N/A</v>
      </c>
      <c r="BA797" s="616" t="e">
        <f t="shared" si="1000"/>
        <v>#N/A</v>
      </c>
      <c r="BB797" s="616" t="e">
        <f t="shared" si="1000"/>
        <v>#N/A</v>
      </c>
      <c r="BC797" s="616" t="e">
        <f t="shared" si="1000"/>
        <v>#N/A</v>
      </c>
      <c r="BD797" s="616" t="e">
        <f t="shared" si="1000"/>
        <v>#N/A</v>
      </c>
      <c r="BE797" s="616" t="e">
        <f t="shared" si="1000"/>
        <v>#N/A</v>
      </c>
      <c r="BF797" s="616" t="e">
        <f t="shared" si="1000"/>
        <v>#N/A</v>
      </c>
      <c r="BG797" s="616" t="e">
        <f t="shared" si="1000"/>
        <v>#N/A</v>
      </c>
      <c r="BH797" s="616" t="e">
        <f t="shared" si="1000"/>
        <v>#N/A</v>
      </c>
      <c r="BI797" s="616" t="e">
        <f t="shared" si="1000"/>
        <v>#N/A</v>
      </c>
      <c r="BJ797" s="616" t="e">
        <f t="shared" si="1000"/>
        <v>#N/A</v>
      </c>
      <c r="BK797" s="616" t="e">
        <f t="shared" si="1000"/>
        <v>#N/A</v>
      </c>
      <c r="BL797" s="616" t="e">
        <f t="shared" si="1000"/>
        <v>#N/A</v>
      </c>
      <c r="BM797" s="616" t="e">
        <f t="shared" si="1000"/>
        <v>#N/A</v>
      </c>
      <c r="BN797" s="616" t="e">
        <f t="shared" si="1000"/>
        <v>#N/A</v>
      </c>
      <c r="BO797" s="616" t="e">
        <f t="shared" si="1000"/>
        <v>#N/A</v>
      </c>
      <c r="BP797" s="616" t="e">
        <f t="shared" si="1000"/>
        <v>#N/A</v>
      </c>
      <c r="BQ797" s="616" t="e">
        <f t="shared" si="1000"/>
        <v>#N/A</v>
      </c>
      <c r="BR797" s="616" t="e">
        <f t="shared" si="1000"/>
        <v>#N/A</v>
      </c>
      <c r="BS797" s="616" t="e">
        <f t="shared" si="1000"/>
        <v>#N/A</v>
      </c>
      <c r="BT797" s="616" t="e">
        <f t="shared" si="1000"/>
        <v>#N/A</v>
      </c>
      <c r="BU797" s="616" t="e">
        <f t="shared" si="1000"/>
        <v>#N/A</v>
      </c>
      <c r="BV797" s="616" t="e">
        <f t="shared" si="1000"/>
        <v>#N/A</v>
      </c>
      <c r="BW797" s="616" t="e">
        <f t="shared" si="1000"/>
        <v>#N/A</v>
      </c>
      <c r="BX797" s="616" t="e">
        <f t="shared" si="1000"/>
        <v>#N/A</v>
      </c>
      <c r="BY797" s="616" t="e">
        <f t="shared" si="1000"/>
        <v>#N/A</v>
      </c>
      <c r="BZ797" s="616" t="e">
        <f t="shared" si="1000"/>
        <v>#N/A</v>
      </c>
      <c r="CA797" s="616" t="e">
        <f t="shared" si="1000"/>
        <v>#N/A</v>
      </c>
      <c r="CB797" s="616" t="e">
        <f t="shared" si="1000"/>
        <v>#N/A</v>
      </c>
      <c r="CC797" s="616" t="e">
        <f t="shared" si="1000"/>
        <v>#N/A</v>
      </c>
      <c r="CD797" s="616" t="e">
        <f t="shared" si="1000"/>
        <v>#N/A</v>
      </c>
      <c r="CE797" s="616" t="e">
        <f t="shared" si="1000"/>
        <v>#N/A</v>
      </c>
      <c r="CF797" s="616" t="e">
        <f t="shared" si="1000"/>
        <v>#N/A</v>
      </c>
      <c r="CG797" s="616" t="e">
        <f t="shared" ref="CG797:CN797" si="1001">SUM(CG790:CG793,CG795:CG796)</f>
        <v>#N/A</v>
      </c>
      <c r="CH797" s="616" t="e">
        <f t="shared" si="1001"/>
        <v>#N/A</v>
      </c>
      <c r="CI797" s="616" t="e">
        <f t="shared" si="1001"/>
        <v>#N/A</v>
      </c>
      <c r="CJ797" s="616" t="e">
        <f t="shared" si="1001"/>
        <v>#N/A</v>
      </c>
      <c r="CK797" s="616" t="e">
        <f t="shared" si="1001"/>
        <v>#N/A</v>
      </c>
      <c r="CL797" s="616" t="e">
        <f t="shared" si="1001"/>
        <v>#N/A</v>
      </c>
      <c r="CM797" s="616" t="e">
        <f t="shared" si="1001"/>
        <v>#N/A</v>
      </c>
      <c r="CN797" s="616" t="e">
        <f t="shared" si="1001"/>
        <v>#N/A</v>
      </c>
    </row>
    <row r="798" spans="8:93">
      <c r="H798" s="602" t="s">
        <v>940</v>
      </c>
      <c r="L798" s="618" t="s">
        <v>909</v>
      </c>
      <c r="M798" s="600" t="s">
        <v>974</v>
      </c>
      <c r="N798" s="615" t="e">
        <f>SUM(U798:AF798)</f>
        <v>#N/A</v>
      </c>
      <c r="O798" s="615" t="e">
        <f>SUM(AG798:AR798)</f>
        <v>#N/A</v>
      </c>
      <c r="P798" s="615" t="e">
        <f>SUM(AS798:BD798)</f>
        <v>#N/A</v>
      </c>
      <c r="Q798" s="615" t="e">
        <f>SUM(BE798:BP798)</f>
        <v>#N/A</v>
      </c>
      <c r="R798" s="615" t="e">
        <f>SUM(BQ798:CB798)</f>
        <v>#N/A</v>
      </c>
      <c r="S798" s="615" t="e">
        <f>SUM(CC798:CN798)</f>
        <v>#N/A</v>
      </c>
      <c r="U798" s="616" t="e">
        <f t="shared" ref="U798:CF798" si="1002">U797*$Q$374/100</f>
        <v>#N/A</v>
      </c>
      <c r="V798" s="616" t="e">
        <f t="shared" si="1002"/>
        <v>#N/A</v>
      </c>
      <c r="W798" s="616" t="e">
        <f t="shared" si="1002"/>
        <v>#N/A</v>
      </c>
      <c r="X798" s="616" t="e">
        <f t="shared" si="1002"/>
        <v>#N/A</v>
      </c>
      <c r="Y798" s="616" t="e">
        <f t="shared" si="1002"/>
        <v>#N/A</v>
      </c>
      <c r="Z798" s="616" t="e">
        <f t="shared" si="1002"/>
        <v>#N/A</v>
      </c>
      <c r="AA798" s="616" t="e">
        <f t="shared" si="1002"/>
        <v>#N/A</v>
      </c>
      <c r="AB798" s="616" t="e">
        <f t="shared" si="1002"/>
        <v>#N/A</v>
      </c>
      <c r="AC798" s="616" t="e">
        <f t="shared" si="1002"/>
        <v>#N/A</v>
      </c>
      <c r="AD798" s="616" t="e">
        <f t="shared" si="1002"/>
        <v>#N/A</v>
      </c>
      <c r="AE798" s="616" t="e">
        <f t="shared" si="1002"/>
        <v>#N/A</v>
      </c>
      <c r="AF798" s="616" t="e">
        <f t="shared" si="1002"/>
        <v>#N/A</v>
      </c>
      <c r="AG798" s="616" t="e">
        <f t="shared" si="1002"/>
        <v>#N/A</v>
      </c>
      <c r="AH798" s="616" t="e">
        <f t="shared" si="1002"/>
        <v>#N/A</v>
      </c>
      <c r="AI798" s="616" t="e">
        <f t="shared" si="1002"/>
        <v>#N/A</v>
      </c>
      <c r="AJ798" s="616" t="e">
        <f t="shared" si="1002"/>
        <v>#N/A</v>
      </c>
      <c r="AK798" s="616" t="e">
        <f t="shared" si="1002"/>
        <v>#N/A</v>
      </c>
      <c r="AL798" s="616" t="e">
        <f t="shared" si="1002"/>
        <v>#N/A</v>
      </c>
      <c r="AM798" s="616" t="e">
        <f t="shared" si="1002"/>
        <v>#N/A</v>
      </c>
      <c r="AN798" s="616" t="e">
        <f t="shared" si="1002"/>
        <v>#N/A</v>
      </c>
      <c r="AO798" s="616" t="e">
        <f t="shared" si="1002"/>
        <v>#N/A</v>
      </c>
      <c r="AP798" s="616" t="e">
        <f t="shared" si="1002"/>
        <v>#N/A</v>
      </c>
      <c r="AQ798" s="616" t="e">
        <f t="shared" si="1002"/>
        <v>#N/A</v>
      </c>
      <c r="AR798" s="616" t="e">
        <f t="shared" si="1002"/>
        <v>#N/A</v>
      </c>
      <c r="AS798" s="616" t="e">
        <f t="shared" si="1002"/>
        <v>#N/A</v>
      </c>
      <c r="AT798" s="616" t="e">
        <f t="shared" si="1002"/>
        <v>#N/A</v>
      </c>
      <c r="AU798" s="616" t="e">
        <f t="shared" si="1002"/>
        <v>#N/A</v>
      </c>
      <c r="AV798" s="616" t="e">
        <f t="shared" si="1002"/>
        <v>#N/A</v>
      </c>
      <c r="AW798" s="616" t="e">
        <f t="shared" si="1002"/>
        <v>#N/A</v>
      </c>
      <c r="AX798" s="616" t="e">
        <f t="shared" si="1002"/>
        <v>#N/A</v>
      </c>
      <c r="AY798" s="616" t="e">
        <f t="shared" si="1002"/>
        <v>#N/A</v>
      </c>
      <c r="AZ798" s="616" t="e">
        <f t="shared" si="1002"/>
        <v>#N/A</v>
      </c>
      <c r="BA798" s="616" t="e">
        <f t="shared" si="1002"/>
        <v>#N/A</v>
      </c>
      <c r="BB798" s="616" t="e">
        <f t="shared" si="1002"/>
        <v>#N/A</v>
      </c>
      <c r="BC798" s="616" t="e">
        <f t="shared" si="1002"/>
        <v>#N/A</v>
      </c>
      <c r="BD798" s="616" t="e">
        <f t="shared" si="1002"/>
        <v>#N/A</v>
      </c>
      <c r="BE798" s="616" t="e">
        <f t="shared" si="1002"/>
        <v>#N/A</v>
      </c>
      <c r="BF798" s="616" t="e">
        <f t="shared" si="1002"/>
        <v>#N/A</v>
      </c>
      <c r="BG798" s="616" t="e">
        <f t="shared" si="1002"/>
        <v>#N/A</v>
      </c>
      <c r="BH798" s="616" t="e">
        <f t="shared" si="1002"/>
        <v>#N/A</v>
      </c>
      <c r="BI798" s="616" t="e">
        <f t="shared" si="1002"/>
        <v>#N/A</v>
      </c>
      <c r="BJ798" s="616" t="e">
        <f t="shared" si="1002"/>
        <v>#N/A</v>
      </c>
      <c r="BK798" s="616" t="e">
        <f t="shared" si="1002"/>
        <v>#N/A</v>
      </c>
      <c r="BL798" s="616" t="e">
        <f t="shared" si="1002"/>
        <v>#N/A</v>
      </c>
      <c r="BM798" s="616" t="e">
        <f t="shared" si="1002"/>
        <v>#N/A</v>
      </c>
      <c r="BN798" s="616" t="e">
        <f t="shared" si="1002"/>
        <v>#N/A</v>
      </c>
      <c r="BO798" s="616" t="e">
        <f t="shared" si="1002"/>
        <v>#N/A</v>
      </c>
      <c r="BP798" s="616" t="e">
        <f t="shared" si="1002"/>
        <v>#N/A</v>
      </c>
      <c r="BQ798" s="616" t="e">
        <f t="shared" si="1002"/>
        <v>#N/A</v>
      </c>
      <c r="BR798" s="616" t="e">
        <f t="shared" si="1002"/>
        <v>#N/A</v>
      </c>
      <c r="BS798" s="616" t="e">
        <f t="shared" si="1002"/>
        <v>#N/A</v>
      </c>
      <c r="BT798" s="616" t="e">
        <f t="shared" si="1002"/>
        <v>#N/A</v>
      </c>
      <c r="BU798" s="616" t="e">
        <f t="shared" si="1002"/>
        <v>#N/A</v>
      </c>
      <c r="BV798" s="616" t="e">
        <f t="shared" si="1002"/>
        <v>#N/A</v>
      </c>
      <c r="BW798" s="616" t="e">
        <f t="shared" si="1002"/>
        <v>#N/A</v>
      </c>
      <c r="BX798" s="616" t="e">
        <f t="shared" si="1002"/>
        <v>#N/A</v>
      </c>
      <c r="BY798" s="616" t="e">
        <f t="shared" si="1002"/>
        <v>#N/A</v>
      </c>
      <c r="BZ798" s="616" t="e">
        <f t="shared" si="1002"/>
        <v>#N/A</v>
      </c>
      <c r="CA798" s="616" t="e">
        <f t="shared" si="1002"/>
        <v>#N/A</v>
      </c>
      <c r="CB798" s="616" t="e">
        <f t="shared" si="1002"/>
        <v>#N/A</v>
      </c>
      <c r="CC798" s="616" t="e">
        <f t="shared" si="1002"/>
        <v>#N/A</v>
      </c>
      <c r="CD798" s="616" t="e">
        <f t="shared" si="1002"/>
        <v>#N/A</v>
      </c>
      <c r="CE798" s="616" t="e">
        <f t="shared" si="1002"/>
        <v>#N/A</v>
      </c>
      <c r="CF798" s="616" t="e">
        <f t="shared" si="1002"/>
        <v>#N/A</v>
      </c>
      <c r="CG798" s="616" t="e">
        <f t="shared" ref="CG798:CN798" si="1003">CG797*$Q$374/100</f>
        <v>#N/A</v>
      </c>
      <c r="CH798" s="616" t="e">
        <f t="shared" si="1003"/>
        <v>#N/A</v>
      </c>
      <c r="CI798" s="616" t="e">
        <f t="shared" si="1003"/>
        <v>#N/A</v>
      </c>
      <c r="CJ798" s="616" t="e">
        <f t="shared" si="1003"/>
        <v>#N/A</v>
      </c>
      <c r="CK798" s="616" t="e">
        <f t="shared" si="1003"/>
        <v>#N/A</v>
      </c>
      <c r="CL798" s="616" t="e">
        <f t="shared" si="1003"/>
        <v>#N/A</v>
      </c>
      <c r="CM798" s="616" t="e">
        <f t="shared" si="1003"/>
        <v>#N/A</v>
      </c>
      <c r="CN798" s="616" t="e">
        <f t="shared" si="1003"/>
        <v>#N/A</v>
      </c>
    </row>
    <row r="799" spans="8:93">
      <c r="H799" s="602" t="s">
        <v>940</v>
      </c>
      <c r="L799" s="618"/>
      <c r="M799" s="600"/>
      <c r="N799" s="615"/>
      <c r="O799" s="615"/>
      <c r="P799" s="615"/>
      <c r="Q799" s="615"/>
      <c r="R799" s="615"/>
      <c r="S799" s="615"/>
      <c r="U799" s="616"/>
      <c r="V799" s="616"/>
      <c r="W799" s="616"/>
      <c r="X799" s="616"/>
      <c r="Y799" s="616"/>
      <c r="Z799" s="616"/>
      <c r="AA799" s="616"/>
      <c r="AB799" s="616"/>
      <c r="AC799" s="616"/>
      <c r="AD799" s="616"/>
      <c r="AE799" s="616"/>
      <c r="AF799" s="616"/>
      <c r="AG799" s="616"/>
      <c r="AH799" s="616"/>
      <c r="AI799" s="616"/>
      <c r="AJ799" s="616"/>
      <c r="AK799" s="616"/>
      <c r="AL799" s="616"/>
      <c r="AM799" s="616"/>
      <c r="AN799" s="616"/>
      <c r="AO799" s="616"/>
      <c r="AP799" s="616"/>
      <c r="AQ799" s="616"/>
      <c r="AR799" s="616"/>
      <c r="AS799" s="616"/>
      <c r="AT799" s="616"/>
      <c r="AU799" s="616"/>
      <c r="AV799" s="616"/>
      <c r="AW799" s="616"/>
      <c r="AX799" s="616"/>
      <c r="AY799" s="616"/>
      <c r="AZ799" s="616"/>
      <c r="BA799" s="616"/>
      <c r="BB799" s="616"/>
      <c r="BC799" s="616"/>
      <c r="BD799" s="616"/>
      <c r="BE799" s="616"/>
      <c r="BF799" s="616"/>
      <c r="BG799" s="616"/>
      <c r="BH799" s="616"/>
      <c r="BI799" s="616"/>
      <c r="BJ799" s="616"/>
      <c r="BK799" s="616"/>
      <c r="BL799" s="616"/>
      <c r="BM799" s="616"/>
      <c r="BN799" s="616"/>
      <c r="BO799" s="616"/>
      <c r="BP799" s="616"/>
      <c r="BQ799" s="616"/>
      <c r="BR799" s="616"/>
      <c r="BS799" s="616"/>
      <c r="BT799" s="616"/>
      <c r="BU799" s="616"/>
      <c r="BV799" s="616"/>
      <c r="BW799" s="616"/>
      <c r="BX799" s="616"/>
      <c r="BY799" s="616"/>
      <c r="BZ799" s="616"/>
      <c r="CA799" s="616"/>
      <c r="CB799" s="616"/>
      <c r="CC799" s="616"/>
      <c r="CD799" s="616"/>
      <c r="CE799" s="616"/>
      <c r="CF799" s="616"/>
      <c r="CG799" s="616"/>
      <c r="CH799" s="616"/>
      <c r="CI799" s="616"/>
      <c r="CJ799" s="616"/>
      <c r="CK799" s="616"/>
      <c r="CL799" s="616"/>
      <c r="CM799" s="616"/>
      <c r="CN799" s="616"/>
    </row>
    <row r="800" spans="8:93">
      <c r="H800" s="602" t="s">
        <v>940</v>
      </c>
      <c r="L800" s="618" t="s">
        <v>1305</v>
      </c>
      <c r="M800" s="600" t="s">
        <v>974</v>
      </c>
      <c r="N800" s="615" t="e">
        <f>SUM(U800:AF800)</f>
        <v>#N/A</v>
      </c>
      <c r="O800" s="615" t="e">
        <f>SUM(AG800:AR800)</f>
        <v>#N/A</v>
      </c>
      <c r="P800" s="615" t="e">
        <f>SUM(AS800:BD800)</f>
        <v>#N/A</v>
      </c>
      <c r="Q800" s="615" t="e">
        <f>SUM(BE800:BP800)</f>
        <v>#N/A</v>
      </c>
      <c r="R800" s="615" t="e">
        <f>SUM(BQ800:CB800)</f>
        <v>#N/A</v>
      </c>
      <c r="S800" s="615" t="e">
        <f>SUM(CC800:CN800)</f>
        <v>#N/A</v>
      </c>
      <c r="U800" s="616" t="e">
        <f>SUM(U797:U798)</f>
        <v>#N/A</v>
      </c>
      <c r="V800" s="616" t="e">
        <f t="shared" ref="V800:CG800" si="1004">SUM(V797:V798)</f>
        <v>#N/A</v>
      </c>
      <c r="W800" s="616" t="e">
        <f t="shared" si="1004"/>
        <v>#N/A</v>
      </c>
      <c r="X800" s="616" t="e">
        <f t="shared" si="1004"/>
        <v>#N/A</v>
      </c>
      <c r="Y800" s="616" t="e">
        <f t="shared" si="1004"/>
        <v>#N/A</v>
      </c>
      <c r="Z800" s="616" t="e">
        <f t="shared" si="1004"/>
        <v>#N/A</v>
      </c>
      <c r="AA800" s="616" t="e">
        <f t="shared" si="1004"/>
        <v>#N/A</v>
      </c>
      <c r="AB800" s="616" t="e">
        <f t="shared" si="1004"/>
        <v>#N/A</v>
      </c>
      <c r="AC800" s="616" t="e">
        <f t="shared" si="1004"/>
        <v>#N/A</v>
      </c>
      <c r="AD800" s="616" t="e">
        <f t="shared" si="1004"/>
        <v>#N/A</v>
      </c>
      <c r="AE800" s="616" t="e">
        <f t="shared" si="1004"/>
        <v>#N/A</v>
      </c>
      <c r="AF800" s="616" t="e">
        <f t="shared" si="1004"/>
        <v>#N/A</v>
      </c>
      <c r="AG800" s="616" t="e">
        <f t="shared" si="1004"/>
        <v>#N/A</v>
      </c>
      <c r="AH800" s="616" t="e">
        <f t="shared" si="1004"/>
        <v>#N/A</v>
      </c>
      <c r="AI800" s="616" t="e">
        <f t="shared" si="1004"/>
        <v>#N/A</v>
      </c>
      <c r="AJ800" s="616" t="e">
        <f t="shared" si="1004"/>
        <v>#N/A</v>
      </c>
      <c r="AK800" s="616" t="e">
        <f t="shared" si="1004"/>
        <v>#N/A</v>
      </c>
      <c r="AL800" s="616" t="e">
        <f t="shared" si="1004"/>
        <v>#N/A</v>
      </c>
      <c r="AM800" s="616" t="e">
        <f t="shared" si="1004"/>
        <v>#N/A</v>
      </c>
      <c r="AN800" s="616" t="e">
        <f t="shared" si="1004"/>
        <v>#N/A</v>
      </c>
      <c r="AO800" s="616" t="e">
        <f t="shared" si="1004"/>
        <v>#N/A</v>
      </c>
      <c r="AP800" s="616" t="e">
        <f t="shared" si="1004"/>
        <v>#N/A</v>
      </c>
      <c r="AQ800" s="616" t="e">
        <f t="shared" si="1004"/>
        <v>#N/A</v>
      </c>
      <c r="AR800" s="616" t="e">
        <f t="shared" si="1004"/>
        <v>#N/A</v>
      </c>
      <c r="AS800" s="616" t="e">
        <f t="shared" si="1004"/>
        <v>#N/A</v>
      </c>
      <c r="AT800" s="616" t="e">
        <f t="shared" si="1004"/>
        <v>#N/A</v>
      </c>
      <c r="AU800" s="616" t="e">
        <f t="shared" si="1004"/>
        <v>#N/A</v>
      </c>
      <c r="AV800" s="616" t="e">
        <f t="shared" si="1004"/>
        <v>#N/A</v>
      </c>
      <c r="AW800" s="616" t="e">
        <f t="shared" si="1004"/>
        <v>#N/A</v>
      </c>
      <c r="AX800" s="616" t="e">
        <f t="shared" si="1004"/>
        <v>#N/A</v>
      </c>
      <c r="AY800" s="616" t="e">
        <f t="shared" si="1004"/>
        <v>#N/A</v>
      </c>
      <c r="AZ800" s="616" t="e">
        <f t="shared" si="1004"/>
        <v>#N/A</v>
      </c>
      <c r="BA800" s="616" t="e">
        <f t="shared" si="1004"/>
        <v>#N/A</v>
      </c>
      <c r="BB800" s="616" t="e">
        <f t="shared" si="1004"/>
        <v>#N/A</v>
      </c>
      <c r="BC800" s="616" t="e">
        <f t="shared" si="1004"/>
        <v>#N/A</v>
      </c>
      <c r="BD800" s="616" t="e">
        <f t="shared" si="1004"/>
        <v>#N/A</v>
      </c>
      <c r="BE800" s="616" t="e">
        <f t="shared" si="1004"/>
        <v>#N/A</v>
      </c>
      <c r="BF800" s="616" t="e">
        <f t="shared" si="1004"/>
        <v>#N/A</v>
      </c>
      <c r="BG800" s="616" t="e">
        <f t="shared" si="1004"/>
        <v>#N/A</v>
      </c>
      <c r="BH800" s="616" t="e">
        <f t="shared" si="1004"/>
        <v>#N/A</v>
      </c>
      <c r="BI800" s="616" t="e">
        <f t="shared" si="1004"/>
        <v>#N/A</v>
      </c>
      <c r="BJ800" s="616" t="e">
        <f t="shared" si="1004"/>
        <v>#N/A</v>
      </c>
      <c r="BK800" s="616" t="e">
        <f t="shared" si="1004"/>
        <v>#N/A</v>
      </c>
      <c r="BL800" s="616" t="e">
        <f t="shared" si="1004"/>
        <v>#N/A</v>
      </c>
      <c r="BM800" s="616" t="e">
        <f t="shared" si="1004"/>
        <v>#N/A</v>
      </c>
      <c r="BN800" s="616" t="e">
        <f t="shared" si="1004"/>
        <v>#N/A</v>
      </c>
      <c r="BO800" s="616" t="e">
        <f t="shared" si="1004"/>
        <v>#N/A</v>
      </c>
      <c r="BP800" s="616" t="e">
        <f t="shared" si="1004"/>
        <v>#N/A</v>
      </c>
      <c r="BQ800" s="616" t="e">
        <f t="shared" si="1004"/>
        <v>#N/A</v>
      </c>
      <c r="BR800" s="616" t="e">
        <f t="shared" si="1004"/>
        <v>#N/A</v>
      </c>
      <c r="BS800" s="616" t="e">
        <f t="shared" si="1004"/>
        <v>#N/A</v>
      </c>
      <c r="BT800" s="616" t="e">
        <f t="shared" si="1004"/>
        <v>#N/A</v>
      </c>
      <c r="BU800" s="616" t="e">
        <f t="shared" si="1004"/>
        <v>#N/A</v>
      </c>
      <c r="BV800" s="616" t="e">
        <f t="shared" si="1004"/>
        <v>#N/A</v>
      </c>
      <c r="BW800" s="616" t="e">
        <f t="shared" si="1004"/>
        <v>#N/A</v>
      </c>
      <c r="BX800" s="616" t="e">
        <f t="shared" si="1004"/>
        <v>#N/A</v>
      </c>
      <c r="BY800" s="616" t="e">
        <f t="shared" si="1004"/>
        <v>#N/A</v>
      </c>
      <c r="BZ800" s="616" t="e">
        <f t="shared" si="1004"/>
        <v>#N/A</v>
      </c>
      <c r="CA800" s="616" t="e">
        <f t="shared" si="1004"/>
        <v>#N/A</v>
      </c>
      <c r="CB800" s="616" t="e">
        <f t="shared" si="1004"/>
        <v>#N/A</v>
      </c>
      <c r="CC800" s="616" t="e">
        <f t="shared" si="1004"/>
        <v>#N/A</v>
      </c>
      <c r="CD800" s="616" t="e">
        <f t="shared" si="1004"/>
        <v>#N/A</v>
      </c>
      <c r="CE800" s="616" t="e">
        <f t="shared" si="1004"/>
        <v>#N/A</v>
      </c>
      <c r="CF800" s="616" t="e">
        <f t="shared" si="1004"/>
        <v>#N/A</v>
      </c>
      <c r="CG800" s="616" t="e">
        <f t="shared" si="1004"/>
        <v>#N/A</v>
      </c>
      <c r="CH800" s="616" t="e">
        <f t="shared" ref="CH800:CN800" si="1005">SUM(CH797:CH798)</f>
        <v>#N/A</v>
      </c>
      <c r="CI800" s="616" t="e">
        <f t="shared" si="1005"/>
        <v>#N/A</v>
      </c>
      <c r="CJ800" s="616" t="e">
        <f t="shared" si="1005"/>
        <v>#N/A</v>
      </c>
      <c r="CK800" s="616" t="e">
        <f t="shared" si="1005"/>
        <v>#N/A</v>
      </c>
      <c r="CL800" s="616" t="e">
        <f t="shared" si="1005"/>
        <v>#N/A</v>
      </c>
      <c r="CM800" s="616" t="e">
        <f t="shared" si="1005"/>
        <v>#N/A</v>
      </c>
      <c r="CN800" s="616" t="e">
        <f t="shared" si="1005"/>
        <v>#N/A</v>
      </c>
    </row>
    <row r="801" spans="8:92">
      <c r="H801" s="602" t="s">
        <v>940</v>
      </c>
      <c r="L801" s="618" t="s">
        <v>1307</v>
      </c>
      <c r="M801" s="600" t="s">
        <v>974</v>
      </c>
      <c r="N801" s="615" t="e">
        <f>SUM(U801:AF801)</f>
        <v>#N/A</v>
      </c>
      <c r="O801" s="615" t="e">
        <f>SUM(AG801:AR801)</f>
        <v>#N/A</v>
      </c>
      <c r="P801" s="615" t="e">
        <f>SUM(AS801:BD801)</f>
        <v>#N/A</v>
      </c>
      <c r="Q801" s="615" t="e">
        <f>SUM(BE801:BP801)</f>
        <v>#N/A</v>
      </c>
      <c r="R801" s="615" t="e">
        <f>SUM(BQ801:CB801)</f>
        <v>#N/A</v>
      </c>
      <c r="S801" s="615" t="e">
        <f>SUM(CC801:CN801)</f>
        <v>#N/A</v>
      </c>
      <c r="U801" s="616" t="e">
        <f>U800-U777</f>
        <v>#N/A</v>
      </c>
      <c r="V801" s="616" t="e">
        <f t="shared" ref="V801:CG801" si="1006">V800-V777</f>
        <v>#N/A</v>
      </c>
      <c r="W801" s="616" t="e">
        <f t="shared" si="1006"/>
        <v>#N/A</v>
      </c>
      <c r="X801" s="616" t="e">
        <f t="shared" si="1006"/>
        <v>#N/A</v>
      </c>
      <c r="Y801" s="616" t="e">
        <f t="shared" si="1006"/>
        <v>#N/A</v>
      </c>
      <c r="Z801" s="616" t="e">
        <f t="shared" si="1006"/>
        <v>#N/A</v>
      </c>
      <c r="AA801" s="616" t="e">
        <f t="shared" si="1006"/>
        <v>#N/A</v>
      </c>
      <c r="AB801" s="616" t="e">
        <f t="shared" si="1006"/>
        <v>#N/A</v>
      </c>
      <c r="AC801" s="616" t="e">
        <f t="shared" si="1006"/>
        <v>#N/A</v>
      </c>
      <c r="AD801" s="616" t="e">
        <f t="shared" si="1006"/>
        <v>#N/A</v>
      </c>
      <c r="AE801" s="616" t="e">
        <f t="shared" si="1006"/>
        <v>#N/A</v>
      </c>
      <c r="AF801" s="616" t="e">
        <f t="shared" si="1006"/>
        <v>#N/A</v>
      </c>
      <c r="AG801" s="616" t="e">
        <f t="shared" si="1006"/>
        <v>#N/A</v>
      </c>
      <c r="AH801" s="616" t="e">
        <f t="shared" si="1006"/>
        <v>#N/A</v>
      </c>
      <c r="AI801" s="616" t="e">
        <f t="shared" si="1006"/>
        <v>#N/A</v>
      </c>
      <c r="AJ801" s="616" t="e">
        <f t="shared" si="1006"/>
        <v>#N/A</v>
      </c>
      <c r="AK801" s="616" t="e">
        <f t="shared" si="1006"/>
        <v>#N/A</v>
      </c>
      <c r="AL801" s="616" t="e">
        <f t="shared" si="1006"/>
        <v>#N/A</v>
      </c>
      <c r="AM801" s="616" t="e">
        <f t="shared" si="1006"/>
        <v>#N/A</v>
      </c>
      <c r="AN801" s="616" t="e">
        <f t="shared" si="1006"/>
        <v>#N/A</v>
      </c>
      <c r="AO801" s="616" t="e">
        <f t="shared" si="1006"/>
        <v>#N/A</v>
      </c>
      <c r="AP801" s="616" t="e">
        <f t="shared" si="1006"/>
        <v>#N/A</v>
      </c>
      <c r="AQ801" s="616" t="e">
        <f t="shared" si="1006"/>
        <v>#N/A</v>
      </c>
      <c r="AR801" s="616" t="e">
        <f t="shared" si="1006"/>
        <v>#N/A</v>
      </c>
      <c r="AS801" s="616" t="e">
        <f t="shared" si="1006"/>
        <v>#N/A</v>
      </c>
      <c r="AT801" s="616" t="e">
        <f t="shared" si="1006"/>
        <v>#N/A</v>
      </c>
      <c r="AU801" s="616" t="e">
        <f t="shared" si="1006"/>
        <v>#N/A</v>
      </c>
      <c r="AV801" s="616" t="e">
        <f t="shared" si="1006"/>
        <v>#N/A</v>
      </c>
      <c r="AW801" s="616" t="e">
        <f t="shared" si="1006"/>
        <v>#N/A</v>
      </c>
      <c r="AX801" s="616" t="e">
        <f t="shared" si="1006"/>
        <v>#N/A</v>
      </c>
      <c r="AY801" s="616" t="e">
        <f t="shared" si="1006"/>
        <v>#N/A</v>
      </c>
      <c r="AZ801" s="616" t="e">
        <f t="shared" si="1006"/>
        <v>#N/A</v>
      </c>
      <c r="BA801" s="616" t="e">
        <f t="shared" si="1006"/>
        <v>#N/A</v>
      </c>
      <c r="BB801" s="616" t="e">
        <f t="shared" si="1006"/>
        <v>#N/A</v>
      </c>
      <c r="BC801" s="616" t="e">
        <f t="shared" si="1006"/>
        <v>#N/A</v>
      </c>
      <c r="BD801" s="616" t="e">
        <f t="shared" si="1006"/>
        <v>#N/A</v>
      </c>
      <c r="BE801" s="616" t="e">
        <f t="shared" si="1006"/>
        <v>#N/A</v>
      </c>
      <c r="BF801" s="616" t="e">
        <f t="shared" si="1006"/>
        <v>#N/A</v>
      </c>
      <c r="BG801" s="616" t="e">
        <f t="shared" si="1006"/>
        <v>#N/A</v>
      </c>
      <c r="BH801" s="616" t="e">
        <f t="shared" si="1006"/>
        <v>#N/A</v>
      </c>
      <c r="BI801" s="616" t="e">
        <f t="shared" si="1006"/>
        <v>#N/A</v>
      </c>
      <c r="BJ801" s="616" t="e">
        <f t="shared" si="1006"/>
        <v>#N/A</v>
      </c>
      <c r="BK801" s="616" t="e">
        <f t="shared" si="1006"/>
        <v>#N/A</v>
      </c>
      <c r="BL801" s="616" t="e">
        <f t="shared" si="1006"/>
        <v>#N/A</v>
      </c>
      <c r="BM801" s="616" t="e">
        <f t="shared" si="1006"/>
        <v>#N/A</v>
      </c>
      <c r="BN801" s="616" t="e">
        <f t="shared" si="1006"/>
        <v>#N/A</v>
      </c>
      <c r="BO801" s="616" t="e">
        <f t="shared" si="1006"/>
        <v>#N/A</v>
      </c>
      <c r="BP801" s="616" t="e">
        <f t="shared" si="1006"/>
        <v>#N/A</v>
      </c>
      <c r="BQ801" s="616" t="e">
        <f t="shared" si="1006"/>
        <v>#N/A</v>
      </c>
      <c r="BR801" s="616" t="e">
        <f t="shared" si="1006"/>
        <v>#N/A</v>
      </c>
      <c r="BS801" s="616" t="e">
        <f t="shared" si="1006"/>
        <v>#N/A</v>
      </c>
      <c r="BT801" s="616" t="e">
        <f t="shared" si="1006"/>
        <v>#N/A</v>
      </c>
      <c r="BU801" s="616" t="e">
        <f t="shared" si="1006"/>
        <v>#N/A</v>
      </c>
      <c r="BV801" s="616" t="e">
        <f t="shared" si="1006"/>
        <v>#N/A</v>
      </c>
      <c r="BW801" s="616" t="e">
        <f t="shared" si="1006"/>
        <v>#N/A</v>
      </c>
      <c r="BX801" s="616" t="e">
        <f t="shared" si="1006"/>
        <v>#N/A</v>
      </c>
      <c r="BY801" s="616" t="e">
        <f t="shared" si="1006"/>
        <v>#N/A</v>
      </c>
      <c r="BZ801" s="616" t="e">
        <f t="shared" si="1006"/>
        <v>#N/A</v>
      </c>
      <c r="CA801" s="616" t="e">
        <f t="shared" si="1006"/>
        <v>#N/A</v>
      </c>
      <c r="CB801" s="616" t="e">
        <f t="shared" si="1006"/>
        <v>#N/A</v>
      </c>
      <c r="CC801" s="616" t="e">
        <f t="shared" si="1006"/>
        <v>#N/A</v>
      </c>
      <c r="CD801" s="616" t="e">
        <f t="shared" si="1006"/>
        <v>#N/A</v>
      </c>
      <c r="CE801" s="616" t="e">
        <f t="shared" si="1006"/>
        <v>#N/A</v>
      </c>
      <c r="CF801" s="616" t="e">
        <f t="shared" si="1006"/>
        <v>#N/A</v>
      </c>
      <c r="CG801" s="616" t="e">
        <f t="shared" si="1006"/>
        <v>#N/A</v>
      </c>
      <c r="CH801" s="616" t="e">
        <f t="shared" ref="CH801:CN801" si="1007">CH800-CH777</f>
        <v>#N/A</v>
      </c>
      <c r="CI801" s="616" t="e">
        <f t="shared" si="1007"/>
        <v>#N/A</v>
      </c>
      <c r="CJ801" s="616" t="e">
        <f t="shared" si="1007"/>
        <v>#N/A</v>
      </c>
      <c r="CK801" s="616" t="e">
        <f t="shared" si="1007"/>
        <v>#N/A</v>
      </c>
      <c r="CL801" s="616" t="e">
        <f t="shared" si="1007"/>
        <v>#N/A</v>
      </c>
      <c r="CM801" s="616" t="e">
        <f t="shared" si="1007"/>
        <v>#N/A</v>
      </c>
      <c r="CN801" s="616" t="e">
        <f t="shared" si="1007"/>
        <v>#N/A</v>
      </c>
    </row>
    <row r="802" spans="8:92" ht="13.5" thickBot="1">
      <c r="H802" s="602" t="s">
        <v>940</v>
      </c>
    </row>
    <row r="803" spans="8:92" ht="13.5" thickTop="1">
      <c r="H803" s="602" t="s">
        <v>940</v>
      </c>
      <c r="L803" s="757" t="s">
        <v>1316</v>
      </c>
      <c r="M803" s="758"/>
      <c r="N803" s="758"/>
      <c r="O803" s="758"/>
      <c r="P803" s="758"/>
      <c r="Q803" s="758"/>
      <c r="R803" s="758"/>
      <c r="S803" s="758"/>
      <c r="T803" s="758"/>
      <c r="U803" s="758"/>
      <c r="V803" s="758"/>
      <c r="W803" s="758"/>
      <c r="X803" s="758"/>
      <c r="Y803" s="758"/>
      <c r="Z803" s="758"/>
      <c r="AA803" s="758"/>
      <c r="AB803" s="758"/>
      <c r="AC803" s="758"/>
      <c r="AD803" s="758"/>
      <c r="AE803" s="758"/>
      <c r="AF803" s="758"/>
      <c r="AG803" s="758"/>
      <c r="AH803" s="758"/>
      <c r="AI803" s="758"/>
      <c r="AJ803" s="758"/>
      <c r="AK803" s="758"/>
      <c r="AL803" s="758"/>
      <c r="AM803" s="758"/>
      <c r="AN803" s="758"/>
      <c r="AO803" s="758"/>
      <c r="AP803" s="758"/>
      <c r="AQ803" s="758"/>
      <c r="AR803" s="758"/>
      <c r="AS803" s="758"/>
      <c r="AT803" s="758"/>
      <c r="AU803" s="758"/>
      <c r="AV803" s="758"/>
      <c r="AW803" s="758"/>
      <c r="AX803" s="758"/>
      <c r="AY803" s="758"/>
      <c r="AZ803" s="758"/>
      <c r="BA803" s="758"/>
      <c r="BB803" s="758"/>
      <c r="BC803" s="758"/>
      <c r="BD803" s="758"/>
      <c r="BE803" s="758"/>
      <c r="BF803" s="758"/>
      <c r="BG803" s="758"/>
      <c r="BH803" s="758"/>
      <c r="BI803" s="758"/>
      <c r="BJ803" s="758"/>
      <c r="BK803" s="758"/>
      <c r="BL803" s="758"/>
      <c r="BM803" s="758"/>
      <c r="BN803" s="758"/>
      <c r="BO803" s="758"/>
      <c r="BP803" s="758"/>
      <c r="BQ803" s="758"/>
      <c r="BR803" s="758"/>
      <c r="BS803" s="758"/>
      <c r="BT803" s="758"/>
      <c r="BU803" s="758"/>
      <c r="BV803" s="758"/>
      <c r="BW803" s="758"/>
      <c r="BX803" s="758"/>
      <c r="BY803" s="758"/>
      <c r="BZ803" s="758"/>
      <c r="CA803" s="758"/>
      <c r="CB803" s="758"/>
      <c r="CC803" s="758"/>
      <c r="CD803" s="758"/>
      <c r="CE803" s="758"/>
      <c r="CF803" s="758"/>
      <c r="CG803" s="758"/>
      <c r="CH803" s="758"/>
      <c r="CI803" s="758"/>
      <c r="CJ803" s="758"/>
      <c r="CK803" s="758"/>
      <c r="CL803" s="758"/>
      <c r="CM803" s="758"/>
      <c r="CN803" s="758"/>
    </row>
    <row r="804" spans="8:92">
      <c r="H804" s="602" t="s">
        <v>940</v>
      </c>
      <c r="L804" s="609"/>
      <c r="M804" s="609" t="s">
        <v>359</v>
      </c>
      <c r="N804" s="704" t="s">
        <v>929</v>
      </c>
      <c r="O804" s="704" t="s">
        <v>1193</v>
      </c>
      <c r="P804" s="704" t="s">
        <v>1194</v>
      </c>
      <c r="Q804" s="704" t="s">
        <v>1195</v>
      </c>
      <c r="R804" s="704" t="s">
        <v>1196</v>
      </c>
      <c r="S804" s="704" t="s">
        <v>1197</v>
      </c>
      <c r="T804" s="753"/>
      <c r="U804" s="692" t="s">
        <v>929</v>
      </c>
      <c r="AF804" s="753"/>
      <c r="AG804" s="704" t="s">
        <v>1193</v>
      </c>
      <c r="AR804" s="753"/>
      <c r="AS804" s="704" t="s">
        <v>1194</v>
      </c>
      <c r="BD804" s="753"/>
      <c r="BE804" s="704" t="s">
        <v>1195</v>
      </c>
      <c r="BP804" s="753"/>
      <c r="BQ804" s="704" t="s">
        <v>1196</v>
      </c>
      <c r="CB804" s="753"/>
      <c r="CC804" s="704" t="s">
        <v>1197</v>
      </c>
    </row>
    <row r="805" spans="8:92">
      <c r="H805" s="602" t="s">
        <v>940</v>
      </c>
      <c r="L805" s="611"/>
      <c r="M805" s="611"/>
      <c r="N805" s="754" t="s">
        <v>405</v>
      </c>
      <c r="O805" s="754" t="s">
        <v>405</v>
      </c>
      <c r="P805" s="754" t="s">
        <v>405</v>
      </c>
      <c r="Q805" s="754" t="s">
        <v>405</v>
      </c>
      <c r="R805" s="754" t="s">
        <v>405</v>
      </c>
      <c r="S805" s="754" t="s">
        <v>405</v>
      </c>
      <c r="T805" s="755"/>
      <c r="U805" s="754" t="s">
        <v>1259</v>
      </c>
      <c r="V805" s="754" t="s">
        <v>1260</v>
      </c>
      <c r="W805" s="754" t="s">
        <v>1261</v>
      </c>
      <c r="X805" s="754" t="s">
        <v>1262</v>
      </c>
      <c r="Y805" s="754" t="s">
        <v>947</v>
      </c>
      <c r="Z805" s="754" t="s">
        <v>1263</v>
      </c>
      <c r="AA805" s="754" t="s">
        <v>1264</v>
      </c>
      <c r="AB805" s="754" t="s">
        <v>1265</v>
      </c>
      <c r="AC805" s="754" t="s">
        <v>1266</v>
      </c>
      <c r="AD805" s="754" t="s">
        <v>1267</v>
      </c>
      <c r="AE805" s="754" t="s">
        <v>1268</v>
      </c>
      <c r="AF805" s="756" t="s">
        <v>1269</v>
      </c>
      <c r="AG805" s="754" t="s">
        <v>1259</v>
      </c>
      <c r="AH805" s="754" t="s">
        <v>1260</v>
      </c>
      <c r="AI805" s="754" t="s">
        <v>1261</v>
      </c>
      <c r="AJ805" s="754" t="s">
        <v>1262</v>
      </c>
      <c r="AK805" s="754" t="s">
        <v>947</v>
      </c>
      <c r="AL805" s="754" t="s">
        <v>1263</v>
      </c>
      <c r="AM805" s="754" t="s">
        <v>1264</v>
      </c>
      <c r="AN805" s="754" t="s">
        <v>1265</v>
      </c>
      <c r="AO805" s="754" t="s">
        <v>1266</v>
      </c>
      <c r="AP805" s="754" t="s">
        <v>1267</v>
      </c>
      <c r="AQ805" s="754" t="s">
        <v>1268</v>
      </c>
      <c r="AR805" s="756" t="s">
        <v>1269</v>
      </c>
      <c r="AS805" s="754" t="s">
        <v>1259</v>
      </c>
      <c r="AT805" s="754" t="s">
        <v>1260</v>
      </c>
      <c r="AU805" s="754" t="s">
        <v>1261</v>
      </c>
      <c r="AV805" s="754" t="s">
        <v>1262</v>
      </c>
      <c r="AW805" s="754" t="s">
        <v>947</v>
      </c>
      <c r="AX805" s="754" t="s">
        <v>1263</v>
      </c>
      <c r="AY805" s="754" t="s">
        <v>1264</v>
      </c>
      <c r="AZ805" s="754" t="s">
        <v>1265</v>
      </c>
      <c r="BA805" s="754" t="s">
        <v>1266</v>
      </c>
      <c r="BB805" s="754" t="s">
        <v>1267</v>
      </c>
      <c r="BC805" s="754" t="s">
        <v>1268</v>
      </c>
      <c r="BD805" s="756" t="s">
        <v>1269</v>
      </c>
      <c r="BE805" s="754" t="s">
        <v>1259</v>
      </c>
      <c r="BF805" s="754" t="s">
        <v>1260</v>
      </c>
      <c r="BG805" s="754" t="s">
        <v>1261</v>
      </c>
      <c r="BH805" s="754" t="s">
        <v>1262</v>
      </c>
      <c r="BI805" s="754" t="s">
        <v>947</v>
      </c>
      <c r="BJ805" s="754" t="s">
        <v>1263</v>
      </c>
      <c r="BK805" s="754" t="s">
        <v>1264</v>
      </c>
      <c r="BL805" s="754" t="s">
        <v>1265</v>
      </c>
      <c r="BM805" s="754" t="s">
        <v>1266</v>
      </c>
      <c r="BN805" s="754" t="s">
        <v>1267</v>
      </c>
      <c r="BO805" s="754" t="s">
        <v>1268</v>
      </c>
      <c r="BP805" s="756" t="s">
        <v>1269</v>
      </c>
      <c r="BQ805" s="754" t="s">
        <v>1259</v>
      </c>
      <c r="BR805" s="754" t="s">
        <v>1260</v>
      </c>
      <c r="BS805" s="754" t="s">
        <v>1261</v>
      </c>
      <c r="BT805" s="754" t="s">
        <v>1262</v>
      </c>
      <c r="BU805" s="754" t="s">
        <v>947</v>
      </c>
      <c r="BV805" s="754" t="s">
        <v>1263</v>
      </c>
      <c r="BW805" s="754" t="s">
        <v>1264</v>
      </c>
      <c r="BX805" s="754" t="s">
        <v>1265</v>
      </c>
      <c r="BY805" s="754" t="s">
        <v>1266</v>
      </c>
      <c r="BZ805" s="754" t="s">
        <v>1267</v>
      </c>
      <c r="CA805" s="754" t="s">
        <v>1268</v>
      </c>
      <c r="CB805" s="756" t="s">
        <v>1269</v>
      </c>
      <c r="CC805" s="754" t="s">
        <v>1259</v>
      </c>
      <c r="CD805" s="754" t="s">
        <v>1260</v>
      </c>
      <c r="CE805" s="754" t="s">
        <v>1261</v>
      </c>
      <c r="CF805" s="754" t="s">
        <v>1262</v>
      </c>
      <c r="CG805" s="754" t="s">
        <v>947</v>
      </c>
      <c r="CH805" s="754" t="s">
        <v>1263</v>
      </c>
      <c r="CI805" s="754" t="s">
        <v>1264</v>
      </c>
      <c r="CJ805" s="754" t="s">
        <v>1265</v>
      </c>
      <c r="CK805" s="754" t="s">
        <v>1266</v>
      </c>
      <c r="CL805" s="754" t="s">
        <v>1267</v>
      </c>
      <c r="CM805" s="754" t="s">
        <v>1268</v>
      </c>
      <c r="CN805" s="754" t="s">
        <v>1269</v>
      </c>
    </row>
    <row r="806" spans="8:92">
      <c r="H806" s="602" t="s">
        <v>940</v>
      </c>
    </row>
    <row r="807" spans="8:92">
      <c r="H807" s="602" t="s">
        <v>940</v>
      </c>
      <c r="L807" s="618" t="s">
        <v>1290</v>
      </c>
      <c r="M807" s="600" t="s">
        <v>922</v>
      </c>
      <c r="N807" s="615" t="e">
        <f>SUM(U807:AF807)</f>
        <v>#N/A</v>
      </c>
      <c r="O807" s="615" t="e">
        <f>SUM(AG807:AR807)</f>
        <v>#N/A</v>
      </c>
      <c r="P807" s="615" t="e">
        <f>SUM(AS807:BD807)</f>
        <v>#N/A</v>
      </c>
      <c r="Q807" s="615" t="e">
        <f>SUM(BE807:BP807)</f>
        <v>#N/A</v>
      </c>
      <c r="R807" s="615" t="e">
        <f>SUM(BQ807:CB807)</f>
        <v>#N/A</v>
      </c>
      <c r="S807" s="615" t="e">
        <f>SUM(CC807:CN807)</f>
        <v>#N/A</v>
      </c>
      <c r="U807" s="616" t="e">
        <f>U503</f>
        <v>#N/A</v>
      </c>
      <c r="V807" s="616" t="e">
        <f t="shared" ref="V807:CG807" si="1008">V503</f>
        <v>#N/A</v>
      </c>
      <c r="W807" s="616" t="e">
        <f t="shared" si="1008"/>
        <v>#N/A</v>
      </c>
      <c r="X807" s="616" t="e">
        <f t="shared" si="1008"/>
        <v>#N/A</v>
      </c>
      <c r="Y807" s="616" t="e">
        <f t="shared" si="1008"/>
        <v>#N/A</v>
      </c>
      <c r="Z807" s="616" t="e">
        <f t="shared" si="1008"/>
        <v>#N/A</v>
      </c>
      <c r="AA807" s="616" t="e">
        <f t="shared" si="1008"/>
        <v>#N/A</v>
      </c>
      <c r="AB807" s="616" t="e">
        <f t="shared" si="1008"/>
        <v>#N/A</v>
      </c>
      <c r="AC807" s="616" t="e">
        <f t="shared" si="1008"/>
        <v>#N/A</v>
      </c>
      <c r="AD807" s="616" t="e">
        <f t="shared" si="1008"/>
        <v>#N/A</v>
      </c>
      <c r="AE807" s="616" t="e">
        <f t="shared" si="1008"/>
        <v>#N/A</v>
      </c>
      <c r="AF807" s="616" t="e">
        <f t="shared" si="1008"/>
        <v>#N/A</v>
      </c>
      <c r="AG807" s="616" t="e">
        <f t="shared" si="1008"/>
        <v>#N/A</v>
      </c>
      <c r="AH807" s="616" t="e">
        <f t="shared" si="1008"/>
        <v>#N/A</v>
      </c>
      <c r="AI807" s="616" t="e">
        <f t="shared" si="1008"/>
        <v>#N/A</v>
      </c>
      <c r="AJ807" s="616" t="e">
        <f t="shared" si="1008"/>
        <v>#N/A</v>
      </c>
      <c r="AK807" s="616" t="e">
        <f t="shared" si="1008"/>
        <v>#N/A</v>
      </c>
      <c r="AL807" s="616" t="e">
        <f t="shared" si="1008"/>
        <v>#N/A</v>
      </c>
      <c r="AM807" s="616" t="e">
        <f t="shared" si="1008"/>
        <v>#N/A</v>
      </c>
      <c r="AN807" s="616" t="e">
        <f t="shared" si="1008"/>
        <v>#N/A</v>
      </c>
      <c r="AO807" s="616" t="e">
        <f t="shared" si="1008"/>
        <v>#N/A</v>
      </c>
      <c r="AP807" s="616" t="e">
        <f t="shared" si="1008"/>
        <v>#N/A</v>
      </c>
      <c r="AQ807" s="616" t="e">
        <f t="shared" si="1008"/>
        <v>#N/A</v>
      </c>
      <c r="AR807" s="616" t="e">
        <f t="shared" si="1008"/>
        <v>#N/A</v>
      </c>
      <c r="AS807" s="616" t="e">
        <f t="shared" si="1008"/>
        <v>#N/A</v>
      </c>
      <c r="AT807" s="616" t="e">
        <f t="shared" si="1008"/>
        <v>#N/A</v>
      </c>
      <c r="AU807" s="616" t="e">
        <f t="shared" si="1008"/>
        <v>#N/A</v>
      </c>
      <c r="AV807" s="616" t="e">
        <f t="shared" si="1008"/>
        <v>#N/A</v>
      </c>
      <c r="AW807" s="616" t="e">
        <f t="shared" si="1008"/>
        <v>#N/A</v>
      </c>
      <c r="AX807" s="616" t="e">
        <f t="shared" si="1008"/>
        <v>#N/A</v>
      </c>
      <c r="AY807" s="616" t="e">
        <f t="shared" si="1008"/>
        <v>#N/A</v>
      </c>
      <c r="AZ807" s="616" t="e">
        <f t="shared" si="1008"/>
        <v>#N/A</v>
      </c>
      <c r="BA807" s="616" t="e">
        <f t="shared" si="1008"/>
        <v>#N/A</v>
      </c>
      <c r="BB807" s="616" t="e">
        <f t="shared" si="1008"/>
        <v>#N/A</v>
      </c>
      <c r="BC807" s="616" t="e">
        <f t="shared" si="1008"/>
        <v>#N/A</v>
      </c>
      <c r="BD807" s="616" t="e">
        <f t="shared" si="1008"/>
        <v>#N/A</v>
      </c>
      <c r="BE807" s="616" t="e">
        <f t="shared" si="1008"/>
        <v>#N/A</v>
      </c>
      <c r="BF807" s="616" t="e">
        <f t="shared" si="1008"/>
        <v>#N/A</v>
      </c>
      <c r="BG807" s="616" t="e">
        <f t="shared" si="1008"/>
        <v>#N/A</v>
      </c>
      <c r="BH807" s="616" t="e">
        <f t="shared" si="1008"/>
        <v>#N/A</v>
      </c>
      <c r="BI807" s="616" t="e">
        <f t="shared" si="1008"/>
        <v>#N/A</v>
      </c>
      <c r="BJ807" s="616" t="e">
        <f t="shared" si="1008"/>
        <v>#N/A</v>
      </c>
      <c r="BK807" s="616" t="e">
        <f t="shared" si="1008"/>
        <v>#N/A</v>
      </c>
      <c r="BL807" s="616" t="e">
        <f t="shared" si="1008"/>
        <v>#N/A</v>
      </c>
      <c r="BM807" s="616" t="e">
        <f t="shared" si="1008"/>
        <v>#N/A</v>
      </c>
      <c r="BN807" s="616" t="e">
        <f t="shared" si="1008"/>
        <v>#N/A</v>
      </c>
      <c r="BO807" s="616" t="e">
        <f t="shared" si="1008"/>
        <v>#N/A</v>
      </c>
      <c r="BP807" s="616" t="e">
        <f t="shared" si="1008"/>
        <v>#N/A</v>
      </c>
      <c r="BQ807" s="616" t="e">
        <f t="shared" si="1008"/>
        <v>#N/A</v>
      </c>
      <c r="BR807" s="616" t="e">
        <f t="shared" si="1008"/>
        <v>#N/A</v>
      </c>
      <c r="BS807" s="616" t="e">
        <f t="shared" si="1008"/>
        <v>#N/A</v>
      </c>
      <c r="BT807" s="616" t="e">
        <f t="shared" si="1008"/>
        <v>#N/A</v>
      </c>
      <c r="BU807" s="616" t="e">
        <f t="shared" si="1008"/>
        <v>#N/A</v>
      </c>
      <c r="BV807" s="616" t="e">
        <f t="shared" si="1008"/>
        <v>#N/A</v>
      </c>
      <c r="BW807" s="616" t="e">
        <f t="shared" si="1008"/>
        <v>#N/A</v>
      </c>
      <c r="BX807" s="616" t="e">
        <f t="shared" si="1008"/>
        <v>#N/A</v>
      </c>
      <c r="BY807" s="616" t="e">
        <f t="shared" si="1008"/>
        <v>#N/A</v>
      </c>
      <c r="BZ807" s="616" t="e">
        <f t="shared" si="1008"/>
        <v>#N/A</v>
      </c>
      <c r="CA807" s="616" t="e">
        <f t="shared" si="1008"/>
        <v>#N/A</v>
      </c>
      <c r="CB807" s="616" t="e">
        <f t="shared" si="1008"/>
        <v>#N/A</v>
      </c>
      <c r="CC807" s="616" t="e">
        <f t="shared" si="1008"/>
        <v>#N/A</v>
      </c>
      <c r="CD807" s="616" t="e">
        <f t="shared" si="1008"/>
        <v>#N/A</v>
      </c>
      <c r="CE807" s="616" t="e">
        <f t="shared" si="1008"/>
        <v>#N/A</v>
      </c>
      <c r="CF807" s="616" t="e">
        <f t="shared" si="1008"/>
        <v>#N/A</v>
      </c>
      <c r="CG807" s="616" t="e">
        <f t="shared" si="1008"/>
        <v>#N/A</v>
      </c>
      <c r="CH807" s="616" t="e">
        <f t="shared" ref="CH807:CN807" si="1009">CH503</f>
        <v>#N/A</v>
      </c>
      <c r="CI807" s="616" t="e">
        <f t="shared" si="1009"/>
        <v>#N/A</v>
      </c>
      <c r="CJ807" s="616" t="e">
        <f t="shared" si="1009"/>
        <v>#N/A</v>
      </c>
      <c r="CK807" s="616" t="e">
        <f t="shared" si="1009"/>
        <v>#N/A</v>
      </c>
      <c r="CL807" s="616" t="e">
        <f t="shared" si="1009"/>
        <v>#N/A</v>
      </c>
      <c r="CM807" s="616" t="e">
        <f t="shared" si="1009"/>
        <v>#N/A</v>
      </c>
      <c r="CN807" s="616" t="e">
        <f t="shared" si="1009"/>
        <v>#N/A</v>
      </c>
    </row>
    <row r="808" spans="8:92">
      <c r="H808" s="602" t="s">
        <v>940</v>
      </c>
      <c r="L808" s="609"/>
      <c r="N808" s="615"/>
      <c r="O808" s="615"/>
      <c r="P808" s="615"/>
      <c r="Q808" s="615"/>
      <c r="R808" s="615"/>
      <c r="S808" s="615"/>
    </row>
    <row r="809" spans="8:92">
      <c r="H809" s="602" t="s">
        <v>940</v>
      </c>
      <c r="L809" s="618" t="s">
        <v>1296</v>
      </c>
      <c r="M809" s="600" t="s">
        <v>922</v>
      </c>
      <c r="N809" s="615" t="e">
        <f>SUM(U809:AF809)</f>
        <v>#N/A</v>
      </c>
      <c r="O809" s="615" t="e">
        <f>SUM(AG809:AR809)</f>
        <v>#N/A</v>
      </c>
      <c r="P809" s="615" t="e">
        <f>SUM(AS809:BD809)</f>
        <v>#N/A</v>
      </c>
      <c r="Q809" s="615" t="e">
        <f>SUM(BE809:BP809)</f>
        <v>#N/A</v>
      </c>
      <c r="R809" s="615" t="e">
        <f>SUM(BQ809:CB809)</f>
        <v>#N/A</v>
      </c>
      <c r="S809" s="615" t="e">
        <f>SUM(CC809:CN809)</f>
        <v>#N/A</v>
      </c>
      <c r="U809" s="616" t="e">
        <f>MIN(U807,$Q$386)</f>
        <v>#N/A</v>
      </c>
      <c r="V809" s="616" t="e">
        <f t="shared" ref="V809:CG809" si="1010">MIN(V807,$Q$386)</f>
        <v>#N/A</v>
      </c>
      <c r="W809" s="616" t="e">
        <f t="shared" si="1010"/>
        <v>#N/A</v>
      </c>
      <c r="X809" s="616" t="e">
        <f t="shared" si="1010"/>
        <v>#N/A</v>
      </c>
      <c r="Y809" s="616" t="e">
        <f t="shared" si="1010"/>
        <v>#N/A</v>
      </c>
      <c r="Z809" s="616" t="e">
        <f t="shared" si="1010"/>
        <v>#N/A</v>
      </c>
      <c r="AA809" s="616" t="e">
        <f t="shared" si="1010"/>
        <v>#N/A</v>
      </c>
      <c r="AB809" s="616" t="e">
        <f t="shared" si="1010"/>
        <v>#N/A</v>
      </c>
      <c r="AC809" s="616" t="e">
        <f t="shared" si="1010"/>
        <v>#N/A</v>
      </c>
      <c r="AD809" s="616" t="e">
        <f t="shared" si="1010"/>
        <v>#N/A</v>
      </c>
      <c r="AE809" s="616" t="e">
        <f t="shared" si="1010"/>
        <v>#N/A</v>
      </c>
      <c r="AF809" s="616" t="e">
        <f t="shared" si="1010"/>
        <v>#N/A</v>
      </c>
      <c r="AG809" s="616" t="e">
        <f t="shared" si="1010"/>
        <v>#N/A</v>
      </c>
      <c r="AH809" s="616" t="e">
        <f t="shared" si="1010"/>
        <v>#N/A</v>
      </c>
      <c r="AI809" s="616" t="e">
        <f t="shared" si="1010"/>
        <v>#N/A</v>
      </c>
      <c r="AJ809" s="616" t="e">
        <f t="shared" si="1010"/>
        <v>#N/A</v>
      </c>
      <c r="AK809" s="616" t="e">
        <f t="shared" si="1010"/>
        <v>#N/A</v>
      </c>
      <c r="AL809" s="616" t="e">
        <f t="shared" si="1010"/>
        <v>#N/A</v>
      </c>
      <c r="AM809" s="616" t="e">
        <f t="shared" si="1010"/>
        <v>#N/A</v>
      </c>
      <c r="AN809" s="616" t="e">
        <f t="shared" si="1010"/>
        <v>#N/A</v>
      </c>
      <c r="AO809" s="616" t="e">
        <f t="shared" si="1010"/>
        <v>#N/A</v>
      </c>
      <c r="AP809" s="616" t="e">
        <f t="shared" si="1010"/>
        <v>#N/A</v>
      </c>
      <c r="AQ809" s="616" t="e">
        <f t="shared" si="1010"/>
        <v>#N/A</v>
      </c>
      <c r="AR809" s="616" t="e">
        <f t="shared" si="1010"/>
        <v>#N/A</v>
      </c>
      <c r="AS809" s="616" t="e">
        <f t="shared" si="1010"/>
        <v>#N/A</v>
      </c>
      <c r="AT809" s="616" t="e">
        <f t="shared" si="1010"/>
        <v>#N/A</v>
      </c>
      <c r="AU809" s="616" t="e">
        <f t="shared" si="1010"/>
        <v>#N/A</v>
      </c>
      <c r="AV809" s="616" t="e">
        <f t="shared" si="1010"/>
        <v>#N/A</v>
      </c>
      <c r="AW809" s="616" t="e">
        <f t="shared" si="1010"/>
        <v>#N/A</v>
      </c>
      <c r="AX809" s="616" t="e">
        <f t="shared" si="1010"/>
        <v>#N/A</v>
      </c>
      <c r="AY809" s="616" t="e">
        <f t="shared" si="1010"/>
        <v>#N/A</v>
      </c>
      <c r="AZ809" s="616" t="e">
        <f t="shared" si="1010"/>
        <v>#N/A</v>
      </c>
      <c r="BA809" s="616" t="e">
        <f t="shared" si="1010"/>
        <v>#N/A</v>
      </c>
      <c r="BB809" s="616" t="e">
        <f t="shared" si="1010"/>
        <v>#N/A</v>
      </c>
      <c r="BC809" s="616" t="e">
        <f t="shared" si="1010"/>
        <v>#N/A</v>
      </c>
      <c r="BD809" s="616" t="e">
        <f t="shared" si="1010"/>
        <v>#N/A</v>
      </c>
      <c r="BE809" s="616" t="e">
        <f t="shared" si="1010"/>
        <v>#N/A</v>
      </c>
      <c r="BF809" s="616" t="e">
        <f t="shared" si="1010"/>
        <v>#N/A</v>
      </c>
      <c r="BG809" s="616" t="e">
        <f t="shared" si="1010"/>
        <v>#N/A</v>
      </c>
      <c r="BH809" s="616" t="e">
        <f t="shared" si="1010"/>
        <v>#N/A</v>
      </c>
      <c r="BI809" s="616" t="e">
        <f t="shared" si="1010"/>
        <v>#N/A</v>
      </c>
      <c r="BJ809" s="616" t="e">
        <f t="shared" si="1010"/>
        <v>#N/A</v>
      </c>
      <c r="BK809" s="616" t="e">
        <f t="shared" si="1010"/>
        <v>#N/A</v>
      </c>
      <c r="BL809" s="616" t="e">
        <f t="shared" si="1010"/>
        <v>#N/A</v>
      </c>
      <c r="BM809" s="616" t="e">
        <f t="shared" si="1010"/>
        <v>#N/A</v>
      </c>
      <c r="BN809" s="616" t="e">
        <f t="shared" si="1010"/>
        <v>#N/A</v>
      </c>
      <c r="BO809" s="616" t="e">
        <f t="shared" si="1010"/>
        <v>#N/A</v>
      </c>
      <c r="BP809" s="616" t="e">
        <f t="shared" si="1010"/>
        <v>#N/A</v>
      </c>
      <c r="BQ809" s="616" t="e">
        <f t="shared" si="1010"/>
        <v>#N/A</v>
      </c>
      <c r="BR809" s="616" t="e">
        <f t="shared" si="1010"/>
        <v>#N/A</v>
      </c>
      <c r="BS809" s="616" t="e">
        <f t="shared" si="1010"/>
        <v>#N/A</v>
      </c>
      <c r="BT809" s="616" t="e">
        <f t="shared" si="1010"/>
        <v>#N/A</v>
      </c>
      <c r="BU809" s="616" t="e">
        <f t="shared" si="1010"/>
        <v>#N/A</v>
      </c>
      <c r="BV809" s="616" t="e">
        <f t="shared" si="1010"/>
        <v>#N/A</v>
      </c>
      <c r="BW809" s="616" t="e">
        <f t="shared" si="1010"/>
        <v>#N/A</v>
      </c>
      <c r="BX809" s="616" t="e">
        <f t="shared" si="1010"/>
        <v>#N/A</v>
      </c>
      <c r="BY809" s="616" t="e">
        <f t="shared" si="1010"/>
        <v>#N/A</v>
      </c>
      <c r="BZ809" s="616" t="e">
        <f t="shared" si="1010"/>
        <v>#N/A</v>
      </c>
      <c r="CA809" s="616" t="e">
        <f t="shared" si="1010"/>
        <v>#N/A</v>
      </c>
      <c r="CB809" s="616" t="e">
        <f t="shared" si="1010"/>
        <v>#N/A</v>
      </c>
      <c r="CC809" s="616" t="e">
        <f t="shared" si="1010"/>
        <v>#N/A</v>
      </c>
      <c r="CD809" s="616" t="e">
        <f t="shared" si="1010"/>
        <v>#N/A</v>
      </c>
      <c r="CE809" s="616" t="e">
        <f t="shared" si="1010"/>
        <v>#N/A</v>
      </c>
      <c r="CF809" s="616" t="e">
        <f t="shared" si="1010"/>
        <v>#N/A</v>
      </c>
      <c r="CG809" s="616" t="e">
        <f t="shared" si="1010"/>
        <v>#N/A</v>
      </c>
      <c r="CH809" s="616" t="e">
        <f t="shared" ref="CH809:CN809" si="1011">MIN(CH807,$Q$386)</f>
        <v>#N/A</v>
      </c>
      <c r="CI809" s="616" t="e">
        <f t="shared" si="1011"/>
        <v>#N/A</v>
      </c>
      <c r="CJ809" s="616" t="e">
        <f t="shared" si="1011"/>
        <v>#N/A</v>
      </c>
      <c r="CK809" s="616" t="e">
        <f t="shared" si="1011"/>
        <v>#N/A</v>
      </c>
      <c r="CL809" s="616" t="e">
        <f t="shared" si="1011"/>
        <v>#N/A</v>
      </c>
      <c r="CM809" s="616" t="e">
        <f t="shared" si="1011"/>
        <v>#N/A</v>
      </c>
      <c r="CN809" s="616" t="e">
        <f t="shared" si="1011"/>
        <v>#N/A</v>
      </c>
    </row>
    <row r="810" spans="8:92">
      <c r="H810" s="602" t="s">
        <v>940</v>
      </c>
      <c r="L810" s="618" t="s">
        <v>1297</v>
      </c>
      <c r="M810" s="600" t="s">
        <v>922</v>
      </c>
      <c r="N810" s="615" t="e">
        <f>SUM(U810:AF810)</f>
        <v>#N/A</v>
      </c>
      <c r="O810" s="615" t="e">
        <f>SUM(AG810:AR810)</f>
        <v>#N/A</v>
      </c>
      <c r="P810" s="615" t="e">
        <f>SUM(AS810:BD810)</f>
        <v>#N/A</v>
      </c>
      <c r="Q810" s="615" t="e">
        <f>SUM(BE810:BP810)</f>
        <v>#N/A</v>
      </c>
      <c r="R810" s="615" t="e">
        <f>SUM(BQ810:CB810)</f>
        <v>#N/A</v>
      </c>
      <c r="S810" s="615" t="e">
        <f>SUM(CC810:CN810)</f>
        <v>#N/A</v>
      </c>
      <c r="U810" s="616" t="e">
        <f t="shared" ref="U810:CF810" si="1012">MIN(U807-U809,$Q$387)</f>
        <v>#N/A</v>
      </c>
      <c r="V810" s="616" t="e">
        <f t="shared" si="1012"/>
        <v>#N/A</v>
      </c>
      <c r="W810" s="616" t="e">
        <f t="shared" si="1012"/>
        <v>#N/A</v>
      </c>
      <c r="X810" s="616" t="e">
        <f t="shared" si="1012"/>
        <v>#N/A</v>
      </c>
      <c r="Y810" s="616" t="e">
        <f t="shared" si="1012"/>
        <v>#N/A</v>
      </c>
      <c r="Z810" s="616" t="e">
        <f t="shared" si="1012"/>
        <v>#N/A</v>
      </c>
      <c r="AA810" s="616" t="e">
        <f t="shared" si="1012"/>
        <v>#N/A</v>
      </c>
      <c r="AB810" s="616" t="e">
        <f t="shared" si="1012"/>
        <v>#N/A</v>
      </c>
      <c r="AC810" s="616" t="e">
        <f t="shared" si="1012"/>
        <v>#N/A</v>
      </c>
      <c r="AD810" s="616" t="e">
        <f t="shared" si="1012"/>
        <v>#N/A</v>
      </c>
      <c r="AE810" s="616" t="e">
        <f t="shared" si="1012"/>
        <v>#N/A</v>
      </c>
      <c r="AF810" s="616" t="e">
        <f t="shared" si="1012"/>
        <v>#N/A</v>
      </c>
      <c r="AG810" s="616" t="e">
        <f t="shared" si="1012"/>
        <v>#N/A</v>
      </c>
      <c r="AH810" s="616" t="e">
        <f t="shared" si="1012"/>
        <v>#N/A</v>
      </c>
      <c r="AI810" s="616" t="e">
        <f t="shared" si="1012"/>
        <v>#N/A</v>
      </c>
      <c r="AJ810" s="616" t="e">
        <f t="shared" si="1012"/>
        <v>#N/A</v>
      </c>
      <c r="AK810" s="616" t="e">
        <f t="shared" si="1012"/>
        <v>#N/A</v>
      </c>
      <c r="AL810" s="616" t="e">
        <f t="shared" si="1012"/>
        <v>#N/A</v>
      </c>
      <c r="AM810" s="616" t="e">
        <f t="shared" si="1012"/>
        <v>#N/A</v>
      </c>
      <c r="AN810" s="616" t="e">
        <f t="shared" si="1012"/>
        <v>#N/A</v>
      </c>
      <c r="AO810" s="616" t="e">
        <f t="shared" si="1012"/>
        <v>#N/A</v>
      </c>
      <c r="AP810" s="616" t="e">
        <f t="shared" si="1012"/>
        <v>#N/A</v>
      </c>
      <c r="AQ810" s="616" t="e">
        <f t="shared" si="1012"/>
        <v>#N/A</v>
      </c>
      <c r="AR810" s="616" t="e">
        <f t="shared" si="1012"/>
        <v>#N/A</v>
      </c>
      <c r="AS810" s="616" t="e">
        <f t="shared" si="1012"/>
        <v>#N/A</v>
      </c>
      <c r="AT810" s="616" t="e">
        <f t="shared" si="1012"/>
        <v>#N/A</v>
      </c>
      <c r="AU810" s="616" t="e">
        <f t="shared" si="1012"/>
        <v>#N/A</v>
      </c>
      <c r="AV810" s="616" t="e">
        <f t="shared" si="1012"/>
        <v>#N/A</v>
      </c>
      <c r="AW810" s="616" t="e">
        <f t="shared" si="1012"/>
        <v>#N/A</v>
      </c>
      <c r="AX810" s="616" t="e">
        <f t="shared" si="1012"/>
        <v>#N/A</v>
      </c>
      <c r="AY810" s="616" t="e">
        <f t="shared" si="1012"/>
        <v>#N/A</v>
      </c>
      <c r="AZ810" s="616" t="e">
        <f t="shared" si="1012"/>
        <v>#N/A</v>
      </c>
      <c r="BA810" s="616" t="e">
        <f t="shared" si="1012"/>
        <v>#N/A</v>
      </c>
      <c r="BB810" s="616" t="e">
        <f t="shared" si="1012"/>
        <v>#N/A</v>
      </c>
      <c r="BC810" s="616" t="e">
        <f t="shared" si="1012"/>
        <v>#N/A</v>
      </c>
      <c r="BD810" s="616" t="e">
        <f t="shared" si="1012"/>
        <v>#N/A</v>
      </c>
      <c r="BE810" s="616" t="e">
        <f t="shared" si="1012"/>
        <v>#N/A</v>
      </c>
      <c r="BF810" s="616" t="e">
        <f t="shared" si="1012"/>
        <v>#N/A</v>
      </c>
      <c r="BG810" s="616" t="e">
        <f t="shared" si="1012"/>
        <v>#N/A</v>
      </c>
      <c r="BH810" s="616" t="e">
        <f t="shared" si="1012"/>
        <v>#N/A</v>
      </c>
      <c r="BI810" s="616" t="e">
        <f t="shared" si="1012"/>
        <v>#N/A</v>
      </c>
      <c r="BJ810" s="616" t="e">
        <f t="shared" si="1012"/>
        <v>#N/A</v>
      </c>
      <c r="BK810" s="616" t="e">
        <f t="shared" si="1012"/>
        <v>#N/A</v>
      </c>
      <c r="BL810" s="616" t="e">
        <f t="shared" si="1012"/>
        <v>#N/A</v>
      </c>
      <c r="BM810" s="616" t="e">
        <f t="shared" si="1012"/>
        <v>#N/A</v>
      </c>
      <c r="BN810" s="616" t="e">
        <f t="shared" si="1012"/>
        <v>#N/A</v>
      </c>
      <c r="BO810" s="616" t="e">
        <f t="shared" si="1012"/>
        <v>#N/A</v>
      </c>
      <c r="BP810" s="616" t="e">
        <f t="shared" si="1012"/>
        <v>#N/A</v>
      </c>
      <c r="BQ810" s="616" t="e">
        <f t="shared" si="1012"/>
        <v>#N/A</v>
      </c>
      <c r="BR810" s="616" t="e">
        <f t="shared" si="1012"/>
        <v>#N/A</v>
      </c>
      <c r="BS810" s="616" t="e">
        <f t="shared" si="1012"/>
        <v>#N/A</v>
      </c>
      <c r="BT810" s="616" t="e">
        <f t="shared" si="1012"/>
        <v>#N/A</v>
      </c>
      <c r="BU810" s="616" t="e">
        <f t="shared" si="1012"/>
        <v>#N/A</v>
      </c>
      <c r="BV810" s="616" t="e">
        <f t="shared" si="1012"/>
        <v>#N/A</v>
      </c>
      <c r="BW810" s="616" t="e">
        <f t="shared" si="1012"/>
        <v>#N/A</v>
      </c>
      <c r="BX810" s="616" t="e">
        <f t="shared" si="1012"/>
        <v>#N/A</v>
      </c>
      <c r="BY810" s="616" t="e">
        <f t="shared" si="1012"/>
        <v>#N/A</v>
      </c>
      <c r="BZ810" s="616" t="e">
        <f t="shared" si="1012"/>
        <v>#N/A</v>
      </c>
      <c r="CA810" s="616" t="e">
        <f t="shared" si="1012"/>
        <v>#N/A</v>
      </c>
      <c r="CB810" s="616" t="e">
        <f t="shared" si="1012"/>
        <v>#N/A</v>
      </c>
      <c r="CC810" s="616" t="e">
        <f t="shared" si="1012"/>
        <v>#N/A</v>
      </c>
      <c r="CD810" s="616" t="e">
        <f t="shared" si="1012"/>
        <v>#N/A</v>
      </c>
      <c r="CE810" s="616" t="e">
        <f t="shared" si="1012"/>
        <v>#N/A</v>
      </c>
      <c r="CF810" s="616" t="e">
        <f t="shared" si="1012"/>
        <v>#N/A</v>
      </c>
      <c r="CG810" s="616" t="e">
        <f t="shared" ref="CG810:CN810" si="1013">MIN(CG807-CG809,$Q$387)</f>
        <v>#N/A</v>
      </c>
      <c r="CH810" s="616" t="e">
        <f t="shared" si="1013"/>
        <v>#N/A</v>
      </c>
      <c r="CI810" s="616" t="e">
        <f t="shared" si="1013"/>
        <v>#N/A</v>
      </c>
      <c r="CJ810" s="616" t="e">
        <f t="shared" si="1013"/>
        <v>#N/A</v>
      </c>
      <c r="CK810" s="616" t="e">
        <f t="shared" si="1013"/>
        <v>#N/A</v>
      </c>
      <c r="CL810" s="616" t="e">
        <f t="shared" si="1013"/>
        <v>#N/A</v>
      </c>
      <c r="CM810" s="616" t="e">
        <f t="shared" si="1013"/>
        <v>#N/A</v>
      </c>
      <c r="CN810" s="616" t="e">
        <f t="shared" si="1013"/>
        <v>#N/A</v>
      </c>
    </row>
    <row r="811" spans="8:92">
      <c r="H811" s="602" t="s">
        <v>940</v>
      </c>
      <c r="L811" s="618" t="s">
        <v>1298</v>
      </c>
      <c r="M811" s="600" t="s">
        <v>922</v>
      </c>
      <c r="N811" s="615" t="e">
        <f>SUM(U811:AF811)</f>
        <v>#N/A</v>
      </c>
      <c r="O811" s="615" t="e">
        <f>SUM(AG811:AR811)</f>
        <v>#N/A</v>
      </c>
      <c r="P811" s="615" t="e">
        <f>SUM(AS811:BD811)</f>
        <v>#N/A</v>
      </c>
      <c r="Q811" s="615" t="e">
        <f>SUM(BE811:BP811)</f>
        <v>#N/A</v>
      </c>
      <c r="R811" s="615" t="e">
        <f>SUM(BQ811:CB811)</f>
        <v>#N/A</v>
      </c>
      <c r="S811" s="615" t="e">
        <f>SUM(CC811:CN811)</f>
        <v>#N/A</v>
      </c>
      <c r="U811" s="616" t="e">
        <f t="shared" ref="U811:CF811" si="1014">MIN(U807-(U809+U810),$Q$388)</f>
        <v>#N/A</v>
      </c>
      <c r="V811" s="616" t="e">
        <f t="shared" si="1014"/>
        <v>#N/A</v>
      </c>
      <c r="W811" s="616" t="e">
        <f t="shared" si="1014"/>
        <v>#N/A</v>
      </c>
      <c r="X811" s="616" t="e">
        <f t="shared" si="1014"/>
        <v>#N/A</v>
      </c>
      <c r="Y811" s="616" t="e">
        <f t="shared" si="1014"/>
        <v>#N/A</v>
      </c>
      <c r="Z811" s="616" t="e">
        <f t="shared" si="1014"/>
        <v>#N/A</v>
      </c>
      <c r="AA811" s="616" t="e">
        <f t="shared" si="1014"/>
        <v>#N/A</v>
      </c>
      <c r="AB811" s="616" t="e">
        <f t="shared" si="1014"/>
        <v>#N/A</v>
      </c>
      <c r="AC811" s="616" t="e">
        <f t="shared" si="1014"/>
        <v>#N/A</v>
      </c>
      <c r="AD811" s="616" t="e">
        <f t="shared" si="1014"/>
        <v>#N/A</v>
      </c>
      <c r="AE811" s="616" t="e">
        <f t="shared" si="1014"/>
        <v>#N/A</v>
      </c>
      <c r="AF811" s="616" t="e">
        <f t="shared" si="1014"/>
        <v>#N/A</v>
      </c>
      <c r="AG811" s="616" t="e">
        <f t="shared" si="1014"/>
        <v>#N/A</v>
      </c>
      <c r="AH811" s="616" t="e">
        <f t="shared" si="1014"/>
        <v>#N/A</v>
      </c>
      <c r="AI811" s="616" t="e">
        <f t="shared" si="1014"/>
        <v>#N/A</v>
      </c>
      <c r="AJ811" s="616" t="e">
        <f t="shared" si="1014"/>
        <v>#N/A</v>
      </c>
      <c r="AK811" s="616" t="e">
        <f t="shared" si="1014"/>
        <v>#N/A</v>
      </c>
      <c r="AL811" s="616" t="e">
        <f t="shared" si="1014"/>
        <v>#N/A</v>
      </c>
      <c r="AM811" s="616" t="e">
        <f t="shared" si="1014"/>
        <v>#N/A</v>
      </c>
      <c r="AN811" s="616" t="e">
        <f t="shared" si="1014"/>
        <v>#N/A</v>
      </c>
      <c r="AO811" s="616" t="e">
        <f t="shared" si="1014"/>
        <v>#N/A</v>
      </c>
      <c r="AP811" s="616" t="e">
        <f t="shared" si="1014"/>
        <v>#N/A</v>
      </c>
      <c r="AQ811" s="616" t="e">
        <f t="shared" si="1014"/>
        <v>#N/A</v>
      </c>
      <c r="AR811" s="616" t="e">
        <f t="shared" si="1014"/>
        <v>#N/A</v>
      </c>
      <c r="AS811" s="616" t="e">
        <f t="shared" si="1014"/>
        <v>#N/A</v>
      </c>
      <c r="AT811" s="616" t="e">
        <f t="shared" si="1014"/>
        <v>#N/A</v>
      </c>
      <c r="AU811" s="616" t="e">
        <f t="shared" si="1014"/>
        <v>#N/A</v>
      </c>
      <c r="AV811" s="616" t="e">
        <f t="shared" si="1014"/>
        <v>#N/A</v>
      </c>
      <c r="AW811" s="616" t="e">
        <f t="shared" si="1014"/>
        <v>#N/A</v>
      </c>
      <c r="AX811" s="616" t="e">
        <f t="shared" si="1014"/>
        <v>#N/A</v>
      </c>
      <c r="AY811" s="616" t="e">
        <f t="shared" si="1014"/>
        <v>#N/A</v>
      </c>
      <c r="AZ811" s="616" t="e">
        <f t="shared" si="1014"/>
        <v>#N/A</v>
      </c>
      <c r="BA811" s="616" t="e">
        <f t="shared" si="1014"/>
        <v>#N/A</v>
      </c>
      <c r="BB811" s="616" t="e">
        <f t="shared" si="1014"/>
        <v>#N/A</v>
      </c>
      <c r="BC811" s="616" t="e">
        <f t="shared" si="1014"/>
        <v>#N/A</v>
      </c>
      <c r="BD811" s="616" t="e">
        <f t="shared" si="1014"/>
        <v>#N/A</v>
      </c>
      <c r="BE811" s="616" t="e">
        <f t="shared" si="1014"/>
        <v>#N/A</v>
      </c>
      <c r="BF811" s="616" t="e">
        <f t="shared" si="1014"/>
        <v>#N/A</v>
      </c>
      <c r="BG811" s="616" t="e">
        <f t="shared" si="1014"/>
        <v>#N/A</v>
      </c>
      <c r="BH811" s="616" t="e">
        <f t="shared" si="1014"/>
        <v>#N/A</v>
      </c>
      <c r="BI811" s="616" t="e">
        <f t="shared" si="1014"/>
        <v>#N/A</v>
      </c>
      <c r="BJ811" s="616" t="e">
        <f t="shared" si="1014"/>
        <v>#N/A</v>
      </c>
      <c r="BK811" s="616" t="e">
        <f t="shared" si="1014"/>
        <v>#N/A</v>
      </c>
      <c r="BL811" s="616" t="e">
        <f t="shared" si="1014"/>
        <v>#N/A</v>
      </c>
      <c r="BM811" s="616" t="e">
        <f t="shared" si="1014"/>
        <v>#N/A</v>
      </c>
      <c r="BN811" s="616" t="e">
        <f t="shared" si="1014"/>
        <v>#N/A</v>
      </c>
      <c r="BO811" s="616" t="e">
        <f t="shared" si="1014"/>
        <v>#N/A</v>
      </c>
      <c r="BP811" s="616" t="e">
        <f t="shared" si="1014"/>
        <v>#N/A</v>
      </c>
      <c r="BQ811" s="616" t="e">
        <f t="shared" si="1014"/>
        <v>#N/A</v>
      </c>
      <c r="BR811" s="616" t="e">
        <f t="shared" si="1014"/>
        <v>#N/A</v>
      </c>
      <c r="BS811" s="616" t="e">
        <f t="shared" si="1014"/>
        <v>#N/A</v>
      </c>
      <c r="BT811" s="616" t="e">
        <f t="shared" si="1014"/>
        <v>#N/A</v>
      </c>
      <c r="BU811" s="616" t="e">
        <f t="shared" si="1014"/>
        <v>#N/A</v>
      </c>
      <c r="BV811" s="616" t="e">
        <f t="shared" si="1014"/>
        <v>#N/A</v>
      </c>
      <c r="BW811" s="616" t="e">
        <f t="shared" si="1014"/>
        <v>#N/A</v>
      </c>
      <c r="BX811" s="616" t="e">
        <f t="shared" si="1014"/>
        <v>#N/A</v>
      </c>
      <c r="BY811" s="616" t="e">
        <f t="shared" si="1014"/>
        <v>#N/A</v>
      </c>
      <c r="BZ811" s="616" t="e">
        <f t="shared" si="1014"/>
        <v>#N/A</v>
      </c>
      <c r="CA811" s="616" t="e">
        <f t="shared" si="1014"/>
        <v>#N/A</v>
      </c>
      <c r="CB811" s="616" t="e">
        <f t="shared" si="1014"/>
        <v>#N/A</v>
      </c>
      <c r="CC811" s="616" t="e">
        <f t="shared" si="1014"/>
        <v>#N/A</v>
      </c>
      <c r="CD811" s="616" t="e">
        <f t="shared" si="1014"/>
        <v>#N/A</v>
      </c>
      <c r="CE811" s="616" t="e">
        <f t="shared" si="1014"/>
        <v>#N/A</v>
      </c>
      <c r="CF811" s="616" t="e">
        <f t="shared" si="1014"/>
        <v>#N/A</v>
      </c>
      <c r="CG811" s="616" t="e">
        <f t="shared" ref="CG811:CN811" si="1015">MIN(CG807-(CG809+CG810),$Q$388)</f>
        <v>#N/A</v>
      </c>
      <c r="CH811" s="616" t="e">
        <f t="shared" si="1015"/>
        <v>#N/A</v>
      </c>
      <c r="CI811" s="616" t="e">
        <f t="shared" si="1015"/>
        <v>#N/A</v>
      </c>
      <c r="CJ811" s="616" t="e">
        <f t="shared" si="1015"/>
        <v>#N/A</v>
      </c>
      <c r="CK811" s="616" t="e">
        <f t="shared" si="1015"/>
        <v>#N/A</v>
      </c>
      <c r="CL811" s="616" t="e">
        <f t="shared" si="1015"/>
        <v>#N/A</v>
      </c>
      <c r="CM811" s="616" t="e">
        <f t="shared" si="1015"/>
        <v>#N/A</v>
      </c>
      <c r="CN811" s="616" t="e">
        <f t="shared" si="1015"/>
        <v>#N/A</v>
      </c>
    </row>
    <row r="812" spans="8:92">
      <c r="H812" s="602" t="s">
        <v>940</v>
      </c>
      <c r="L812" s="618" t="s">
        <v>1299</v>
      </c>
      <c r="M812" s="600" t="s">
        <v>922</v>
      </c>
      <c r="N812" s="615" t="e">
        <f>SUM(U812:AF812)</f>
        <v>#N/A</v>
      </c>
      <c r="O812" s="615" t="e">
        <f>SUM(AG812:AR812)</f>
        <v>#N/A</v>
      </c>
      <c r="P812" s="615" t="e">
        <f>SUM(AS812:BD812)</f>
        <v>#N/A</v>
      </c>
      <c r="Q812" s="615" t="e">
        <f>SUM(BE812:BP812)</f>
        <v>#N/A</v>
      </c>
      <c r="R812" s="615" t="e">
        <f>SUM(BQ812:CB812)</f>
        <v>#N/A</v>
      </c>
      <c r="S812" s="615" t="e">
        <f>SUM(CC812:CN812)</f>
        <v>#N/A</v>
      </c>
      <c r="U812" s="616" t="e">
        <f t="shared" ref="U812:CF812" si="1016">MIN(U807-(U809+U810+U811),$Q$389)</f>
        <v>#N/A</v>
      </c>
      <c r="V812" s="616" t="e">
        <f t="shared" si="1016"/>
        <v>#N/A</v>
      </c>
      <c r="W812" s="616" t="e">
        <f t="shared" si="1016"/>
        <v>#N/A</v>
      </c>
      <c r="X812" s="616" t="e">
        <f t="shared" si="1016"/>
        <v>#N/A</v>
      </c>
      <c r="Y812" s="616" t="e">
        <f t="shared" si="1016"/>
        <v>#N/A</v>
      </c>
      <c r="Z812" s="616" t="e">
        <f t="shared" si="1016"/>
        <v>#N/A</v>
      </c>
      <c r="AA812" s="616" t="e">
        <f t="shared" si="1016"/>
        <v>#N/A</v>
      </c>
      <c r="AB812" s="616" t="e">
        <f t="shared" si="1016"/>
        <v>#N/A</v>
      </c>
      <c r="AC812" s="616" t="e">
        <f t="shared" si="1016"/>
        <v>#N/A</v>
      </c>
      <c r="AD812" s="616" t="e">
        <f t="shared" si="1016"/>
        <v>#N/A</v>
      </c>
      <c r="AE812" s="616" t="e">
        <f t="shared" si="1016"/>
        <v>#N/A</v>
      </c>
      <c r="AF812" s="616" t="e">
        <f t="shared" si="1016"/>
        <v>#N/A</v>
      </c>
      <c r="AG812" s="616" t="e">
        <f t="shared" si="1016"/>
        <v>#N/A</v>
      </c>
      <c r="AH812" s="616" t="e">
        <f t="shared" si="1016"/>
        <v>#N/A</v>
      </c>
      <c r="AI812" s="616" t="e">
        <f t="shared" si="1016"/>
        <v>#N/A</v>
      </c>
      <c r="AJ812" s="616" t="e">
        <f t="shared" si="1016"/>
        <v>#N/A</v>
      </c>
      <c r="AK812" s="616" t="e">
        <f t="shared" si="1016"/>
        <v>#N/A</v>
      </c>
      <c r="AL812" s="616" t="e">
        <f t="shared" si="1016"/>
        <v>#N/A</v>
      </c>
      <c r="AM812" s="616" t="e">
        <f t="shared" si="1016"/>
        <v>#N/A</v>
      </c>
      <c r="AN812" s="616" t="e">
        <f t="shared" si="1016"/>
        <v>#N/A</v>
      </c>
      <c r="AO812" s="616" t="e">
        <f t="shared" si="1016"/>
        <v>#N/A</v>
      </c>
      <c r="AP812" s="616" t="e">
        <f t="shared" si="1016"/>
        <v>#N/A</v>
      </c>
      <c r="AQ812" s="616" t="e">
        <f t="shared" si="1016"/>
        <v>#N/A</v>
      </c>
      <c r="AR812" s="616" t="e">
        <f t="shared" si="1016"/>
        <v>#N/A</v>
      </c>
      <c r="AS812" s="616" t="e">
        <f t="shared" si="1016"/>
        <v>#N/A</v>
      </c>
      <c r="AT812" s="616" t="e">
        <f t="shared" si="1016"/>
        <v>#N/A</v>
      </c>
      <c r="AU812" s="616" t="e">
        <f t="shared" si="1016"/>
        <v>#N/A</v>
      </c>
      <c r="AV812" s="616" t="e">
        <f t="shared" si="1016"/>
        <v>#N/A</v>
      </c>
      <c r="AW812" s="616" t="e">
        <f t="shared" si="1016"/>
        <v>#N/A</v>
      </c>
      <c r="AX812" s="616" t="e">
        <f t="shared" si="1016"/>
        <v>#N/A</v>
      </c>
      <c r="AY812" s="616" t="e">
        <f t="shared" si="1016"/>
        <v>#N/A</v>
      </c>
      <c r="AZ812" s="616" t="e">
        <f t="shared" si="1016"/>
        <v>#N/A</v>
      </c>
      <c r="BA812" s="616" t="e">
        <f t="shared" si="1016"/>
        <v>#N/A</v>
      </c>
      <c r="BB812" s="616" t="e">
        <f t="shared" si="1016"/>
        <v>#N/A</v>
      </c>
      <c r="BC812" s="616" t="e">
        <f t="shared" si="1016"/>
        <v>#N/A</v>
      </c>
      <c r="BD812" s="616" t="e">
        <f t="shared" si="1016"/>
        <v>#N/A</v>
      </c>
      <c r="BE812" s="616" t="e">
        <f t="shared" si="1016"/>
        <v>#N/A</v>
      </c>
      <c r="BF812" s="616" t="e">
        <f t="shared" si="1016"/>
        <v>#N/A</v>
      </c>
      <c r="BG812" s="616" t="e">
        <f t="shared" si="1016"/>
        <v>#N/A</v>
      </c>
      <c r="BH812" s="616" t="e">
        <f t="shared" si="1016"/>
        <v>#N/A</v>
      </c>
      <c r="BI812" s="616" t="e">
        <f t="shared" si="1016"/>
        <v>#N/A</v>
      </c>
      <c r="BJ812" s="616" t="e">
        <f t="shared" si="1016"/>
        <v>#N/A</v>
      </c>
      <c r="BK812" s="616" t="e">
        <f t="shared" si="1016"/>
        <v>#N/A</v>
      </c>
      <c r="BL812" s="616" t="e">
        <f t="shared" si="1016"/>
        <v>#N/A</v>
      </c>
      <c r="BM812" s="616" t="e">
        <f t="shared" si="1016"/>
        <v>#N/A</v>
      </c>
      <c r="BN812" s="616" t="e">
        <f t="shared" si="1016"/>
        <v>#N/A</v>
      </c>
      <c r="BO812" s="616" t="e">
        <f t="shared" si="1016"/>
        <v>#N/A</v>
      </c>
      <c r="BP812" s="616" t="e">
        <f t="shared" si="1016"/>
        <v>#N/A</v>
      </c>
      <c r="BQ812" s="616" t="e">
        <f t="shared" si="1016"/>
        <v>#N/A</v>
      </c>
      <c r="BR812" s="616" t="e">
        <f t="shared" si="1016"/>
        <v>#N/A</v>
      </c>
      <c r="BS812" s="616" t="e">
        <f t="shared" si="1016"/>
        <v>#N/A</v>
      </c>
      <c r="BT812" s="616" t="e">
        <f t="shared" si="1016"/>
        <v>#N/A</v>
      </c>
      <c r="BU812" s="616" t="e">
        <f t="shared" si="1016"/>
        <v>#N/A</v>
      </c>
      <c r="BV812" s="616" t="e">
        <f t="shared" si="1016"/>
        <v>#N/A</v>
      </c>
      <c r="BW812" s="616" t="e">
        <f t="shared" si="1016"/>
        <v>#N/A</v>
      </c>
      <c r="BX812" s="616" t="e">
        <f t="shared" si="1016"/>
        <v>#N/A</v>
      </c>
      <c r="BY812" s="616" t="e">
        <f t="shared" si="1016"/>
        <v>#N/A</v>
      </c>
      <c r="BZ812" s="616" t="e">
        <f t="shared" si="1016"/>
        <v>#N/A</v>
      </c>
      <c r="CA812" s="616" t="e">
        <f t="shared" si="1016"/>
        <v>#N/A</v>
      </c>
      <c r="CB812" s="616" t="e">
        <f t="shared" si="1016"/>
        <v>#N/A</v>
      </c>
      <c r="CC812" s="616" t="e">
        <f t="shared" si="1016"/>
        <v>#N/A</v>
      </c>
      <c r="CD812" s="616" t="e">
        <f t="shared" si="1016"/>
        <v>#N/A</v>
      </c>
      <c r="CE812" s="616" t="e">
        <f t="shared" si="1016"/>
        <v>#N/A</v>
      </c>
      <c r="CF812" s="616" t="e">
        <f t="shared" si="1016"/>
        <v>#N/A</v>
      </c>
      <c r="CG812" s="616" t="e">
        <f t="shared" ref="CG812:CN812" si="1017">MIN(CG807-(CG809+CG810+CG811),$Q$389)</f>
        <v>#N/A</v>
      </c>
      <c r="CH812" s="616" t="e">
        <f t="shared" si="1017"/>
        <v>#N/A</v>
      </c>
      <c r="CI812" s="616" t="e">
        <f t="shared" si="1017"/>
        <v>#N/A</v>
      </c>
      <c r="CJ812" s="616" t="e">
        <f t="shared" si="1017"/>
        <v>#N/A</v>
      </c>
      <c r="CK812" s="616" t="e">
        <f t="shared" si="1017"/>
        <v>#N/A</v>
      </c>
      <c r="CL812" s="616" t="e">
        <f t="shared" si="1017"/>
        <v>#N/A</v>
      </c>
      <c r="CM812" s="616" t="e">
        <f t="shared" si="1017"/>
        <v>#N/A</v>
      </c>
      <c r="CN812" s="616" t="e">
        <f t="shared" si="1017"/>
        <v>#N/A</v>
      </c>
    </row>
    <row r="813" spans="8:92">
      <c r="H813" s="602" t="s">
        <v>940</v>
      </c>
      <c r="L813" s="618"/>
      <c r="M813" s="600"/>
      <c r="N813" s="615"/>
      <c r="O813" s="615"/>
      <c r="P813" s="615"/>
      <c r="Q813" s="615"/>
      <c r="R813" s="615"/>
      <c r="S813" s="615"/>
    </row>
    <row r="814" spans="8:92">
      <c r="H814" s="602" t="s">
        <v>940</v>
      </c>
      <c r="L814" s="618" t="s">
        <v>1300</v>
      </c>
      <c r="M814" s="600" t="s">
        <v>974</v>
      </c>
      <c r="N814" s="615" t="e">
        <f>SUM(U814:AF814)</f>
        <v>#N/A</v>
      </c>
      <c r="O814" s="615" t="e">
        <f>SUM(AG814:AR814)</f>
        <v>#N/A</v>
      </c>
      <c r="P814" s="615" t="e">
        <f>SUM(AS814:BD814)</f>
        <v>#N/A</v>
      </c>
      <c r="Q814" s="615" t="e">
        <f>SUM(BE814:BP814)</f>
        <v>#N/A</v>
      </c>
      <c r="R814" s="615" t="e">
        <f>SUM(BQ814:CB814)</f>
        <v>#N/A</v>
      </c>
      <c r="S814" s="615" t="e">
        <f>SUM(CC814:CN814)</f>
        <v>#N/A</v>
      </c>
      <c r="U814" s="616" t="e">
        <f>U809*$Q$391</f>
        <v>#N/A</v>
      </c>
      <c r="V814" s="616" t="e">
        <f t="shared" ref="V814:CG814" si="1018">V809*$Q$391</f>
        <v>#N/A</v>
      </c>
      <c r="W814" s="616" t="e">
        <f t="shared" si="1018"/>
        <v>#N/A</v>
      </c>
      <c r="X814" s="616" t="e">
        <f t="shared" si="1018"/>
        <v>#N/A</v>
      </c>
      <c r="Y814" s="616" t="e">
        <f t="shared" si="1018"/>
        <v>#N/A</v>
      </c>
      <c r="Z814" s="616" t="e">
        <f t="shared" si="1018"/>
        <v>#N/A</v>
      </c>
      <c r="AA814" s="616" t="e">
        <f t="shared" si="1018"/>
        <v>#N/A</v>
      </c>
      <c r="AB814" s="616" t="e">
        <f t="shared" si="1018"/>
        <v>#N/A</v>
      </c>
      <c r="AC814" s="616" t="e">
        <f t="shared" si="1018"/>
        <v>#N/A</v>
      </c>
      <c r="AD814" s="616" t="e">
        <f t="shared" si="1018"/>
        <v>#N/A</v>
      </c>
      <c r="AE814" s="616" t="e">
        <f t="shared" si="1018"/>
        <v>#N/A</v>
      </c>
      <c r="AF814" s="616" t="e">
        <f t="shared" si="1018"/>
        <v>#N/A</v>
      </c>
      <c r="AG814" s="616" t="e">
        <f t="shared" si="1018"/>
        <v>#N/A</v>
      </c>
      <c r="AH814" s="616" t="e">
        <f t="shared" si="1018"/>
        <v>#N/A</v>
      </c>
      <c r="AI814" s="616" t="e">
        <f t="shared" si="1018"/>
        <v>#N/A</v>
      </c>
      <c r="AJ814" s="616" t="e">
        <f t="shared" si="1018"/>
        <v>#N/A</v>
      </c>
      <c r="AK814" s="616" t="e">
        <f t="shared" si="1018"/>
        <v>#N/A</v>
      </c>
      <c r="AL814" s="616" t="e">
        <f t="shared" si="1018"/>
        <v>#N/A</v>
      </c>
      <c r="AM814" s="616" t="e">
        <f t="shared" si="1018"/>
        <v>#N/A</v>
      </c>
      <c r="AN814" s="616" t="e">
        <f t="shared" si="1018"/>
        <v>#N/A</v>
      </c>
      <c r="AO814" s="616" t="e">
        <f t="shared" si="1018"/>
        <v>#N/A</v>
      </c>
      <c r="AP814" s="616" t="e">
        <f t="shared" si="1018"/>
        <v>#N/A</v>
      </c>
      <c r="AQ814" s="616" t="e">
        <f t="shared" si="1018"/>
        <v>#N/A</v>
      </c>
      <c r="AR814" s="616" t="e">
        <f t="shared" si="1018"/>
        <v>#N/A</v>
      </c>
      <c r="AS814" s="616" t="e">
        <f t="shared" si="1018"/>
        <v>#N/A</v>
      </c>
      <c r="AT814" s="616" t="e">
        <f t="shared" si="1018"/>
        <v>#N/A</v>
      </c>
      <c r="AU814" s="616" t="e">
        <f t="shared" si="1018"/>
        <v>#N/A</v>
      </c>
      <c r="AV814" s="616" t="e">
        <f t="shared" si="1018"/>
        <v>#N/A</v>
      </c>
      <c r="AW814" s="616" t="e">
        <f t="shared" si="1018"/>
        <v>#N/A</v>
      </c>
      <c r="AX814" s="616" t="e">
        <f t="shared" si="1018"/>
        <v>#N/A</v>
      </c>
      <c r="AY814" s="616" t="e">
        <f t="shared" si="1018"/>
        <v>#N/A</v>
      </c>
      <c r="AZ814" s="616" t="e">
        <f t="shared" si="1018"/>
        <v>#N/A</v>
      </c>
      <c r="BA814" s="616" t="e">
        <f t="shared" si="1018"/>
        <v>#N/A</v>
      </c>
      <c r="BB814" s="616" t="e">
        <f t="shared" si="1018"/>
        <v>#N/A</v>
      </c>
      <c r="BC814" s="616" t="e">
        <f t="shared" si="1018"/>
        <v>#N/A</v>
      </c>
      <c r="BD814" s="616" t="e">
        <f t="shared" si="1018"/>
        <v>#N/A</v>
      </c>
      <c r="BE814" s="616" t="e">
        <f t="shared" si="1018"/>
        <v>#N/A</v>
      </c>
      <c r="BF814" s="616" t="e">
        <f t="shared" si="1018"/>
        <v>#N/A</v>
      </c>
      <c r="BG814" s="616" t="e">
        <f t="shared" si="1018"/>
        <v>#N/A</v>
      </c>
      <c r="BH814" s="616" t="e">
        <f t="shared" si="1018"/>
        <v>#N/A</v>
      </c>
      <c r="BI814" s="616" t="e">
        <f t="shared" si="1018"/>
        <v>#N/A</v>
      </c>
      <c r="BJ814" s="616" t="e">
        <f t="shared" si="1018"/>
        <v>#N/A</v>
      </c>
      <c r="BK814" s="616" t="e">
        <f t="shared" si="1018"/>
        <v>#N/A</v>
      </c>
      <c r="BL814" s="616" t="e">
        <f t="shared" si="1018"/>
        <v>#N/A</v>
      </c>
      <c r="BM814" s="616" t="e">
        <f t="shared" si="1018"/>
        <v>#N/A</v>
      </c>
      <c r="BN814" s="616" t="e">
        <f t="shared" si="1018"/>
        <v>#N/A</v>
      </c>
      <c r="BO814" s="616" t="e">
        <f t="shared" si="1018"/>
        <v>#N/A</v>
      </c>
      <c r="BP814" s="616" t="e">
        <f t="shared" si="1018"/>
        <v>#N/A</v>
      </c>
      <c r="BQ814" s="616" t="e">
        <f t="shared" si="1018"/>
        <v>#N/A</v>
      </c>
      <c r="BR814" s="616" t="e">
        <f t="shared" si="1018"/>
        <v>#N/A</v>
      </c>
      <c r="BS814" s="616" t="e">
        <f t="shared" si="1018"/>
        <v>#N/A</v>
      </c>
      <c r="BT814" s="616" t="e">
        <f t="shared" si="1018"/>
        <v>#N/A</v>
      </c>
      <c r="BU814" s="616" t="e">
        <f t="shared" si="1018"/>
        <v>#N/A</v>
      </c>
      <c r="BV814" s="616" t="e">
        <f t="shared" si="1018"/>
        <v>#N/A</v>
      </c>
      <c r="BW814" s="616" t="e">
        <f t="shared" si="1018"/>
        <v>#N/A</v>
      </c>
      <c r="BX814" s="616" t="e">
        <f t="shared" si="1018"/>
        <v>#N/A</v>
      </c>
      <c r="BY814" s="616" t="e">
        <f t="shared" si="1018"/>
        <v>#N/A</v>
      </c>
      <c r="BZ814" s="616" t="e">
        <f t="shared" si="1018"/>
        <v>#N/A</v>
      </c>
      <c r="CA814" s="616" t="e">
        <f t="shared" si="1018"/>
        <v>#N/A</v>
      </c>
      <c r="CB814" s="616" t="e">
        <f t="shared" si="1018"/>
        <v>#N/A</v>
      </c>
      <c r="CC814" s="616" t="e">
        <f t="shared" si="1018"/>
        <v>#N/A</v>
      </c>
      <c r="CD814" s="616" t="e">
        <f t="shared" si="1018"/>
        <v>#N/A</v>
      </c>
      <c r="CE814" s="616" t="e">
        <f t="shared" si="1018"/>
        <v>#N/A</v>
      </c>
      <c r="CF814" s="616" t="e">
        <f t="shared" si="1018"/>
        <v>#N/A</v>
      </c>
      <c r="CG814" s="616" t="e">
        <f t="shared" si="1018"/>
        <v>#N/A</v>
      </c>
      <c r="CH814" s="616" t="e">
        <f t="shared" ref="CH814:CN814" si="1019">CH809*$Q$391</f>
        <v>#N/A</v>
      </c>
      <c r="CI814" s="616" t="e">
        <f t="shared" si="1019"/>
        <v>#N/A</v>
      </c>
      <c r="CJ814" s="616" t="e">
        <f t="shared" si="1019"/>
        <v>#N/A</v>
      </c>
      <c r="CK814" s="616" t="e">
        <f t="shared" si="1019"/>
        <v>#N/A</v>
      </c>
      <c r="CL814" s="616" t="e">
        <f t="shared" si="1019"/>
        <v>#N/A</v>
      </c>
      <c r="CM814" s="616" t="e">
        <f t="shared" si="1019"/>
        <v>#N/A</v>
      </c>
      <c r="CN814" s="616" t="e">
        <f t="shared" si="1019"/>
        <v>#N/A</v>
      </c>
    </row>
    <row r="815" spans="8:92">
      <c r="H815" s="602" t="s">
        <v>940</v>
      </c>
      <c r="L815" s="618" t="s">
        <v>1301</v>
      </c>
      <c r="M815" s="600" t="s">
        <v>974</v>
      </c>
      <c r="N815" s="615" t="e">
        <f>SUM(U815:AF815)</f>
        <v>#N/A</v>
      </c>
      <c r="O815" s="615" t="e">
        <f>SUM(AG815:AR815)</f>
        <v>#N/A</v>
      </c>
      <c r="P815" s="615" t="e">
        <f>SUM(AS815:BD815)</f>
        <v>#N/A</v>
      </c>
      <c r="Q815" s="615" t="e">
        <f>SUM(BE815:BP815)</f>
        <v>#N/A</v>
      </c>
      <c r="R815" s="615" t="e">
        <f>SUM(BQ815:CB815)</f>
        <v>#N/A</v>
      </c>
      <c r="S815" s="615" t="e">
        <f>SUM(CC815:CN815)</f>
        <v>#N/A</v>
      </c>
      <c r="U815" s="616" t="e">
        <f>U810*$Q$392</f>
        <v>#N/A</v>
      </c>
      <c r="V815" s="616" t="e">
        <f t="shared" ref="V815:CG815" si="1020">V810*$Q$392</f>
        <v>#N/A</v>
      </c>
      <c r="W815" s="616" t="e">
        <f t="shared" si="1020"/>
        <v>#N/A</v>
      </c>
      <c r="X815" s="616" t="e">
        <f t="shared" si="1020"/>
        <v>#N/A</v>
      </c>
      <c r="Y815" s="616" t="e">
        <f t="shared" si="1020"/>
        <v>#N/A</v>
      </c>
      <c r="Z815" s="616" t="e">
        <f t="shared" si="1020"/>
        <v>#N/A</v>
      </c>
      <c r="AA815" s="616" t="e">
        <f t="shared" si="1020"/>
        <v>#N/A</v>
      </c>
      <c r="AB815" s="616" t="e">
        <f t="shared" si="1020"/>
        <v>#N/A</v>
      </c>
      <c r="AC815" s="616" t="e">
        <f t="shared" si="1020"/>
        <v>#N/A</v>
      </c>
      <c r="AD815" s="616" t="e">
        <f t="shared" si="1020"/>
        <v>#N/A</v>
      </c>
      <c r="AE815" s="616" t="e">
        <f t="shared" si="1020"/>
        <v>#N/A</v>
      </c>
      <c r="AF815" s="616" t="e">
        <f t="shared" si="1020"/>
        <v>#N/A</v>
      </c>
      <c r="AG815" s="616" t="e">
        <f t="shared" si="1020"/>
        <v>#N/A</v>
      </c>
      <c r="AH815" s="616" t="e">
        <f t="shared" si="1020"/>
        <v>#N/A</v>
      </c>
      <c r="AI815" s="616" t="e">
        <f t="shared" si="1020"/>
        <v>#N/A</v>
      </c>
      <c r="AJ815" s="616" t="e">
        <f t="shared" si="1020"/>
        <v>#N/A</v>
      </c>
      <c r="AK815" s="616" t="e">
        <f t="shared" si="1020"/>
        <v>#N/A</v>
      </c>
      <c r="AL815" s="616" t="e">
        <f t="shared" si="1020"/>
        <v>#N/A</v>
      </c>
      <c r="AM815" s="616" t="e">
        <f t="shared" si="1020"/>
        <v>#N/A</v>
      </c>
      <c r="AN815" s="616" t="e">
        <f t="shared" si="1020"/>
        <v>#N/A</v>
      </c>
      <c r="AO815" s="616" t="e">
        <f t="shared" si="1020"/>
        <v>#N/A</v>
      </c>
      <c r="AP815" s="616" t="e">
        <f t="shared" si="1020"/>
        <v>#N/A</v>
      </c>
      <c r="AQ815" s="616" t="e">
        <f t="shared" si="1020"/>
        <v>#N/A</v>
      </c>
      <c r="AR815" s="616" t="e">
        <f t="shared" si="1020"/>
        <v>#N/A</v>
      </c>
      <c r="AS815" s="616" t="e">
        <f t="shared" si="1020"/>
        <v>#N/A</v>
      </c>
      <c r="AT815" s="616" t="e">
        <f t="shared" si="1020"/>
        <v>#N/A</v>
      </c>
      <c r="AU815" s="616" t="e">
        <f t="shared" si="1020"/>
        <v>#N/A</v>
      </c>
      <c r="AV815" s="616" t="e">
        <f t="shared" si="1020"/>
        <v>#N/A</v>
      </c>
      <c r="AW815" s="616" t="e">
        <f t="shared" si="1020"/>
        <v>#N/A</v>
      </c>
      <c r="AX815" s="616" t="e">
        <f t="shared" si="1020"/>
        <v>#N/A</v>
      </c>
      <c r="AY815" s="616" t="e">
        <f t="shared" si="1020"/>
        <v>#N/A</v>
      </c>
      <c r="AZ815" s="616" t="e">
        <f t="shared" si="1020"/>
        <v>#N/A</v>
      </c>
      <c r="BA815" s="616" t="e">
        <f t="shared" si="1020"/>
        <v>#N/A</v>
      </c>
      <c r="BB815" s="616" t="e">
        <f t="shared" si="1020"/>
        <v>#N/A</v>
      </c>
      <c r="BC815" s="616" t="e">
        <f t="shared" si="1020"/>
        <v>#N/A</v>
      </c>
      <c r="BD815" s="616" t="e">
        <f t="shared" si="1020"/>
        <v>#N/A</v>
      </c>
      <c r="BE815" s="616" t="e">
        <f t="shared" si="1020"/>
        <v>#N/A</v>
      </c>
      <c r="BF815" s="616" t="e">
        <f t="shared" si="1020"/>
        <v>#N/A</v>
      </c>
      <c r="BG815" s="616" t="e">
        <f t="shared" si="1020"/>
        <v>#N/A</v>
      </c>
      <c r="BH815" s="616" t="e">
        <f t="shared" si="1020"/>
        <v>#N/A</v>
      </c>
      <c r="BI815" s="616" t="e">
        <f t="shared" si="1020"/>
        <v>#N/A</v>
      </c>
      <c r="BJ815" s="616" t="e">
        <f t="shared" si="1020"/>
        <v>#N/A</v>
      </c>
      <c r="BK815" s="616" t="e">
        <f t="shared" si="1020"/>
        <v>#N/A</v>
      </c>
      <c r="BL815" s="616" t="e">
        <f t="shared" si="1020"/>
        <v>#N/A</v>
      </c>
      <c r="BM815" s="616" t="e">
        <f t="shared" si="1020"/>
        <v>#N/A</v>
      </c>
      <c r="BN815" s="616" t="e">
        <f t="shared" si="1020"/>
        <v>#N/A</v>
      </c>
      <c r="BO815" s="616" t="e">
        <f t="shared" si="1020"/>
        <v>#N/A</v>
      </c>
      <c r="BP815" s="616" t="e">
        <f t="shared" si="1020"/>
        <v>#N/A</v>
      </c>
      <c r="BQ815" s="616" t="e">
        <f t="shared" si="1020"/>
        <v>#N/A</v>
      </c>
      <c r="BR815" s="616" t="e">
        <f t="shared" si="1020"/>
        <v>#N/A</v>
      </c>
      <c r="BS815" s="616" t="e">
        <f t="shared" si="1020"/>
        <v>#N/A</v>
      </c>
      <c r="BT815" s="616" t="e">
        <f t="shared" si="1020"/>
        <v>#N/A</v>
      </c>
      <c r="BU815" s="616" t="e">
        <f t="shared" si="1020"/>
        <v>#N/A</v>
      </c>
      <c r="BV815" s="616" t="e">
        <f t="shared" si="1020"/>
        <v>#N/A</v>
      </c>
      <c r="BW815" s="616" t="e">
        <f t="shared" si="1020"/>
        <v>#N/A</v>
      </c>
      <c r="BX815" s="616" t="e">
        <f t="shared" si="1020"/>
        <v>#N/A</v>
      </c>
      <c r="BY815" s="616" t="e">
        <f t="shared" si="1020"/>
        <v>#N/A</v>
      </c>
      <c r="BZ815" s="616" t="e">
        <f t="shared" si="1020"/>
        <v>#N/A</v>
      </c>
      <c r="CA815" s="616" t="e">
        <f t="shared" si="1020"/>
        <v>#N/A</v>
      </c>
      <c r="CB815" s="616" t="e">
        <f t="shared" si="1020"/>
        <v>#N/A</v>
      </c>
      <c r="CC815" s="616" t="e">
        <f t="shared" si="1020"/>
        <v>#N/A</v>
      </c>
      <c r="CD815" s="616" t="e">
        <f t="shared" si="1020"/>
        <v>#N/A</v>
      </c>
      <c r="CE815" s="616" t="e">
        <f t="shared" si="1020"/>
        <v>#N/A</v>
      </c>
      <c r="CF815" s="616" t="e">
        <f t="shared" si="1020"/>
        <v>#N/A</v>
      </c>
      <c r="CG815" s="616" t="e">
        <f t="shared" si="1020"/>
        <v>#N/A</v>
      </c>
      <c r="CH815" s="616" t="e">
        <f t="shared" ref="CH815:CN815" si="1021">CH810*$Q$392</f>
        <v>#N/A</v>
      </c>
      <c r="CI815" s="616" t="e">
        <f t="shared" si="1021"/>
        <v>#N/A</v>
      </c>
      <c r="CJ815" s="616" t="e">
        <f t="shared" si="1021"/>
        <v>#N/A</v>
      </c>
      <c r="CK815" s="616" t="e">
        <f t="shared" si="1021"/>
        <v>#N/A</v>
      </c>
      <c r="CL815" s="616" t="e">
        <f t="shared" si="1021"/>
        <v>#N/A</v>
      </c>
      <c r="CM815" s="616" t="e">
        <f t="shared" si="1021"/>
        <v>#N/A</v>
      </c>
      <c r="CN815" s="616" t="e">
        <f t="shared" si="1021"/>
        <v>#N/A</v>
      </c>
    </row>
    <row r="816" spans="8:92">
      <c r="H816" s="602" t="s">
        <v>940</v>
      </c>
      <c r="L816" s="618" t="s">
        <v>1302</v>
      </c>
      <c r="M816" s="600" t="s">
        <v>974</v>
      </c>
      <c r="N816" s="615" t="e">
        <f>SUM(U816:AF816)</f>
        <v>#N/A</v>
      </c>
      <c r="O816" s="615" t="e">
        <f>SUM(AG816:AR816)</f>
        <v>#N/A</v>
      </c>
      <c r="P816" s="615" t="e">
        <f>SUM(AS816:BD816)</f>
        <v>#N/A</v>
      </c>
      <c r="Q816" s="615" t="e">
        <f>SUM(BE816:BP816)</f>
        <v>#N/A</v>
      </c>
      <c r="R816" s="615" t="e">
        <f>SUM(BQ816:CB816)</f>
        <v>#N/A</v>
      </c>
      <c r="S816" s="615" t="e">
        <f>SUM(CC816:CN816)</f>
        <v>#N/A</v>
      </c>
      <c r="U816" s="616" t="e">
        <f>U811*$Q$393</f>
        <v>#N/A</v>
      </c>
      <c r="V816" s="616" t="e">
        <f t="shared" ref="V816:CG816" si="1022">V811*$Q$393</f>
        <v>#N/A</v>
      </c>
      <c r="W816" s="616" t="e">
        <f t="shared" si="1022"/>
        <v>#N/A</v>
      </c>
      <c r="X816" s="616" t="e">
        <f t="shared" si="1022"/>
        <v>#N/A</v>
      </c>
      <c r="Y816" s="616" t="e">
        <f t="shared" si="1022"/>
        <v>#N/A</v>
      </c>
      <c r="Z816" s="616" t="e">
        <f t="shared" si="1022"/>
        <v>#N/A</v>
      </c>
      <c r="AA816" s="616" t="e">
        <f t="shared" si="1022"/>
        <v>#N/A</v>
      </c>
      <c r="AB816" s="616" t="e">
        <f t="shared" si="1022"/>
        <v>#N/A</v>
      </c>
      <c r="AC816" s="616" t="e">
        <f t="shared" si="1022"/>
        <v>#N/A</v>
      </c>
      <c r="AD816" s="616" t="e">
        <f t="shared" si="1022"/>
        <v>#N/A</v>
      </c>
      <c r="AE816" s="616" t="e">
        <f t="shared" si="1022"/>
        <v>#N/A</v>
      </c>
      <c r="AF816" s="616" t="e">
        <f t="shared" si="1022"/>
        <v>#N/A</v>
      </c>
      <c r="AG816" s="616" t="e">
        <f t="shared" si="1022"/>
        <v>#N/A</v>
      </c>
      <c r="AH816" s="616" t="e">
        <f t="shared" si="1022"/>
        <v>#N/A</v>
      </c>
      <c r="AI816" s="616" t="e">
        <f t="shared" si="1022"/>
        <v>#N/A</v>
      </c>
      <c r="AJ816" s="616" t="e">
        <f t="shared" si="1022"/>
        <v>#N/A</v>
      </c>
      <c r="AK816" s="616" t="e">
        <f t="shared" si="1022"/>
        <v>#N/A</v>
      </c>
      <c r="AL816" s="616" t="e">
        <f t="shared" si="1022"/>
        <v>#N/A</v>
      </c>
      <c r="AM816" s="616" t="e">
        <f t="shared" si="1022"/>
        <v>#N/A</v>
      </c>
      <c r="AN816" s="616" t="e">
        <f t="shared" si="1022"/>
        <v>#N/A</v>
      </c>
      <c r="AO816" s="616" t="e">
        <f t="shared" si="1022"/>
        <v>#N/A</v>
      </c>
      <c r="AP816" s="616" t="e">
        <f t="shared" si="1022"/>
        <v>#N/A</v>
      </c>
      <c r="AQ816" s="616" t="e">
        <f t="shared" si="1022"/>
        <v>#N/A</v>
      </c>
      <c r="AR816" s="616" t="e">
        <f t="shared" si="1022"/>
        <v>#N/A</v>
      </c>
      <c r="AS816" s="616" t="e">
        <f t="shared" si="1022"/>
        <v>#N/A</v>
      </c>
      <c r="AT816" s="616" t="e">
        <f t="shared" si="1022"/>
        <v>#N/A</v>
      </c>
      <c r="AU816" s="616" t="e">
        <f t="shared" si="1022"/>
        <v>#N/A</v>
      </c>
      <c r="AV816" s="616" t="e">
        <f t="shared" si="1022"/>
        <v>#N/A</v>
      </c>
      <c r="AW816" s="616" t="e">
        <f t="shared" si="1022"/>
        <v>#N/A</v>
      </c>
      <c r="AX816" s="616" t="e">
        <f t="shared" si="1022"/>
        <v>#N/A</v>
      </c>
      <c r="AY816" s="616" t="e">
        <f t="shared" si="1022"/>
        <v>#N/A</v>
      </c>
      <c r="AZ816" s="616" t="e">
        <f t="shared" si="1022"/>
        <v>#N/A</v>
      </c>
      <c r="BA816" s="616" t="e">
        <f t="shared" si="1022"/>
        <v>#N/A</v>
      </c>
      <c r="BB816" s="616" t="e">
        <f t="shared" si="1022"/>
        <v>#N/A</v>
      </c>
      <c r="BC816" s="616" t="e">
        <f t="shared" si="1022"/>
        <v>#N/A</v>
      </c>
      <c r="BD816" s="616" t="e">
        <f t="shared" si="1022"/>
        <v>#N/A</v>
      </c>
      <c r="BE816" s="616" t="e">
        <f t="shared" si="1022"/>
        <v>#N/A</v>
      </c>
      <c r="BF816" s="616" t="e">
        <f t="shared" si="1022"/>
        <v>#N/A</v>
      </c>
      <c r="BG816" s="616" t="e">
        <f t="shared" si="1022"/>
        <v>#N/A</v>
      </c>
      <c r="BH816" s="616" t="e">
        <f t="shared" si="1022"/>
        <v>#N/A</v>
      </c>
      <c r="BI816" s="616" t="e">
        <f t="shared" si="1022"/>
        <v>#N/A</v>
      </c>
      <c r="BJ816" s="616" t="e">
        <f t="shared" si="1022"/>
        <v>#N/A</v>
      </c>
      <c r="BK816" s="616" t="e">
        <f t="shared" si="1022"/>
        <v>#N/A</v>
      </c>
      <c r="BL816" s="616" t="e">
        <f t="shared" si="1022"/>
        <v>#N/A</v>
      </c>
      <c r="BM816" s="616" t="e">
        <f t="shared" si="1022"/>
        <v>#N/A</v>
      </c>
      <c r="BN816" s="616" t="e">
        <f t="shared" si="1022"/>
        <v>#N/A</v>
      </c>
      <c r="BO816" s="616" t="e">
        <f t="shared" si="1022"/>
        <v>#N/A</v>
      </c>
      <c r="BP816" s="616" t="e">
        <f t="shared" si="1022"/>
        <v>#N/A</v>
      </c>
      <c r="BQ816" s="616" t="e">
        <f t="shared" si="1022"/>
        <v>#N/A</v>
      </c>
      <c r="BR816" s="616" t="e">
        <f t="shared" si="1022"/>
        <v>#N/A</v>
      </c>
      <c r="BS816" s="616" t="e">
        <f t="shared" si="1022"/>
        <v>#N/A</v>
      </c>
      <c r="BT816" s="616" t="e">
        <f t="shared" si="1022"/>
        <v>#N/A</v>
      </c>
      <c r="BU816" s="616" t="e">
        <f t="shared" si="1022"/>
        <v>#N/A</v>
      </c>
      <c r="BV816" s="616" t="e">
        <f t="shared" si="1022"/>
        <v>#N/A</v>
      </c>
      <c r="BW816" s="616" t="e">
        <f t="shared" si="1022"/>
        <v>#N/A</v>
      </c>
      <c r="BX816" s="616" t="e">
        <f t="shared" si="1022"/>
        <v>#N/A</v>
      </c>
      <c r="BY816" s="616" t="e">
        <f t="shared" si="1022"/>
        <v>#N/A</v>
      </c>
      <c r="BZ816" s="616" t="e">
        <f t="shared" si="1022"/>
        <v>#N/A</v>
      </c>
      <c r="CA816" s="616" t="e">
        <f t="shared" si="1022"/>
        <v>#N/A</v>
      </c>
      <c r="CB816" s="616" t="e">
        <f t="shared" si="1022"/>
        <v>#N/A</v>
      </c>
      <c r="CC816" s="616" t="e">
        <f t="shared" si="1022"/>
        <v>#N/A</v>
      </c>
      <c r="CD816" s="616" t="e">
        <f t="shared" si="1022"/>
        <v>#N/A</v>
      </c>
      <c r="CE816" s="616" t="e">
        <f t="shared" si="1022"/>
        <v>#N/A</v>
      </c>
      <c r="CF816" s="616" t="e">
        <f t="shared" si="1022"/>
        <v>#N/A</v>
      </c>
      <c r="CG816" s="616" t="e">
        <f t="shared" si="1022"/>
        <v>#N/A</v>
      </c>
      <c r="CH816" s="616" t="e">
        <f t="shared" ref="CH816:CN816" si="1023">CH811*$Q$393</f>
        <v>#N/A</v>
      </c>
      <c r="CI816" s="616" t="e">
        <f t="shared" si="1023"/>
        <v>#N/A</v>
      </c>
      <c r="CJ816" s="616" t="e">
        <f t="shared" si="1023"/>
        <v>#N/A</v>
      </c>
      <c r="CK816" s="616" t="e">
        <f t="shared" si="1023"/>
        <v>#N/A</v>
      </c>
      <c r="CL816" s="616" t="e">
        <f t="shared" si="1023"/>
        <v>#N/A</v>
      </c>
      <c r="CM816" s="616" t="e">
        <f t="shared" si="1023"/>
        <v>#N/A</v>
      </c>
      <c r="CN816" s="616" t="e">
        <f t="shared" si="1023"/>
        <v>#N/A</v>
      </c>
    </row>
    <row r="817" spans="8:93">
      <c r="H817" s="602" t="s">
        <v>940</v>
      </c>
      <c r="L817" s="618" t="s">
        <v>1303</v>
      </c>
      <c r="M817" s="600" t="s">
        <v>974</v>
      </c>
      <c r="N817" s="615" t="e">
        <f>SUM(U817:AF817)</f>
        <v>#N/A</v>
      </c>
      <c r="O817" s="615" t="e">
        <f>SUM(AG817:AR817)</f>
        <v>#N/A</v>
      </c>
      <c r="P817" s="615" t="e">
        <f>SUM(AS817:BD817)</f>
        <v>#N/A</v>
      </c>
      <c r="Q817" s="615" t="e">
        <f>SUM(BE817:BP817)</f>
        <v>#N/A</v>
      </c>
      <c r="R817" s="615" t="e">
        <f>SUM(BQ817:CB817)</f>
        <v>#N/A</v>
      </c>
      <c r="S817" s="615" t="e">
        <f>SUM(CC817:CN817)</f>
        <v>#N/A</v>
      </c>
      <c r="U817" s="616" t="e">
        <f>U812*$Q$394</f>
        <v>#N/A</v>
      </c>
      <c r="V817" s="616" t="e">
        <f t="shared" ref="V817:CG817" si="1024">V812*$Q$394</f>
        <v>#N/A</v>
      </c>
      <c r="W817" s="616" t="e">
        <f t="shared" si="1024"/>
        <v>#N/A</v>
      </c>
      <c r="X817" s="616" t="e">
        <f t="shared" si="1024"/>
        <v>#N/A</v>
      </c>
      <c r="Y817" s="616" t="e">
        <f t="shared" si="1024"/>
        <v>#N/A</v>
      </c>
      <c r="Z817" s="616" t="e">
        <f t="shared" si="1024"/>
        <v>#N/A</v>
      </c>
      <c r="AA817" s="616" t="e">
        <f t="shared" si="1024"/>
        <v>#N/A</v>
      </c>
      <c r="AB817" s="616" t="e">
        <f t="shared" si="1024"/>
        <v>#N/A</v>
      </c>
      <c r="AC817" s="616" t="e">
        <f t="shared" si="1024"/>
        <v>#N/A</v>
      </c>
      <c r="AD817" s="616" t="e">
        <f t="shared" si="1024"/>
        <v>#N/A</v>
      </c>
      <c r="AE817" s="616" t="e">
        <f t="shared" si="1024"/>
        <v>#N/A</v>
      </c>
      <c r="AF817" s="616" t="e">
        <f t="shared" si="1024"/>
        <v>#N/A</v>
      </c>
      <c r="AG817" s="616" t="e">
        <f t="shared" si="1024"/>
        <v>#N/A</v>
      </c>
      <c r="AH817" s="616" t="e">
        <f t="shared" si="1024"/>
        <v>#N/A</v>
      </c>
      <c r="AI817" s="616" t="e">
        <f t="shared" si="1024"/>
        <v>#N/A</v>
      </c>
      <c r="AJ817" s="616" t="e">
        <f t="shared" si="1024"/>
        <v>#N/A</v>
      </c>
      <c r="AK817" s="616" t="e">
        <f t="shared" si="1024"/>
        <v>#N/A</v>
      </c>
      <c r="AL817" s="616" t="e">
        <f t="shared" si="1024"/>
        <v>#N/A</v>
      </c>
      <c r="AM817" s="616" t="e">
        <f t="shared" si="1024"/>
        <v>#N/A</v>
      </c>
      <c r="AN817" s="616" t="e">
        <f t="shared" si="1024"/>
        <v>#N/A</v>
      </c>
      <c r="AO817" s="616" t="e">
        <f t="shared" si="1024"/>
        <v>#N/A</v>
      </c>
      <c r="AP817" s="616" t="e">
        <f t="shared" si="1024"/>
        <v>#N/A</v>
      </c>
      <c r="AQ817" s="616" t="e">
        <f t="shared" si="1024"/>
        <v>#N/A</v>
      </c>
      <c r="AR817" s="616" t="e">
        <f t="shared" si="1024"/>
        <v>#N/A</v>
      </c>
      <c r="AS817" s="616" t="e">
        <f t="shared" si="1024"/>
        <v>#N/A</v>
      </c>
      <c r="AT817" s="616" t="e">
        <f t="shared" si="1024"/>
        <v>#N/A</v>
      </c>
      <c r="AU817" s="616" t="e">
        <f t="shared" si="1024"/>
        <v>#N/A</v>
      </c>
      <c r="AV817" s="616" t="e">
        <f t="shared" si="1024"/>
        <v>#N/A</v>
      </c>
      <c r="AW817" s="616" t="e">
        <f t="shared" si="1024"/>
        <v>#N/A</v>
      </c>
      <c r="AX817" s="616" t="e">
        <f t="shared" si="1024"/>
        <v>#N/A</v>
      </c>
      <c r="AY817" s="616" t="e">
        <f t="shared" si="1024"/>
        <v>#N/A</v>
      </c>
      <c r="AZ817" s="616" t="e">
        <f t="shared" si="1024"/>
        <v>#N/A</v>
      </c>
      <c r="BA817" s="616" t="e">
        <f t="shared" si="1024"/>
        <v>#N/A</v>
      </c>
      <c r="BB817" s="616" t="e">
        <f t="shared" si="1024"/>
        <v>#N/A</v>
      </c>
      <c r="BC817" s="616" t="e">
        <f t="shared" si="1024"/>
        <v>#N/A</v>
      </c>
      <c r="BD817" s="616" t="e">
        <f t="shared" si="1024"/>
        <v>#N/A</v>
      </c>
      <c r="BE817" s="616" t="e">
        <f t="shared" si="1024"/>
        <v>#N/A</v>
      </c>
      <c r="BF817" s="616" t="e">
        <f t="shared" si="1024"/>
        <v>#N/A</v>
      </c>
      <c r="BG817" s="616" t="e">
        <f t="shared" si="1024"/>
        <v>#N/A</v>
      </c>
      <c r="BH817" s="616" t="e">
        <f t="shared" si="1024"/>
        <v>#N/A</v>
      </c>
      <c r="BI817" s="616" t="e">
        <f t="shared" si="1024"/>
        <v>#N/A</v>
      </c>
      <c r="BJ817" s="616" t="e">
        <f t="shared" si="1024"/>
        <v>#N/A</v>
      </c>
      <c r="BK817" s="616" t="e">
        <f t="shared" si="1024"/>
        <v>#N/A</v>
      </c>
      <c r="BL817" s="616" t="e">
        <f t="shared" si="1024"/>
        <v>#N/A</v>
      </c>
      <c r="BM817" s="616" t="e">
        <f t="shared" si="1024"/>
        <v>#N/A</v>
      </c>
      <c r="BN817" s="616" t="e">
        <f t="shared" si="1024"/>
        <v>#N/A</v>
      </c>
      <c r="BO817" s="616" t="e">
        <f t="shared" si="1024"/>
        <v>#N/A</v>
      </c>
      <c r="BP817" s="616" t="e">
        <f t="shared" si="1024"/>
        <v>#N/A</v>
      </c>
      <c r="BQ817" s="616" t="e">
        <f t="shared" si="1024"/>
        <v>#N/A</v>
      </c>
      <c r="BR817" s="616" t="e">
        <f t="shared" si="1024"/>
        <v>#N/A</v>
      </c>
      <c r="BS817" s="616" t="e">
        <f t="shared" si="1024"/>
        <v>#N/A</v>
      </c>
      <c r="BT817" s="616" t="e">
        <f t="shared" si="1024"/>
        <v>#N/A</v>
      </c>
      <c r="BU817" s="616" t="e">
        <f t="shared" si="1024"/>
        <v>#N/A</v>
      </c>
      <c r="BV817" s="616" t="e">
        <f t="shared" si="1024"/>
        <v>#N/A</v>
      </c>
      <c r="BW817" s="616" t="e">
        <f t="shared" si="1024"/>
        <v>#N/A</v>
      </c>
      <c r="BX817" s="616" t="e">
        <f t="shared" si="1024"/>
        <v>#N/A</v>
      </c>
      <c r="BY817" s="616" t="e">
        <f t="shared" si="1024"/>
        <v>#N/A</v>
      </c>
      <c r="BZ817" s="616" t="e">
        <f t="shared" si="1024"/>
        <v>#N/A</v>
      </c>
      <c r="CA817" s="616" t="e">
        <f t="shared" si="1024"/>
        <v>#N/A</v>
      </c>
      <c r="CB817" s="616" t="e">
        <f t="shared" si="1024"/>
        <v>#N/A</v>
      </c>
      <c r="CC817" s="616" t="e">
        <f t="shared" si="1024"/>
        <v>#N/A</v>
      </c>
      <c r="CD817" s="616" t="e">
        <f t="shared" si="1024"/>
        <v>#N/A</v>
      </c>
      <c r="CE817" s="616" t="e">
        <f t="shared" si="1024"/>
        <v>#N/A</v>
      </c>
      <c r="CF817" s="616" t="e">
        <f t="shared" si="1024"/>
        <v>#N/A</v>
      </c>
      <c r="CG817" s="616" t="e">
        <f t="shared" si="1024"/>
        <v>#N/A</v>
      </c>
      <c r="CH817" s="616" t="e">
        <f t="shared" ref="CH817:CN817" si="1025">CH812*$Q$394</f>
        <v>#N/A</v>
      </c>
      <c r="CI817" s="616" t="e">
        <f t="shared" si="1025"/>
        <v>#N/A</v>
      </c>
      <c r="CJ817" s="616" t="e">
        <f t="shared" si="1025"/>
        <v>#N/A</v>
      </c>
      <c r="CK817" s="616" t="e">
        <f t="shared" si="1025"/>
        <v>#N/A</v>
      </c>
      <c r="CL817" s="616" t="e">
        <f t="shared" si="1025"/>
        <v>#N/A</v>
      </c>
      <c r="CM817" s="616" t="e">
        <f t="shared" si="1025"/>
        <v>#N/A</v>
      </c>
      <c r="CN817" s="616" t="e">
        <f t="shared" si="1025"/>
        <v>#N/A</v>
      </c>
    </row>
    <row r="818" spans="8:93">
      <c r="H818" s="602" t="s">
        <v>940</v>
      </c>
      <c r="L818" s="618"/>
      <c r="M818" s="600"/>
      <c r="N818" s="615"/>
      <c r="O818" s="615"/>
      <c r="P818" s="615"/>
      <c r="Q818" s="615"/>
      <c r="R818" s="615"/>
      <c r="S818" s="615"/>
      <c r="U818" s="616"/>
      <c r="V818" s="616"/>
      <c r="W818" s="616"/>
      <c r="X818" s="616"/>
      <c r="Y818" s="616"/>
      <c r="Z818" s="616"/>
      <c r="AA818" s="616"/>
      <c r="AB818" s="616"/>
      <c r="AC818" s="616"/>
      <c r="AD818" s="616"/>
      <c r="AE818" s="616"/>
      <c r="AF818" s="616"/>
      <c r="AG818" s="616"/>
      <c r="AH818" s="616"/>
      <c r="AI818" s="616"/>
      <c r="AJ818" s="616"/>
      <c r="AK818" s="616"/>
      <c r="AL818" s="616"/>
      <c r="AM818" s="616"/>
      <c r="AN818" s="616"/>
      <c r="AO818" s="616"/>
      <c r="AP818" s="616"/>
      <c r="AQ818" s="616"/>
      <c r="AR818" s="616"/>
      <c r="AS818" s="616"/>
      <c r="AT818" s="616"/>
      <c r="AU818" s="616"/>
      <c r="AV818" s="616"/>
      <c r="AW818" s="616"/>
      <c r="AX818" s="616"/>
      <c r="AY818" s="616"/>
      <c r="AZ818" s="616"/>
      <c r="BA818" s="616"/>
      <c r="BB818" s="616"/>
      <c r="BC818" s="616"/>
      <c r="BD818" s="616"/>
      <c r="BE818" s="616"/>
      <c r="BF818" s="616"/>
      <c r="BG818" s="616"/>
      <c r="BH818" s="616"/>
      <c r="BI818" s="616"/>
      <c r="BJ818" s="616"/>
      <c r="BK818" s="616"/>
      <c r="BL818" s="616"/>
      <c r="BM818" s="616"/>
      <c r="BN818" s="616"/>
      <c r="BO818" s="616"/>
      <c r="BP818" s="616"/>
      <c r="BQ818" s="616"/>
      <c r="BR818" s="616"/>
      <c r="BS818" s="616"/>
      <c r="BT818" s="616"/>
      <c r="BU818" s="616"/>
      <c r="BV818" s="616"/>
      <c r="BW818" s="616"/>
      <c r="BX818" s="616"/>
      <c r="BY818" s="616"/>
      <c r="BZ818" s="616"/>
      <c r="CA818" s="616"/>
      <c r="CB818" s="616"/>
      <c r="CC818" s="616"/>
      <c r="CD818" s="616"/>
      <c r="CE818" s="616"/>
      <c r="CF818" s="616"/>
      <c r="CG818" s="616"/>
      <c r="CH818" s="616"/>
      <c r="CI818" s="616"/>
      <c r="CJ818" s="616"/>
      <c r="CK818" s="616"/>
      <c r="CL818" s="616"/>
      <c r="CM818" s="616"/>
      <c r="CN818" s="616"/>
    </row>
    <row r="819" spans="8:93">
      <c r="H819" s="602" t="s">
        <v>940</v>
      </c>
      <c r="L819" s="618" t="s">
        <v>1247</v>
      </c>
      <c r="M819" s="600" t="s">
        <v>974</v>
      </c>
      <c r="N819" s="615">
        <f>SUM(U819:AF819)</f>
        <v>0</v>
      </c>
      <c r="O819" s="615">
        <f>SUM(AG819:AR819)</f>
        <v>0</v>
      </c>
      <c r="P819" s="615">
        <f>SUM(AS819:BD819)</f>
        <v>0</v>
      </c>
      <c r="Q819" s="615">
        <f>SUM(BE819:BP819)</f>
        <v>0</v>
      </c>
      <c r="R819" s="615">
        <f>SUM(BQ819:CB819)</f>
        <v>0</v>
      </c>
      <c r="S819" s="615">
        <f>SUM(CC819:CN819)</f>
        <v>0</v>
      </c>
      <c r="U819" s="686"/>
      <c r="V819" s="686"/>
      <c r="W819" s="686"/>
      <c r="X819" s="686"/>
      <c r="Y819" s="686"/>
      <c r="Z819" s="686"/>
      <c r="AA819" s="686"/>
      <c r="AB819" s="686"/>
      <c r="AC819" s="686"/>
      <c r="AD819" s="686"/>
      <c r="AE819" s="686"/>
      <c r="AF819" s="686"/>
      <c r="AG819" s="686"/>
      <c r="AH819" s="686"/>
      <c r="AI819" s="686"/>
      <c r="AJ819" s="686"/>
      <c r="AK819" s="686"/>
      <c r="AL819" s="686"/>
      <c r="AM819" s="686"/>
      <c r="AN819" s="686"/>
      <c r="AO819" s="686"/>
      <c r="AP819" s="686"/>
      <c r="AQ819" s="686"/>
      <c r="AR819" s="686"/>
      <c r="AS819" s="686"/>
      <c r="AT819" s="686"/>
      <c r="AU819" s="686"/>
      <c r="AV819" s="686"/>
      <c r="AW819" s="686"/>
      <c r="AX819" s="686"/>
      <c r="AY819" s="686"/>
      <c r="AZ819" s="686"/>
      <c r="BA819" s="686"/>
      <c r="BB819" s="686"/>
      <c r="BC819" s="686"/>
      <c r="BD819" s="686"/>
      <c r="BE819" s="686"/>
      <c r="BF819" s="686"/>
      <c r="BG819" s="686"/>
      <c r="BH819" s="686"/>
      <c r="BI819" s="686"/>
      <c r="BJ819" s="686"/>
      <c r="BK819" s="686"/>
      <c r="BL819" s="686"/>
      <c r="BM819" s="686"/>
      <c r="BN819" s="686"/>
      <c r="BO819" s="686"/>
      <c r="BP819" s="686"/>
      <c r="BQ819" s="686"/>
      <c r="BR819" s="686"/>
      <c r="BS819" s="686"/>
      <c r="BT819" s="686"/>
      <c r="BU819" s="686"/>
      <c r="BV819" s="686"/>
      <c r="BW819" s="686"/>
      <c r="BX819" s="686"/>
      <c r="BY819" s="686"/>
      <c r="BZ819" s="686"/>
      <c r="CA819" s="686"/>
      <c r="CB819" s="686"/>
      <c r="CC819" s="686"/>
      <c r="CD819" s="686"/>
      <c r="CE819" s="686"/>
      <c r="CF819" s="686"/>
      <c r="CG819" s="686"/>
      <c r="CH819" s="686"/>
      <c r="CI819" s="686"/>
      <c r="CJ819" s="686"/>
      <c r="CK819" s="686"/>
      <c r="CL819" s="686"/>
      <c r="CM819" s="686"/>
      <c r="CN819" s="686"/>
      <c r="CO819" s="556" t="s">
        <v>1272</v>
      </c>
    </row>
    <row r="820" spans="8:93">
      <c r="H820" s="602" t="s">
        <v>940</v>
      </c>
      <c r="L820" s="618" t="s">
        <v>908</v>
      </c>
      <c r="M820" s="600" t="s">
        <v>974</v>
      </c>
      <c r="N820" s="615" t="e">
        <f>SUM(U820:AF820)</f>
        <v>#N/A</v>
      </c>
      <c r="O820" s="615" t="e">
        <f>SUM(AG820:AR820)</f>
        <v>#N/A</v>
      </c>
      <c r="P820" s="615" t="e">
        <f>SUM(AS820:BD820)</f>
        <v>#N/A</v>
      </c>
      <c r="Q820" s="615" t="e">
        <f>SUM(BE820:BP820)</f>
        <v>#N/A</v>
      </c>
      <c r="R820" s="615" t="e">
        <f>SUM(BQ820:CB820)</f>
        <v>#N/A</v>
      </c>
      <c r="S820" s="615" t="e">
        <f>SUM(CC820:CN820)</f>
        <v>#N/A</v>
      </c>
      <c r="U820" s="616" t="e">
        <f>U807*$Q$373</f>
        <v>#N/A</v>
      </c>
      <c r="V820" s="616" t="e">
        <f t="shared" ref="V820:CG820" si="1026">V807*$Q$373</f>
        <v>#N/A</v>
      </c>
      <c r="W820" s="616" t="e">
        <f t="shared" si="1026"/>
        <v>#N/A</v>
      </c>
      <c r="X820" s="616" t="e">
        <f t="shared" si="1026"/>
        <v>#N/A</v>
      </c>
      <c r="Y820" s="616" t="e">
        <f t="shared" si="1026"/>
        <v>#N/A</v>
      </c>
      <c r="Z820" s="616" t="e">
        <f t="shared" si="1026"/>
        <v>#N/A</v>
      </c>
      <c r="AA820" s="616" t="e">
        <f t="shared" si="1026"/>
        <v>#N/A</v>
      </c>
      <c r="AB820" s="616" t="e">
        <f t="shared" si="1026"/>
        <v>#N/A</v>
      </c>
      <c r="AC820" s="616" t="e">
        <f t="shared" si="1026"/>
        <v>#N/A</v>
      </c>
      <c r="AD820" s="616" t="e">
        <f t="shared" si="1026"/>
        <v>#N/A</v>
      </c>
      <c r="AE820" s="616" t="e">
        <f t="shared" si="1026"/>
        <v>#N/A</v>
      </c>
      <c r="AF820" s="616" t="e">
        <f t="shared" si="1026"/>
        <v>#N/A</v>
      </c>
      <c r="AG820" s="616" t="e">
        <f t="shared" si="1026"/>
        <v>#N/A</v>
      </c>
      <c r="AH820" s="616" t="e">
        <f t="shared" si="1026"/>
        <v>#N/A</v>
      </c>
      <c r="AI820" s="616" t="e">
        <f t="shared" si="1026"/>
        <v>#N/A</v>
      </c>
      <c r="AJ820" s="616" t="e">
        <f t="shared" si="1026"/>
        <v>#N/A</v>
      </c>
      <c r="AK820" s="616" t="e">
        <f t="shared" si="1026"/>
        <v>#N/A</v>
      </c>
      <c r="AL820" s="616" t="e">
        <f t="shared" si="1026"/>
        <v>#N/A</v>
      </c>
      <c r="AM820" s="616" t="e">
        <f t="shared" si="1026"/>
        <v>#N/A</v>
      </c>
      <c r="AN820" s="616" t="e">
        <f t="shared" si="1026"/>
        <v>#N/A</v>
      </c>
      <c r="AO820" s="616" t="e">
        <f t="shared" si="1026"/>
        <v>#N/A</v>
      </c>
      <c r="AP820" s="616" t="e">
        <f t="shared" si="1026"/>
        <v>#N/A</v>
      </c>
      <c r="AQ820" s="616" t="e">
        <f t="shared" si="1026"/>
        <v>#N/A</v>
      </c>
      <c r="AR820" s="616" t="e">
        <f t="shared" si="1026"/>
        <v>#N/A</v>
      </c>
      <c r="AS820" s="616" t="e">
        <f t="shared" si="1026"/>
        <v>#N/A</v>
      </c>
      <c r="AT820" s="616" t="e">
        <f t="shared" si="1026"/>
        <v>#N/A</v>
      </c>
      <c r="AU820" s="616" t="e">
        <f t="shared" si="1026"/>
        <v>#N/A</v>
      </c>
      <c r="AV820" s="616" t="e">
        <f t="shared" si="1026"/>
        <v>#N/A</v>
      </c>
      <c r="AW820" s="616" t="e">
        <f t="shared" si="1026"/>
        <v>#N/A</v>
      </c>
      <c r="AX820" s="616" t="e">
        <f t="shared" si="1026"/>
        <v>#N/A</v>
      </c>
      <c r="AY820" s="616" t="e">
        <f t="shared" si="1026"/>
        <v>#N/A</v>
      </c>
      <c r="AZ820" s="616" t="e">
        <f t="shared" si="1026"/>
        <v>#N/A</v>
      </c>
      <c r="BA820" s="616" t="e">
        <f t="shared" si="1026"/>
        <v>#N/A</v>
      </c>
      <c r="BB820" s="616" t="e">
        <f t="shared" si="1026"/>
        <v>#N/A</v>
      </c>
      <c r="BC820" s="616" t="e">
        <f t="shared" si="1026"/>
        <v>#N/A</v>
      </c>
      <c r="BD820" s="616" t="e">
        <f t="shared" si="1026"/>
        <v>#N/A</v>
      </c>
      <c r="BE820" s="616" t="e">
        <f t="shared" si="1026"/>
        <v>#N/A</v>
      </c>
      <c r="BF820" s="616" t="e">
        <f t="shared" si="1026"/>
        <v>#N/A</v>
      </c>
      <c r="BG820" s="616" t="e">
        <f t="shared" si="1026"/>
        <v>#N/A</v>
      </c>
      <c r="BH820" s="616" t="e">
        <f t="shared" si="1026"/>
        <v>#N/A</v>
      </c>
      <c r="BI820" s="616" t="e">
        <f t="shared" si="1026"/>
        <v>#N/A</v>
      </c>
      <c r="BJ820" s="616" t="e">
        <f t="shared" si="1026"/>
        <v>#N/A</v>
      </c>
      <c r="BK820" s="616" t="e">
        <f t="shared" si="1026"/>
        <v>#N/A</v>
      </c>
      <c r="BL820" s="616" t="e">
        <f t="shared" si="1026"/>
        <v>#N/A</v>
      </c>
      <c r="BM820" s="616" t="e">
        <f t="shared" si="1026"/>
        <v>#N/A</v>
      </c>
      <c r="BN820" s="616" t="e">
        <f t="shared" si="1026"/>
        <v>#N/A</v>
      </c>
      <c r="BO820" s="616" t="e">
        <f t="shared" si="1026"/>
        <v>#N/A</v>
      </c>
      <c r="BP820" s="616" t="e">
        <f t="shared" si="1026"/>
        <v>#N/A</v>
      </c>
      <c r="BQ820" s="616" t="e">
        <f t="shared" si="1026"/>
        <v>#N/A</v>
      </c>
      <c r="BR820" s="616" t="e">
        <f t="shared" si="1026"/>
        <v>#N/A</v>
      </c>
      <c r="BS820" s="616" t="e">
        <f t="shared" si="1026"/>
        <v>#N/A</v>
      </c>
      <c r="BT820" s="616" t="e">
        <f t="shared" si="1026"/>
        <v>#N/A</v>
      </c>
      <c r="BU820" s="616" t="e">
        <f t="shared" si="1026"/>
        <v>#N/A</v>
      </c>
      <c r="BV820" s="616" t="e">
        <f t="shared" si="1026"/>
        <v>#N/A</v>
      </c>
      <c r="BW820" s="616" t="e">
        <f t="shared" si="1026"/>
        <v>#N/A</v>
      </c>
      <c r="BX820" s="616" t="e">
        <f t="shared" si="1026"/>
        <v>#N/A</v>
      </c>
      <c r="BY820" s="616" t="e">
        <f t="shared" si="1026"/>
        <v>#N/A</v>
      </c>
      <c r="BZ820" s="616" t="e">
        <f t="shared" si="1026"/>
        <v>#N/A</v>
      </c>
      <c r="CA820" s="616" t="e">
        <f t="shared" si="1026"/>
        <v>#N/A</v>
      </c>
      <c r="CB820" s="616" t="e">
        <f t="shared" si="1026"/>
        <v>#N/A</v>
      </c>
      <c r="CC820" s="616" t="e">
        <f t="shared" si="1026"/>
        <v>#N/A</v>
      </c>
      <c r="CD820" s="616" t="e">
        <f t="shared" si="1026"/>
        <v>#N/A</v>
      </c>
      <c r="CE820" s="616" t="e">
        <f t="shared" si="1026"/>
        <v>#N/A</v>
      </c>
      <c r="CF820" s="616" t="e">
        <f t="shared" si="1026"/>
        <v>#N/A</v>
      </c>
      <c r="CG820" s="616" t="e">
        <f t="shared" si="1026"/>
        <v>#N/A</v>
      </c>
      <c r="CH820" s="616" t="e">
        <f t="shared" ref="CH820:CN820" si="1027">CH807*$Q$373</f>
        <v>#N/A</v>
      </c>
      <c r="CI820" s="616" t="e">
        <f t="shared" si="1027"/>
        <v>#N/A</v>
      </c>
      <c r="CJ820" s="616" t="e">
        <f t="shared" si="1027"/>
        <v>#N/A</v>
      </c>
      <c r="CK820" s="616" t="e">
        <f t="shared" si="1027"/>
        <v>#N/A</v>
      </c>
      <c r="CL820" s="616" t="e">
        <f t="shared" si="1027"/>
        <v>#N/A</v>
      </c>
      <c r="CM820" s="616" t="e">
        <f t="shared" si="1027"/>
        <v>#N/A</v>
      </c>
      <c r="CN820" s="616" t="e">
        <f t="shared" si="1027"/>
        <v>#N/A</v>
      </c>
    </row>
    <row r="821" spans="8:93">
      <c r="H821" s="602" t="s">
        <v>940</v>
      </c>
      <c r="L821" s="618" t="s">
        <v>1304</v>
      </c>
      <c r="M821" s="600" t="s">
        <v>974</v>
      </c>
      <c r="N821" s="615" t="e">
        <f>SUM(U821:AF821)</f>
        <v>#N/A</v>
      </c>
      <c r="O821" s="615" t="e">
        <f>SUM(AG821:AR821)</f>
        <v>#N/A</v>
      </c>
      <c r="P821" s="615" t="e">
        <f>SUM(AS821:BD821)</f>
        <v>#N/A</v>
      </c>
      <c r="Q821" s="615" t="e">
        <f>SUM(BE821:BP821)</f>
        <v>#N/A</v>
      </c>
      <c r="R821" s="615" t="e">
        <f>SUM(BQ821:CB821)</f>
        <v>#N/A</v>
      </c>
      <c r="S821" s="615" t="e">
        <f>SUM(CC821:CN821)</f>
        <v>#N/A</v>
      </c>
      <c r="U821" s="616" t="e">
        <f t="shared" ref="U821:CF821" si="1028">SUM(U814:U817,U819:U820)</f>
        <v>#N/A</v>
      </c>
      <c r="V821" s="616" t="e">
        <f t="shared" si="1028"/>
        <v>#N/A</v>
      </c>
      <c r="W821" s="616" t="e">
        <f t="shared" si="1028"/>
        <v>#N/A</v>
      </c>
      <c r="X821" s="616" t="e">
        <f t="shared" si="1028"/>
        <v>#N/A</v>
      </c>
      <c r="Y821" s="616" t="e">
        <f t="shared" si="1028"/>
        <v>#N/A</v>
      </c>
      <c r="Z821" s="616" t="e">
        <f t="shared" si="1028"/>
        <v>#N/A</v>
      </c>
      <c r="AA821" s="616" t="e">
        <f t="shared" si="1028"/>
        <v>#N/A</v>
      </c>
      <c r="AB821" s="616" t="e">
        <f t="shared" si="1028"/>
        <v>#N/A</v>
      </c>
      <c r="AC821" s="616" t="e">
        <f t="shared" si="1028"/>
        <v>#N/A</v>
      </c>
      <c r="AD821" s="616" t="e">
        <f t="shared" si="1028"/>
        <v>#N/A</v>
      </c>
      <c r="AE821" s="616" t="e">
        <f t="shared" si="1028"/>
        <v>#N/A</v>
      </c>
      <c r="AF821" s="616" t="e">
        <f t="shared" si="1028"/>
        <v>#N/A</v>
      </c>
      <c r="AG821" s="616" t="e">
        <f t="shared" si="1028"/>
        <v>#N/A</v>
      </c>
      <c r="AH821" s="616" t="e">
        <f t="shared" si="1028"/>
        <v>#N/A</v>
      </c>
      <c r="AI821" s="616" t="e">
        <f t="shared" si="1028"/>
        <v>#N/A</v>
      </c>
      <c r="AJ821" s="616" t="e">
        <f t="shared" si="1028"/>
        <v>#N/A</v>
      </c>
      <c r="AK821" s="616" t="e">
        <f t="shared" si="1028"/>
        <v>#N/A</v>
      </c>
      <c r="AL821" s="616" t="e">
        <f t="shared" si="1028"/>
        <v>#N/A</v>
      </c>
      <c r="AM821" s="616" t="e">
        <f t="shared" si="1028"/>
        <v>#N/A</v>
      </c>
      <c r="AN821" s="616" t="e">
        <f t="shared" si="1028"/>
        <v>#N/A</v>
      </c>
      <c r="AO821" s="616" t="e">
        <f t="shared" si="1028"/>
        <v>#N/A</v>
      </c>
      <c r="AP821" s="616" t="e">
        <f t="shared" si="1028"/>
        <v>#N/A</v>
      </c>
      <c r="AQ821" s="616" t="e">
        <f t="shared" si="1028"/>
        <v>#N/A</v>
      </c>
      <c r="AR821" s="616" t="e">
        <f t="shared" si="1028"/>
        <v>#N/A</v>
      </c>
      <c r="AS821" s="616" t="e">
        <f t="shared" si="1028"/>
        <v>#N/A</v>
      </c>
      <c r="AT821" s="616" t="e">
        <f t="shared" si="1028"/>
        <v>#N/A</v>
      </c>
      <c r="AU821" s="616" t="e">
        <f t="shared" si="1028"/>
        <v>#N/A</v>
      </c>
      <c r="AV821" s="616" t="e">
        <f t="shared" si="1028"/>
        <v>#N/A</v>
      </c>
      <c r="AW821" s="616" t="e">
        <f t="shared" si="1028"/>
        <v>#N/A</v>
      </c>
      <c r="AX821" s="616" t="e">
        <f t="shared" si="1028"/>
        <v>#N/A</v>
      </c>
      <c r="AY821" s="616" t="e">
        <f t="shared" si="1028"/>
        <v>#N/A</v>
      </c>
      <c r="AZ821" s="616" t="e">
        <f t="shared" si="1028"/>
        <v>#N/A</v>
      </c>
      <c r="BA821" s="616" t="e">
        <f t="shared" si="1028"/>
        <v>#N/A</v>
      </c>
      <c r="BB821" s="616" t="e">
        <f t="shared" si="1028"/>
        <v>#N/A</v>
      </c>
      <c r="BC821" s="616" t="e">
        <f t="shared" si="1028"/>
        <v>#N/A</v>
      </c>
      <c r="BD821" s="616" t="e">
        <f t="shared" si="1028"/>
        <v>#N/A</v>
      </c>
      <c r="BE821" s="616" t="e">
        <f t="shared" si="1028"/>
        <v>#N/A</v>
      </c>
      <c r="BF821" s="616" t="e">
        <f t="shared" si="1028"/>
        <v>#N/A</v>
      </c>
      <c r="BG821" s="616" t="e">
        <f t="shared" si="1028"/>
        <v>#N/A</v>
      </c>
      <c r="BH821" s="616" t="e">
        <f t="shared" si="1028"/>
        <v>#N/A</v>
      </c>
      <c r="BI821" s="616" t="e">
        <f t="shared" si="1028"/>
        <v>#N/A</v>
      </c>
      <c r="BJ821" s="616" t="e">
        <f t="shared" si="1028"/>
        <v>#N/A</v>
      </c>
      <c r="BK821" s="616" t="e">
        <f t="shared" si="1028"/>
        <v>#N/A</v>
      </c>
      <c r="BL821" s="616" t="e">
        <f t="shared" si="1028"/>
        <v>#N/A</v>
      </c>
      <c r="BM821" s="616" t="e">
        <f t="shared" si="1028"/>
        <v>#N/A</v>
      </c>
      <c r="BN821" s="616" t="e">
        <f t="shared" si="1028"/>
        <v>#N/A</v>
      </c>
      <c r="BO821" s="616" t="e">
        <f t="shared" si="1028"/>
        <v>#N/A</v>
      </c>
      <c r="BP821" s="616" t="e">
        <f t="shared" si="1028"/>
        <v>#N/A</v>
      </c>
      <c r="BQ821" s="616" t="e">
        <f t="shared" si="1028"/>
        <v>#N/A</v>
      </c>
      <c r="BR821" s="616" t="e">
        <f t="shared" si="1028"/>
        <v>#N/A</v>
      </c>
      <c r="BS821" s="616" t="e">
        <f t="shared" si="1028"/>
        <v>#N/A</v>
      </c>
      <c r="BT821" s="616" t="e">
        <f t="shared" si="1028"/>
        <v>#N/A</v>
      </c>
      <c r="BU821" s="616" t="e">
        <f t="shared" si="1028"/>
        <v>#N/A</v>
      </c>
      <c r="BV821" s="616" t="e">
        <f t="shared" si="1028"/>
        <v>#N/A</v>
      </c>
      <c r="BW821" s="616" t="e">
        <f t="shared" si="1028"/>
        <v>#N/A</v>
      </c>
      <c r="BX821" s="616" t="e">
        <f t="shared" si="1028"/>
        <v>#N/A</v>
      </c>
      <c r="BY821" s="616" t="e">
        <f t="shared" si="1028"/>
        <v>#N/A</v>
      </c>
      <c r="BZ821" s="616" t="e">
        <f t="shared" si="1028"/>
        <v>#N/A</v>
      </c>
      <c r="CA821" s="616" t="e">
        <f t="shared" si="1028"/>
        <v>#N/A</v>
      </c>
      <c r="CB821" s="616" t="e">
        <f t="shared" si="1028"/>
        <v>#N/A</v>
      </c>
      <c r="CC821" s="616" t="e">
        <f t="shared" si="1028"/>
        <v>#N/A</v>
      </c>
      <c r="CD821" s="616" t="e">
        <f t="shared" si="1028"/>
        <v>#N/A</v>
      </c>
      <c r="CE821" s="616" t="e">
        <f t="shared" si="1028"/>
        <v>#N/A</v>
      </c>
      <c r="CF821" s="616" t="e">
        <f t="shared" si="1028"/>
        <v>#N/A</v>
      </c>
      <c r="CG821" s="616" t="e">
        <f t="shared" ref="CG821:CN821" si="1029">SUM(CG814:CG817,CG819:CG820)</f>
        <v>#N/A</v>
      </c>
      <c r="CH821" s="616" t="e">
        <f t="shared" si="1029"/>
        <v>#N/A</v>
      </c>
      <c r="CI821" s="616" t="e">
        <f t="shared" si="1029"/>
        <v>#N/A</v>
      </c>
      <c r="CJ821" s="616" t="e">
        <f t="shared" si="1029"/>
        <v>#N/A</v>
      </c>
      <c r="CK821" s="616" t="e">
        <f t="shared" si="1029"/>
        <v>#N/A</v>
      </c>
      <c r="CL821" s="616" t="e">
        <f t="shared" si="1029"/>
        <v>#N/A</v>
      </c>
      <c r="CM821" s="616" t="e">
        <f t="shared" si="1029"/>
        <v>#N/A</v>
      </c>
      <c r="CN821" s="616" t="e">
        <f t="shared" si="1029"/>
        <v>#N/A</v>
      </c>
    </row>
    <row r="822" spans="8:93">
      <c r="H822" s="602" t="s">
        <v>940</v>
      </c>
      <c r="L822" s="618" t="s">
        <v>909</v>
      </c>
      <c r="M822" s="600" t="s">
        <v>974</v>
      </c>
      <c r="N822" s="615" t="e">
        <f>SUM(U822:AF822)</f>
        <v>#N/A</v>
      </c>
      <c r="O822" s="615" t="e">
        <f>SUM(AG822:AR822)</f>
        <v>#N/A</v>
      </c>
      <c r="P822" s="615" t="e">
        <f>SUM(AS822:BD822)</f>
        <v>#N/A</v>
      </c>
      <c r="Q822" s="615" t="e">
        <f>SUM(BE822:BP822)</f>
        <v>#N/A</v>
      </c>
      <c r="R822" s="615" t="e">
        <f>SUM(BQ822:CB822)</f>
        <v>#N/A</v>
      </c>
      <c r="S822" s="615" t="e">
        <f>SUM(CC822:CN822)</f>
        <v>#N/A</v>
      </c>
      <c r="U822" s="616" t="e">
        <f t="shared" ref="U822:CF822" si="1030">U821*$Q$374/100</f>
        <v>#N/A</v>
      </c>
      <c r="V822" s="616" t="e">
        <f t="shared" si="1030"/>
        <v>#N/A</v>
      </c>
      <c r="W822" s="616" t="e">
        <f t="shared" si="1030"/>
        <v>#N/A</v>
      </c>
      <c r="X822" s="616" t="e">
        <f t="shared" si="1030"/>
        <v>#N/A</v>
      </c>
      <c r="Y822" s="616" t="e">
        <f t="shared" si="1030"/>
        <v>#N/A</v>
      </c>
      <c r="Z822" s="616" t="e">
        <f t="shared" si="1030"/>
        <v>#N/A</v>
      </c>
      <c r="AA822" s="616" t="e">
        <f t="shared" si="1030"/>
        <v>#N/A</v>
      </c>
      <c r="AB822" s="616" t="e">
        <f t="shared" si="1030"/>
        <v>#N/A</v>
      </c>
      <c r="AC822" s="616" t="e">
        <f t="shared" si="1030"/>
        <v>#N/A</v>
      </c>
      <c r="AD822" s="616" t="e">
        <f t="shared" si="1030"/>
        <v>#N/A</v>
      </c>
      <c r="AE822" s="616" t="e">
        <f t="shared" si="1030"/>
        <v>#N/A</v>
      </c>
      <c r="AF822" s="616" t="e">
        <f t="shared" si="1030"/>
        <v>#N/A</v>
      </c>
      <c r="AG822" s="616" t="e">
        <f t="shared" si="1030"/>
        <v>#N/A</v>
      </c>
      <c r="AH822" s="616" t="e">
        <f t="shared" si="1030"/>
        <v>#N/A</v>
      </c>
      <c r="AI822" s="616" t="e">
        <f t="shared" si="1030"/>
        <v>#N/A</v>
      </c>
      <c r="AJ822" s="616" t="e">
        <f t="shared" si="1030"/>
        <v>#N/A</v>
      </c>
      <c r="AK822" s="616" t="e">
        <f t="shared" si="1030"/>
        <v>#N/A</v>
      </c>
      <c r="AL822" s="616" t="e">
        <f t="shared" si="1030"/>
        <v>#N/A</v>
      </c>
      <c r="AM822" s="616" t="e">
        <f t="shared" si="1030"/>
        <v>#N/A</v>
      </c>
      <c r="AN822" s="616" t="e">
        <f t="shared" si="1030"/>
        <v>#N/A</v>
      </c>
      <c r="AO822" s="616" t="e">
        <f t="shared" si="1030"/>
        <v>#N/A</v>
      </c>
      <c r="AP822" s="616" t="e">
        <f t="shared" si="1030"/>
        <v>#N/A</v>
      </c>
      <c r="AQ822" s="616" t="e">
        <f t="shared" si="1030"/>
        <v>#N/A</v>
      </c>
      <c r="AR822" s="616" t="e">
        <f t="shared" si="1030"/>
        <v>#N/A</v>
      </c>
      <c r="AS822" s="616" t="e">
        <f t="shared" si="1030"/>
        <v>#N/A</v>
      </c>
      <c r="AT822" s="616" t="e">
        <f t="shared" si="1030"/>
        <v>#N/A</v>
      </c>
      <c r="AU822" s="616" t="e">
        <f t="shared" si="1030"/>
        <v>#N/A</v>
      </c>
      <c r="AV822" s="616" t="e">
        <f t="shared" si="1030"/>
        <v>#N/A</v>
      </c>
      <c r="AW822" s="616" t="e">
        <f t="shared" si="1030"/>
        <v>#N/A</v>
      </c>
      <c r="AX822" s="616" t="e">
        <f t="shared" si="1030"/>
        <v>#N/A</v>
      </c>
      <c r="AY822" s="616" t="e">
        <f t="shared" si="1030"/>
        <v>#N/A</v>
      </c>
      <c r="AZ822" s="616" t="e">
        <f t="shared" si="1030"/>
        <v>#N/A</v>
      </c>
      <c r="BA822" s="616" t="e">
        <f t="shared" si="1030"/>
        <v>#N/A</v>
      </c>
      <c r="BB822" s="616" t="e">
        <f t="shared" si="1030"/>
        <v>#N/A</v>
      </c>
      <c r="BC822" s="616" t="e">
        <f t="shared" si="1030"/>
        <v>#N/A</v>
      </c>
      <c r="BD822" s="616" t="e">
        <f t="shared" si="1030"/>
        <v>#N/A</v>
      </c>
      <c r="BE822" s="616" t="e">
        <f t="shared" si="1030"/>
        <v>#N/A</v>
      </c>
      <c r="BF822" s="616" t="e">
        <f t="shared" si="1030"/>
        <v>#N/A</v>
      </c>
      <c r="BG822" s="616" t="e">
        <f t="shared" si="1030"/>
        <v>#N/A</v>
      </c>
      <c r="BH822" s="616" t="e">
        <f t="shared" si="1030"/>
        <v>#N/A</v>
      </c>
      <c r="BI822" s="616" t="e">
        <f t="shared" si="1030"/>
        <v>#N/A</v>
      </c>
      <c r="BJ822" s="616" t="e">
        <f t="shared" si="1030"/>
        <v>#N/A</v>
      </c>
      <c r="BK822" s="616" t="e">
        <f t="shared" si="1030"/>
        <v>#N/A</v>
      </c>
      <c r="BL822" s="616" t="e">
        <f t="shared" si="1030"/>
        <v>#N/A</v>
      </c>
      <c r="BM822" s="616" t="e">
        <f t="shared" si="1030"/>
        <v>#N/A</v>
      </c>
      <c r="BN822" s="616" t="e">
        <f t="shared" si="1030"/>
        <v>#N/A</v>
      </c>
      <c r="BO822" s="616" t="e">
        <f t="shared" si="1030"/>
        <v>#N/A</v>
      </c>
      <c r="BP822" s="616" t="e">
        <f t="shared" si="1030"/>
        <v>#N/A</v>
      </c>
      <c r="BQ822" s="616" t="e">
        <f t="shared" si="1030"/>
        <v>#N/A</v>
      </c>
      <c r="BR822" s="616" t="e">
        <f t="shared" si="1030"/>
        <v>#N/A</v>
      </c>
      <c r="BS822" s="616" t="e">
        <f t="shared" si="1030"/>
        <v>#N/A</v>
      </c>
      <c r="BT822" s="616" t="e">
        <f t="shared" si="1030"/>
        <v>#N/A</v>
      </c>
      <c r="BU822" s="616" t="e">
        <f t="shared" si="1030"/>
        <v>#N/A</v>
      </c>
      <c r="BV822" s="616" t="e">
        <f t="shared" si="1030"/>
        <v>#N/A</v>
      </c>
      <c r="BW822" s="616" t="e">
        <f t="shared" si="1030"/>
        <v>#N/A</v>
      </c>
      <c r="BX822" s="616" t="e">
        <f t="shared" si="1030"/>
        <v>#N/A</v>
      </c>
      <c r="BY822" s="616" t="e">
        <f t="shared" si="1030"/>
        <v>#N/A</v>
      </c>
      <c r="BZ822" s="616" t="e">
        <f t="shared" si="1030"/>
        <v>#N/A</v>
      </c>
      <c r="CA822" s="616" t="e">
        <f t="shared" si="1030"/>
        <v>#N/A</v>
      </c>
      <c r="CB822" s="616" t="e">
        <f t="shared" si="1030"/>
        <v>#N/A</v>
      </c>
      <c r="CC822" s="616" t="e">
        <f t="shared" si="1030"/>
        <v>#N/A</v>
      </c>
      <c r="CD822" s="616" t="e">
        <f t="shared" si="1030"/>
        <v>#N/A</v>
      </c>
      <c r="CE822" s="616" t="e">
        <f t="shared" si="1030"/>
        <v>#N/A</v>
      </c>
      <c r="CF822" s="616" t="e">
        <f t="shared" si="1030"/>
        <v>#N/A</v>
      </c>
      <c r="CG822" s="616" t="e">
        <f t="shared" ref="CG822:CN822" si="1031">CG821*$Q$374/100</f>
        <v>#N/A</v>
      </c>
      <c r="CH822" s="616" t="e">
        <f t="shared" si="1031"/>
        <v>#N/A</v>
      </c>
      <c r="CI822" s="616" t="e">
        <f t="shared" si="1031"/>
        <v>#N/A</v>
      </c>
      <c r="CJ822" s="616" t="e">
        <f t="shared" si="1031"/>
        <v>#N/A</v>
      </c>
      <c r="CK822" s="616" t="e">
        <f t="shared" si="1031"/>
        <v>#N/A</v>
      </c>
      <c r="CL822" s="616" t="e">
        <f t="shared" si="1031"/>
        <v>#N/A</v>
      </c>
      <c r="CM822" s="616" t="e">
        <f t="shared" si="1031"/>
        <v>#N/A</v>
      </c>
      <c r="CN822" s="616" t="e">
        <f t="shared" si="1031"/>
        <v>#N/A</v>
      </c>
    </row>
    <row r="823" spans="8:93">
      <c r="H823" s="602" t="s">
        <v>940</v>
      </c>
      <c r="L823" s="618"/>
      <c r="M823" s="600"/>
      <c r="N823" s="615"/>
      <c r="O823" s="615"/>
      <c r="P823" s="615"/>
      <c r="Q823" s="615"/>
      <c r="R823" s="615"/>
      <c r="S823" s="615"/>
      <c r="U823" s="616"/>
      <c r="V823" s="616"/>
      <c r="W823" s="616"/>
      <c r="X823" s="616"/>
      <c r="Y823" s="616"/>
      <c r="Z823" s="616"/>
      <c r="AA823" s="616"/>
      <c r="AB823" s="616"/>
      <c r="AC823" s="616"/>
      <c r="AD823" s="616"/>
      <c r="AE823" s="616"/>
      <c r="AF823" s="616"/>
      <c r="AG823" s="616"/>
      <c r="AH823" s="616"/>
      <c r="AI823" s="616"/>
      <c r="AJ823" s="616"/>
      <c r="AK823" s="616"/>
      <c r="AL823" s="616"/>
      <c r="AM823" s="616"/>
      <c r="AN823" s="616"/>
      <c r="AO823" s="616"/>
      <c r="AP823" s="616"/>
      <c r="AQ823" s="616"/>
      <c r="AR823" s="616"/>
      <c r="AS823" s="616"/>
      <c r="AT823" s="616"/>
      <c r="AU823" s="616"/>
      <c r="AV823" s="616"/>
      <c r="AW823" s="616"/>
      <c r="AX823" s="616"/>
      <c r="AY823" s="616"/>
      <c r="AZ823" s="616"/>
      <c r="BA823" s="616"/>
      <c r="BB823" s="616"/>
      <c r="BC823" s="616"/>
      <c r="BD823" s="616"/>
      <c r="BE823" s="616"/>
      <c r="BF823" s="616"/>
      <c r="BG823" s="616"/>
      <c r="BH823" s="616"/>
      <c r="BI823" s="616"/>
      <c r="BJ823" s="616"/>
      <c r="BK823" s="616"/>
      <c r="BL823" s="616"/>
      <c r="BM823" s="616"/>
      <c r="BN823" s="616"/>
      <c r="BO823" s="616"/>
      <c r="BP823" s="616"/>
      <c r="BQ823" s="616"/>
      <c r="BR823" s="616"/>
      <c r="BS823" s="616"/>
      <c r="BT823" s="616"/>
      <c r="BU823" s="616"/>
      <c r="BV823" s="616"/>
      <c r="BW823" s="616"/>
      <c r="BX823" s="616"/>
      <c r="BY823" s="616"/>
      <c r="BZ823" s="616"/>
      <c r="CA823" s="616"/>
      <c r="CB823" s="616"/>
      <c r="CC823" s="616"/>
      <c r="CD823" s="616"/>
      <c r="CE823" s="616"/>
      <c r="CF823" s="616"/>
      <c r="CG823" s="616"/>
      <c r="CH823" s="616"/>
      <c r="CI823" s="616"/>
      <c r="CJ823" s="616"/>
      <c r="CK823" s="616"/>
      <c r="CL823" s="616"/>
      <c r="CM823" s="616"/>
      <c r="CN823" s="616"/>
    </row>
    <row r="824" spans="8:93">
      <c r="H824" s="602" t="s">
        <v>940</v>
      </c>
      <c r="L824" s="618" t="s">
        <v>1305</v>
      </c>
      <c r="M824" s="600" t="s">
        <v>974</v>
      </c>
      <c r="N824" s="615" t="e">
        <f>SUM(U824:AF824)</f>
        <v>#N/A</v>
      </c>
      <c r="O824" s="615" t="e">
        <f>SUM(AG824:AR824)</f>
        <v>#N/A</v>
      </c>
      <c r="P824" s="615" t="e">
        <f>SUM(AS824:BD824)</f>
        <v>#N/A</v>
      </c>
      <c r="Q824" s="615" t="e">
        <f>SUM(BE824:BP824)</f>
        <v>#N/A</v>
      </c>
      <c r="R824" s="615" t="e">
        <f>SUM(BQ824:CB824)</f>
        <v>#N/A</v>
      </c>
      <c r="S824" s="615" t="e">
        <f>SUM(CC824:CN824)</f>
        <v>#N/A</v>
      </c>
      <c r="U824" s="616" t="e">
        <f>SUM(U821:U822)</f>
        <v>#N/A</v>
      </c>
      <c r="V824" s="616" t="e">
        <f t="shared" ref="V824:CG824" si="1032">SUM(V821:V822)</f>
        <v>#N/A</v>
      </c>
      <c r="W824" s="616" t="e">
        <f t="shared" si="1032"/>
        <v>#N/A</v>
      </c>
      <c r="X824" s="616" t="e">
        <f t="shared" si="1032"/>
        <v>#N/A</v>
      </c>
      <c r="Y824" s="616" t="e">
        <f t="shared" si="1032"/>
        <v>#N/A</v>
      </c>
      <c r="Z824" s="616" t="e">
        <f t="shared" si="1032"/>
        <v>#N/A</v>
      </c>
      <c r="AA824" s="616" t="e">
        <f t="shared" si="1032"/>
        <v>#N/A</v>
      </c>
      <c r="AB824" s="616" t="e">
        <f t="shared" si="1032"/>
        <v>#N/A</v>
      </c>
      <c r="AC824" s="616" t="e">
        <f t="shared" si="1032"/>
        <v>#N/A</v>
      </c>
      <c r="AD824" s="616" t="e">
        <f t="shared" si="1032"/>
        <v>#N/A</v>
      </c>
      <c r="AE824" s="616" t="e">
        <f t="shared" si="1032"/>
        <v>#N/A</v>
      </c>
      <c r="AF824" s="616" t="e">
        <f t="shared" si="1032"/>
        <v>#N/A</v>
      </c>
      <c r="AG824" s="616" t="e">
        <f t="shared" si="1032"/>
        <v>#N/A</v>
      </c>
      <c r="AH824" s="616" t="e">
        <f t="shared" si="1032"/>
        <v>#N/A</v>
      </c>
      <c r="AI824" s="616" t="e">
        <f t="shared" si="1032"/>
        <v>#N/A</v>
      </c>
      <c r="AJ824" s="616" t="e">
        <f t="shared" si="1032"/>
        <v>#N/A</v>
      </c>
      <c r="AK824" s="616" t="e">
        <f t="shared" si="1032"/>
        <v>#N/A</v>
      </c>
      <c r="AL824" s="616" t="e">
        <f t="shared" si="1032"/>
        <v>#N/A</v>
      </c>
      <c r="AM824" s="616" t="e">
        <f t="shared" si="1032"/>
        <v>#N/A</v>
      </c>
      <c r="AN824" s="616" t="e">
        <f t="shared" si="1032"/>
        <v>#N/A</v>
      </c>
      <c r="AO824" s="616" t="e">
        <f t="shared" si="1032"/>
        <v>#N/A</v>
      </c>
      <c r="AP824" s="616" t="e">
        <f t="shared" si="1032"/>
        <v>#N/A</v>
      </c>
      <c r="AQ824" s="616" t="e">
        <f t="shared" si="1032"/>
        <v>#N/A</v>
      </c>
      <c r="AR824" s="616" t="e">
        <f t="shared" si="1032"/>
        <v>#N/A</v>
      </c>
      <c r="AS824" s="616" t="e">
        <f t="shared" si="1032"/>
        <v>#N/A</v>
      </c>
      <c r="AT824" s="616" t="e">
        <f t="shared" si="1032"/>
        <v>#N/A</v>
      </c>
      <c r="AU824" s="616" t="e">
        <f t="shared" si="1032"/>
        <v>#N/A</v>
      </c>
      <c r="AV824" s="616" t="e">
        <f t="shared" si="1032"/>
        <v>#N/A</v>
      </c>
      <c r="AW824" s="616" t="e">
        <f t="shared" si="1032"/>
        <v>#N/A</v>
      </c>
      <c r="AX824" s="616" t="e">
        <f t="shared" si="1032"/>
        <v>#N/A</v>
      </c>
      <c r="AY824" s="616" t="e">
        <f t="shared" si="1032"/>
        <v>#N/A</v>
      </c>
      <c r="AZ824" s="616" t="e">
        <f t="shared" si="1032"/>
        <v>#N/A</v>
      </c>
      <c r="BA824" s="616" t="e">
        <f t="shared" si="1032"/>
        <v>#N/A</v>
      </c>
      <c r="BB824" s="616" t="e">
        <f t="shared" si="1032"/>
        <v>#N/A</v>
      </c>
      <c r="BC824" s="616" t="e">
        <f t="shared" si="1032"/>
        <v>#N/A</v>
      </c>
      <c r="BD824" s="616" t="e">
        <f t="shared" si="1032"/>
        <v>#N/A</v>
      </c>
      <c r="BE824" s="616" t="e">
        <f t="shared" si="1032"/>
        <v>#N/A</v>
      </c>
      <c r="BF824" s="616" t="e">
        <f t="shared" si="1032"/>
        <v>#N/A</v>
      </c>
      <c r="BG824" s="616" t="e">
        <f t="shared" si="1032"/>
        <v>#N/A</v>
      </c>
      <c r="BH824" s="616" t="e">
        <f t="shared" si="1032"/>
        <v>#N/A</v>
      </c>
      <c r="BI824" s="616" t="e">
        <f t="shared" si="1032"/>
        <v>#N/A</v>
      </c>
      <c r="BJ824" s="616" t="e">
        <f t="shared" si="1032"/>
        <v>#N/A</v>
      </c>
      <c r="BK824" s="616" t="e">
        <f t="shared" si="1032"/>
        <v>#N/A</v>
      </c>
      <c r="BL824" s="616" t="e">
        <f t="shared" si="1032"/>
        <v>#N/A</v>
      </c>
      <c r="BM824" s="616" t="e">
        <f t="shared" si="1032"/>
        <v>#N/A</v>
      </c>
      <c r="BN824" s="616" t="e">
        <f t="shared" si="1032"/>
        <v>#N/A</v>
      </c>
      <c r="BO824" s="616" t="e">
        <f t="shared" si="1032"/>
        <v>#N/A</v>
      </c>
      <c r="BP824" s="616" t="e">
        <f t="shared" si="1032"/>
        <v>#N/A</v>
      </c>
      <c r="BQ824" s="616" t="e">
        <f t="shared" si="1032"/>
        <v>#N/A</v>
      </c>
      <c r="BR824" s="616" t="e">
        <f t="shared" si="1032"/>
        <v>#N/A</v>
      </c>
      <c r="BS824" s="616" t="e">
        <f t="shared" si="1032"/>
        <v>#N/A</v>
      </c>
      <c r="BT824" s="616" t="e">
        <f t="shared" si="1032"/>
        <v>#N/A</v>
      </c>
      <c r="BU824" s="616" t="e">
        <f t="shared" si="1032"/>
        <v>#N/A</v>
      </c>
      <c r="BV824" s="616" t="e">
        <f t="shared" si="1032"/>
        <v>#N/A</v>
      </c>
      <c r="BW824" s="616" t="e">
        <f t="shared" si="1032"/>
        <v>#N/A</v>
      </c>
      <c r="BX824" s="616" t="e">
        <f t="shared" si="1032"/>
        <v>#N/A</v>
      </c>
      <c r="BY824" s="616" t="e">
        <f t="shared" si="1032"/>
        <v>#N/A</v>
      </c>
      <c r="BZ824" s="616" t="e">
        <f t="shared" si="1032"/>
        <v>#N/A</v>
      </c>
      <c r="CA824" s="616" t="e">
        <f t="shared" si="1032"/>
        <v>#N/A</v>
      </c>
      <c r="CB824" s="616" t="e">
        <f t="shared" si="1032"/>
        <v>#N/A</v>
      </c>
      <c r="CC824" s="616" t="e">
        <f t="shared" si="1032"/>
        <v>#N/A</v>
      </c>
      <c r="CD824" s="616" t="e">
        <f t="shared" si="1032"/>
        <v>#N/A</v>
      </c>
      <c r="CE824" s="616" t="e">
        <f t="shared" si="1032"/>
        <v>#N/A</v>
      </c>
      <c r="CF824" s="616" t="e">
        <f t="shared" si="1032"/>
        <v>#N/A</v>
      </c>
      <c r="CG824" s="616" t="e">
        <f t="shared" si="1032"/>
        <v>#N/A</v>
      </c>
      <c r="CH824" s="616" t="e">
        <f t="shared" ref="CH824:CN824" si="1033">SUM(CH821:CH822)</f>
        <v>#N/A</v>
      </c>
      <c r="CI824" s="616" t="e">
        <f t="shared" si="1033"/>
        <v>#N/A</v>
      </c>
      <c r="CJ824" s="616" t="e">
        <f t="shared" si="1033"/>
        <v>#N/A</v>
      </c>
      <c r="CK824" s="616" t="e">
        <f t="shared" si="1033"/>
        <v>#N/A</v>
      </c>
      <c r="CL824" s="616" t="e">
        <f t="shared" si="1033"/>
        <v>#N/A</v>
      </c>
      <c r="CM824" s="616" t="e">
        <f t="shared" si="1033"/>
        <v>#N/A</v>
      </c>
      <c r="CN824" s="616" t="e">
        <f t="shared" si="1033"/>
        <v>#N/A</v>
      </c>
    </row>
    <row r="825" spans="8:93">
      <c r="H825" s="602" t="s">
        <v>940</v>
      </c>
      <c r="L825" s="618" t="s">
        <v>1307</v>
      </c>
      <c r="M825" s="600" t="s">
        <v>974</v>
      </c>
      <c r="N825" s="615" t="e">
        <f>SUM(U825:AF825)</f>
        <v>#N/A</v>
      </c>
      <c r="O825" s="615" t="e">
        <f>SUM(AG825:AR825)</f>
        <v>#N/A</v>
      </c>
      <c r="P825" s="615" t="e">
        <f>SUM(AS825:BD825)</f>
        <v>#N/A</v>
      </c>
      <c r="Q825" s="615" t="e">
        <f>SUM(BE825:BP825)</f>
        <v>#N/A</v>
      </c>
      <c r="R825" s="615" t="e">
        <f>SUM(BQ825:CB825)</f>
        <v>#N/A</v>
      </c>
      <c r="S825" s="615" t="e">
        <f>SUM(CC825:CN825)</f>
        <v>#N/A</v>
      </c>
      <c r="U825" s="616" t="e">
        <f>U824-U800</f>
        <v>#N/A</v>
      </c>
      <c r="V825" s="616" t="e">
        <f t="shared" ref="V825:CG825" si="1034">V824-V800</f>
        <v>#N/A</v>
      </c>
      <c r="W825" s="616" t="e">
        <f t="shared" si="1034"/>
        <v>#N/A</v>
      </c>
      <c r="X825" s="616" t="e">
        <f t="shared" si="1034"/>
        <v>#N/A</v>
      </c>
      <c r="Y825" s="616" t="e">
        <f t="shared" si="1034"/>
        <v>#N/A</v>
      </c>
      <c r="Z825" s="616" t="e">
        <f t="shared" si="1034"/>
        <v>#N/A</v>
      </c>
      <c r="AA825" s="616" t="e">
        <f t="shared" si="1034"/>
        <v>#N/A</v>
      </c>
      <c r="AB825" s="616" t="e">
        <f t="shared" si="1034"/>
        <v>#N/A</v>
      </c>
      <c r="AC825" s="616" t="e">
        <f t="shared" si="1034"/>
        <v>#N/A</v>
      </c>
      <c r="AD825" s="616" t="e">
        <f t="shared" si="1034"/>
        <v>#N/A</v>
      </c>
      <c r="AE825" s="616" t="e">
        <f t="shared" si="1034"/>
        <v>#N/A</v>
      </c>
      <c r="AF825" s="616" t="e">
        <f t="shared" si="1034"/>
        <v>#N/A</v>
      </c>
      <c r="AG825" s="616" t="e">
        <f t="shared" si="1034"/>
        <v>#N/A</v>
      </c>
      <c r="AH825" s="616" t="e">
        <f t="shared" si="1034"/>
        <v>#N/A</v>
      </c>
      <c r="AI825" s="616" t="e">
        <f t="shared" si="1034"/>
        <v>#N/A</v>
      </c>
      <c r="AJ825" s="616" t="e">
        <f t="shared" si="1034"/>
        <v>#N/A</v>
      </c>
      <c r="AK825" s="616" t="e">
        <f t="shared" si="1034"/>
        <v>#N/A</v>
      </c>
      <c r="AL825" s="616" t="e">
        <f t="shared" si="1034"/>
        <v>#N/A</v>
      </c>
      <c r="AM825" s="616" t="e">
        <f t="shared" si="1034"/>
        <v>#N/A</v>
      </c>
      <c r="AN825" s="616" t="e">
        <f t="shared" si="1034"/>
        <v>#N/A</v>
      </c>
      <c r="AO825" s="616" t="e">
        <f t="shared" si="1034"/>
        <v>#N/A</v>
      </c>
      <c r="AP825" s="616" t="e">
        <f t="shared" si="1034"/>
        <v>#N/A</v>
      </c>
      <c r="AQ825" s="616" t="e">
        <f t="shared" si="1034"/>
        <v>#N/A</v>
      </c>
      <c r="AR825" s="616" t="e">
        <f t="shared" si="1034"/>
        <v>#N/A</v>
      </c>
      <c r="AS825" s="616" t="e">
        <f t="shared" si="1034"/>
        <v>#N/A</v>
      </c>
      <c r="AT825" s="616" t="e">
        <f t="shared" si="1034"/>
        <v>#N/A</v>
      </c>
      <c r="AU825" s="616" t="e">
        <f t="shared" si="1034"/>
        <v>#N/A</v>
      </c>
      <c r="AV825" s="616" t="e">
        <f t="shared" si="1034"/>
        <v>#N/A</v>
      </c>
      <c r="AW825" s="616" t="e">
        <f t="shared" si="1034"/>
        <v>#N/A</v>
      </c>
      <c r="AX825" s="616" t="e">
        <f t="shared" si="1034"/>
        <v>#N/A</v>
      </c>
      <c r="AY825" s="616" t="e">
        <f t="shared" si="1034"/>
        <v>#N/A</v>
      </c>
      <c r="AZ825" s="616" t="e">
        <f t="shared" si="1034"/>
        <v>#N/A</v>
      </c>
      <c r="BA825" s="616" t="e">
        <f t="shared" si="1034"/>
        <v>#N/A</v>
      </c>
      <c r="BB825" s="616" t="e">
        <f t="shared" si="1034"/>
        <v>#N/A</v>
      </c>
      <c r="BC825" s="616" t="e">
        <f t="shared" si="1034"/>
        <v>#N/A</v>
      </c>
      <c r="BD825" s="616" t="e">
        <f t="shared" si="1034"/>
        <v>#N/A</v>
      </c>
      <c r="BE825" s="616" t="e">
        <f t="shared" si="1034"/>
        <v>#N/A</v>
      </c>
      <c r="BF825" s="616" t="e">
        <f t="shared" si="1034"/>
        <v>#N/A</v>
      </c>
      <c r="BG825" s="616" t="e">
        <f t="shared" si="1034"/>
        <v>#N/A</v>
      </c>
      <c r="BH825" s="616" t="e">
        <f t="shared" si="1034"/>
        <v>#N/A</v>
      </c>
      <c r="BI825" s="616" t="e">
        <f t="shared" si="1034"/>
        <v>#N/A</v>
      </c>
      <c r="BJ825" s="616" t="e">
        <f t="shared" si="1034"/>
        <v>#N/A</v>
      </c>
      <c r="BK825" s="616" t="e">
        <f t="shared" si="1034"/>
        <v>#N/A</v>
      </c>
      <c r="BL825" s="616" t="e">
        <f t="shared" si="1034"/>
        <v>#N/A</v>
      </c>
      <c r="BM825" s="616" t="e">
        <f t="shared" si="1034"/>
        <v>#N/A</v>
      </c>
      <c r="BN825" s="616" t="e">
        <f t="shared" si="1034"/>
        <v>#N/A</v>
      </c>
      <c r="BO825" s="616" t="e">
        <f t="shared" si="1034"/>
        <v>#N/A</v>
      </c>
      <c r="BP825" s="616" t="e">
        <f t="shared" si="1034"/>
        <v>#N/A</v>
      </c>
      <c r="BQ825" s="616" t="e">
        <f t="shared" si="1034"/>
        <v>#N/A</v>
      </c>
      <c r="BR825" s="616" t="e">
        <f t="shared" si="1034"/>
        <v>#N/A</v>
      </c>
      <c r="BS825" s="616" t="e">
        <f t="shared" si="1034"/>
        <v>#N/A</v>
      </c>
      <c r="BT825" s="616" t="e">
        <f t="shared" si="1034"/>
        <v>#N/A</v>
      </c>
      <c r="BU825" s="616" t="e">
        <f t="shared" si="1034"/>
        <v>#N/A</v>
      </c>
      <c r="BV825" s="616" t="e">
        <f t="shared" si="1034"/>
        <v>#N/A</v>
      </c>
      <c r="BW825" s="616" t="e">
        <f t="shared" si="1034"/>
        <v>#N/A</v>
      </c>
      <c r="BX825" s="616" t="e">
        <f t="shared" si="1034"/>
        <v>#N/A</v>
      </c>
      <c r="BY825" s="616" t="e">
        <f t="shared" si="1034"/>
        <v>#N/A</v>
      </c>
      <c r="BZ825" s="616" t="e">
        <f t="shared" si="1034"/>
        <v>#N/A</v>
      </c>
      <c r="CA825" s="616" t="e">
        <f t="shared" si="1034"/>
        <v>#N/A</v>
      </c>
      <c r="CB825" s="616" t="e">
        <f t="shared" si="1034"/>
        <v>#N/A</v>
      </c>
      <c r="CC825" s="616" t="e">
        <f t="shared" si="1034"/>
        <v>#N/A</v>
      </c>
      <c r="CD825" s="616" t="e">
        <f t="shared" si="1034"/>
        <v>#N/A</v>
      </c>
      <c r="CE825" s="616" t="e">
        <f t="shared" si="1034"/>
        <v>#N/A</v>
      </c>
      <c r="CF825" s="616" t="e">
        <f t="shared" si="1034"/>
        <v>#N/A</v>
      </c>
      <c r="CG825" s="616" t="e">
        <f t="shared" si="1034"/>
        <v>#N/A</v>
      </c>
      <c r="CH825" s="616" t="e">
        <f t="shared" ref="CH825:CN825" si="1035">CH824-CH800</f>
        <v>#N/A</v>
      </c>
      <c r="CI825" s="616" t="e">
        <f t="shared" si="1035"/>
        <v>#N/A</v>
      </c>
      <c r="CJ825" s="616" t="e">
        <f t="shared" si="1035"/>
        <v>#N/A</v>
      </c>
      <c r="CK825" s="616" t="e">
        <f t="shared" si="1035"/>
        <v>#N/A</v>
      </c>
      <c r="CL825" s="616" t="e">
        <f t="shared" si="1035"/>
        <v>#N/A</v>
      </c>
      <c r="CM825" s="616" t="e">
        <f t="shared" si="1035"/>
        <v>#N/A</v>
      </c>
      <c r="CN825" s="616" t="e">
        <f t="shared" si="1035"/>
        <v>#N/A</v>
      </c>
    </row>
    <row r="826" spans="8:93">
      <c r="H826" s="602" t="s">
        <v>940</v>
      </c>
    </row>
    <row r="827" spans="8:93" ht="18">
      <c r="H827" s="602" t="s">
        <v>940</v>
      </c>
      <c r="L827" s="652" t="s">
        <v>1318</v>
      </c>
      <c r="M827" s="551"/>
      <c r="N827" s="751"/>
      <c r="O827" s="751"/>
      <c r="P827" s="751"/>
      <c r="Q827" s="751"/>
      <c r="R827" s="751"/>
      <c r="S827" s="751"/>
      <c r="T827" s="551"/>
      <c r="U827" s="551"/>
      <c r="V827" s="551"/>
      <c r="W827" s="551"/>
      <c r="X827" s="551"/>
      <c r="Y827" s="551"/>
      <c r="Z827" s="551"/>
      <c r="AA827" s="551"/>
      <c r="AB827" s="551"/>
      <c r="AC827" s="551"/>
      <c r="AD827" s="551"/>
      <c r="AE827" s="551"/>
      <c r="AF827" s="551"/>
      <c r="AG827" s="551"/>
      <c r="AH827" s="551"/>
      <c r="AI827" s="551"/>
      <c r="AJ827" s="551"/>
      <c r="AK827" s="551"/>
      <c r="AL827" s="551"/>
      <c r="AM827" s="551"/>
      <c r="AN827" s="551"/>
      <c r="AO827" s="551"/>
      <c r="AP827" s="551"/>
      <c r="AQ827" s="551"/>
      <c r="AR827" s="551"/>
      <c r="AS827" s="551"/>
      <c r="AT827" s="551"/>
      <c r="AU827" s="551"/>
      <c r="AV827" s="551"/>
      <c r="AW827" s="551"/>
      <c r="AX827" s="551"/>
      <c r="AY827" s="551"/>
      <c r="AZ827" s="551"/>
      <c r="BA827" s="551"/>
      <c r="BB827" s="551"/>
      <c r="BC827" s="551"/>
      <c r="BD827" s="551"/>
      <c r="BE827" s="551"/>
      <c r="BF827" s="551"/>
      <c r="BG827" s="551"/>
      <c r="BH827" s="551"/>
      <c r="BI827" s="551"/>
      <c r="BJ827" s="551"/>
      <c r="BK827" s="551"/>
      <c r="BL827" s="551"/>
      <c r="BM827" s="551"/>
      <c r="BN827" s="551"/>
      <c r="BO827" s="551"/>
      <c r="BP827" s="551"/>
      <c r="BQ827" s="551"/>
      <c r="BR827" s="551"/>
      <c r="BS827" s="551"/>
      <c r="BT827" s="551"/>
      <c r="BU827" s="551"/>
      <c r="BV827" s="551"/>
      <c r="BW827" s="551"/>
      <c r="BX827" s="551"/>
      <c r="BY827" s="551"/>
      <c r="BZ827" s="551"/>
      <c r="CA827" s="551"/>
      <c r="CB827" s="551"/>
      <c r="CC827" s="551"/>
      <c r="CD827" s="551"/>
      <c r="CE827" s="551"/>
      <c r="CF827" s="551"/>
      <c r="CG827" s="551"/>
      <c r="CH827" s="551"/>
      <c r="CI827" s="551"/>
      <c r="CJ827" s="551"/>
      <c r="CK827" s="551"/>
      <c r="CL827" s="551"/>
      <c r="CM827" s="551"/>
      <c r="CN827" s="551"/>
    </row>
    <row r="828" spans="8:93" ht="13.5" thickBot="1">
      <c r="H828" s="602" t="s">
        <v>940</v>
      </c>
    </row>
    <row r="829" spans="8:93" ht="13.5" thickTop="1">
      <c r="H829" s="602" t="s">
        <v>940</v>
      </c>
      <c r="L829" s="757" t="s">
        <v>1319</v>
      </c>
      <c r="M829" s="758"/>
      <c r="N829" s="758"/>
      <c r="O829" s="758"/>
      <c r="P829" s="758"/>
      <c r="Q829" s="758"/>
      <c r="R829" s="758"/>
      <c r="S829" s="758"/>
      <c r="T829" s="758"/>
      <c r="U829" s="758"/>
      <c r="V829" s="758"/>
      <c r="W829" s="758"/>
      <c r="X829" s="758"/>
      <c r="Y829" s="758"/>
      <c r="Z829" s="758"/>
      <c r="AA829" s="758"/>
      <c r="AB829" s="758"/>
      <c r="AC829" s="758"/>
      <c r="AD829" s="758"/>
      <c r="AE829" s="758"/>
      <c r="AF829" s="758"/>
      <c r="AG829" s="758"/>
      <c r="AH829" s="758"/>
      <c r="AI829" s="758"/>
      <c r="AJ829" s="758"/>
      <c r="AK829" s="758"/>
      <c r="AL829" s="758"/>
      <c r="AM829" s="758"/>
      <c r="AN829" s="758"/>
      <c r="AO829" s="758"/>
      <c r="AP829" s="758"/>
      <c r="AQ829" s="758"/>
      <c r="AR829" s="758"/>
      <c r="AS829" s="758"/>
      <c r="AT829" s="758"/>
      <c r="AU829" s="758"/>
      <c r="AV829" s="758"/>
      <c r="AW829" s="758"/>
      <c r="AX829" s="758"/>
      <c r="AY829" s="758"/>
      <c r="AZ829" s="758"/>
      <c r="BA829" s="758"/>
      <c r="BB829" s="758"/>
      <c r="BC829" s="758"/>
      <c r="BD829" s="758"/>
      <c r="BE829" s="758"/>
      <c r="BF829" s="758"/>
      <c r="BG829" s="758"/>
      <c r="BH829" s="758"/>
      <c r="BI829" s="758"/>
      <c r="BJ829" s="758"/>
      <c r="BK829" s="758"/>
      <c r="BL829" s="758"/>
      <c r="BM829" s="758"/>
      <c r="BN829" s="758"/>
      <c r="BO829" s="758"/>
      <c r="BP829" s="758"/>
      <c r="BQ829" s="758"/>
      <c r="BR829" s="758"/>
      <c r="BS829" s="758"/>
      <c r="BT829" s="758"/>
      <c r="BU829" s="758"/>
      <c r="BV829" s="758"/>
      <c r="BW829" s="758"/>
      <c r="BX829" s="758"/>
      <c r="BY829" s="758"/>
      <c r="BZ829" s="758"/>
      <c r="CA829" s="758"/>
      <c r="CB829" s="758"/>
      <c r="CC829" s="758"/>
      <c r="CD829" s="758"/>
      <c r="CE829" s="758"/>
      <c r="CF829" s="758"/>
      <c r="CG829" s="758"/>
      <c r="CH829" s="758"/>
      <c r="CI829" s="758"/>
      <c r="CJ829" s="758"/>
      <c r="CK829" s="758"/>
      <c r="CL829" s="758"/>
      <c r="CM829" s="758"/>
      <c r="CN829" s="758"/>
    </row>
    <row r="830" spans="8:93">
      <c r="H830" s="602" t="s">
        <v>940</v>
      </c>
      <c r="L830" s="609"/>
      <c r="M830" s="609" t="s">
        <v>359</v>
      </c>
      <c r="N830" s="704" t="s">
        <v>929</v>
      </c>
      <c r="O830" s="704" t="s">
        <v>1193</v>
      </c>
      <c r="P830" s="704" t="s">
        <v>1194</v>
      </c>
      <c r="Q830" s="704" t="s">
        <v>1195</v>
      </c>
      <c r="R830" s="704" t="s">
        <v>1196</v>
      </c>
      <c r="S830" s="704" t="s">
        <v>1197</v>
      </c>
      <c r="T830" s="753"/>
      <c r="U830" s="692" t="s">
        <v>929</v>
      </c>
      <c r="AF830" s="753"/>
      <c r="AG830" s="704" t="s">
        <v>1193</v>
      </c>
      <c r="AR830" s="753"/>
      <c r="AS830" s="704" t="s">
        <v>1194</v>
      </c>
      <c r="BD830" s="753"/>
      <c r="BE830" s="704" t="s">
        <v>1195</v>
      </c>
      <c r="BP830" s="753"/>
      <c r="BQ830" s="704" t="s">
        <v>1196</v>
      </c>
      <c r="CB830" s="753"/>
      <c r="CC830" s="704" t="s">
        <v>1197</v>
      </c>
    </row>
    <row r="831" spans="8:93">
      <c r="H831" s="602" t="s">
        <v>940</v>
      </c>
      <c r="L831" s="611"/>
      <c r="M831" s="611"/>
      <c r="N831" s="754" t="s">
        <v>405</v>
      </c>
      <c r="O831" s="754" t="s">
        <v>405</v>
      </c>
      <c r="P831" s="754" t="s">
        <v>405</v>
      </c>
      <c r="Q831" s="754" t="s">
        <v>405</v>
      </c>
      <c r="R831" s="754" t="s">
        <v>405</v>
      </c>
      <c r="S831" s="754" t="s">
        <v>405</v>
      </c>
      <c r="T831" s="755"/>
      <c r="U831" s="754" t="s">
        <v>1259</v>
      </c>
      <c r="V831" s="754" t="s">
        <v>1260</v>
      </c>
      <c r="W831" s="754" t="s">
        <v>1261</v>
      </c>
      <c r="X831" s="754" t="s">
        <v>1262</v>
      </c>
      <c r="Y831" s="754" t="s">
        <v>947</v>
      </c>
      <c r="Z831" s="754" t="s">
        <v>1263</v>
      </c>
      <c r="AA831" s="754" t="s">
        <v>1264</v>
      </c>
      <c r="AB831" s="754" t="s">
        <v>1265</v>
      </c>
      <c r="AC831" s="754" t="s">
        <v>1266</v>
      </c>
      <c r="AD831" s="754" t="s">
        <v>1267</v>
      </c>
      <c r="AE831" s="754" t="s">
        <v>1268</v>
      </c>
      <c r="AF831" s="756" t="s">
        <v>1269</v>
      </c>
      <c r="AG831" s="754" t="s">
        <v>1259</v>
      </c>
      <c r="AH831" s="754" t="s">
        <v>1260</v>
      </c>
      <c r="AI831" s="754" t="s">
        <v>1261</v>
      </c>
      <c r="AJ831" s="754" t="s">
        <v>1262</v>
      </c>
      <c r="AK831" s="754" t="s">
        <v>947</v>
      </c>
      <c r="AL831" s="754" t="s">
        <v>1263</v>
      </c>
      <c r="AM831" s="754" t="s">
        <v>1264</v>
      </c>
      <c r="AN831" s="754" t="s">
        <v>1265</v>
      </c>
      <c r="AO831" s="754" t="s">
        <v>1266</v>
      </c>
      <c r="AP831" s="754" t="s">
        <v>1267</v>
      </c>
      <c r="AQ831" s="754" t="s">
        <v>1268</v>
      </c>
      <c r="AR831" s="756" t="s">
        <v>1269</v>
      </c>
      <c r="AS831" s="754" t="s">
        <v>1259</v>
      </c>
      <c r="AT831" s="754" t="s">
        <v>1260</v>
      </c>
      <c r="AU831" s="754" t="s">
        <v>1261</v>
      </c>
      <c r="AV831" s="754" t="s">
        <v>1262</v>
      </c>
      <c r="AW831" s="754" t="s">
        <v>947</v>
      </c>
      <c r="AX831" s="754" t="s">
        <v>1263</v>
      </c>
      <c r="AY831" s="754" t="s">
        <v>1264</v>
      </c>
      <c r="AZ831" s="754" t="s">
        <v>1265</v>
      </c>
      <c r="BA831" s="754" t="s">
        <v>1266</v>
      </c>
      <c r="BB831" s="754" t="s">
        <v>1267</v>
      </c>
      <c r="BC831" s="754" t="s">
        <v>1268</v>
      </c>
      <c r="BD831" s="756" t="s">
        <v>1269</v>
      </c>
      <c r="BE831" s="754" t="s">
        <v>1259</v>
      </c>
      <c r="BF831" s="754" t="s">
        <v>1260</v>
      </c>
      <c r="BG831" s="754" t="s">
        <v>1261</v>
      </c>
      <c r="BH831" s="754" t="s">
        <v>1262</v>
      </c>
      <c r="BI831" s="754" t="s">
        <v>947</v>
      </c>
      <c r="BJ831" s="754" t="s">
        <v>1263</v>
      </c>
      <c r="BK831" s="754" t="s">
        <v>1264</v>
      </c>
      <c r="BL831" s="754" t="s">
        <v>1265</v>
      </c>
      <c r="BM831" s="754" t="s">
        <v>1266</v>
      </c>
      <c r="BN831" s="754" t="s">
        <v>1267</v>
      </c>
      <c r="BO831" s="754" t="s">
        <v>1268</v>
      </c>
      <c r="BP831" s="756" t="s">
        <v>1269</v>
      </c>
      <c r="BQ831" s="754" t="s">
        <v>1259</v>
      </c>
      <c r="BR831" s="754" t="s">
        <v>1260</v>
      </c>
      <c r="BS831" s="754" t="s">
        <v>1261</v>
      </c>
      <c r="BT831" s="754" t="s">
        <v>1262</v>
      </c>
      <c r="BU831" s="754" t="s">
        <v>947</v>
      </c>
      <c r="BV831" s="754" t="s">
        <v>1263</v>
      </c>
      <c r="BW831" s="754" t="s">
        <v>1264</v>
      </c>
      <c r="BX831" s="754" t="s">
        <v>1265</v>
      </c>
      <c r="BY831" s="754" t="s">
        <v>1266</v>
      </c>
      <c r="BZ831" s="754" t="s">
        <v>1267</v>
      </c>
      <c r="CA831" s="754" t="s">
        <v>1268</v>
      </c>
      <c r="CB831" s="756" t="s">
        <v>1269</v>
      </c>
      <c r="CC831" s="754" t="s">
        <v>1259</v>
      </c>
      <c r="CD831" s="754" t="s">
        <v>1260</v>
      </c>
      <c r="CE831" s="754" t="s">
        <v>1261</v>
      </c>
      <c r="CF831" s="754" t="s">
        <v>1262</v>
      </c>
      <c r="CG831" s="754" t="s">
        <v>947</v>
      </c>
      <c r="CH831" s="754" t="s">
        <v>1263</v>
      </c>
      <c r="CI831" s="754" t="s">
        <v>1264</v>
      </c>
      <c r="CJ831" s="754" t="s">
        <v>1265</v>
      </c>
      <c r="CK831" s="754" t="s">
        <v>1266</v>
      </c>
      <c r="CL831" s="754" t="s">
        <v>1267</v>
      </c>
      <c r="CM831" s="754" t="s">
        <v>1268</v>
      </c>
      <c r="CN831" s="754" t="s">
        <v>1269</v>
      </c>
    </row>
    <row r="832" spans="8:93">
      <c r="H832" s="602" t="s">
        <v>940</v>
      </c>
      <c r="L832" s="609"/>
    </row>
    <row r="833" spans="8:93">
      <c r="H833" s="602" t="s">
        <v>940</v>
      </c>
      <c r="L833" s="618" t="s">
        <v>1290</v>
      </c>
      <c r="M833" s="600" t="s">
        <v>1204</v>
      </c>
      <c r="N833" s="615" t="e">
        <f>SUM(U833:AF833)</f>
        <v>#N/A</v>
      </c>
      <c r="O833" s="615" t="e">
        <f>SUM(AG833:AR833)</f>
        <v>#N/A</v>
      </c>
      <c r="P833" s="615" t="e">
        <f>SUM(AS833:BD833)</f>
        <v>#N/A</v>
      </c>
      <c r="Q833" s="615" t="e">
        <f>SUM(BE833:BP833)</f>
        <v>#N/A</v>
      </c>
      <c r="R833" s="615" t="e">
        <f>SUM(BQ833:CB833)</f>
        <v>#N/A</v>
      </c>
      <c r="S833" s="615" t="e">
        <f>SUM(CC833:CN833)</f>
        <v>#N/A</v>
      </c>
      <c r="U833" s="616" t="e">
        <f>U506</f>
        <v>#N/A</v>
      </c>
      <c r="V833" s="616" t="e">
        <f t="shared" ref="V833:CG833" si="1036">V506</f>
        <v>#N/A</v>
      </c>
      <c r="W833" s="616" t="e">
        <f t="shared" si="1036"/>
        <v>#N/A</v>
      </c>
      <c r="X833" s="616" t="e">
        <f t="shared" si="1036"/>
        <v>#N/A</v>
      </c>
      <c r="Y833" s="616" t="e">
        <f t="shared" si="1036"/>
        <v>#N/A</v>
      </c>
      <c r="Z833" s="616" t="e">
        <f t="shared" si="1036"/>
        <v>#N/A</v>
      </c>
      <c r="AA833" s="616" t="e">
        <f t="shared" si="1036"/>
        <v>#N/A</v>
      </c>
      <c r="AB833" s="616" t="e">
        <f t="shared" si="1036"/>
        <v>#N/A</v>
      </c>
      <c r="AC833" s="616" t="e">
        <f t="shared" si="1036"/>
        <v>#N/A</v>
      </c>
      <c r="AD833" s="616" t="e">
        <f t="shared" si="1036"/>
        <v>#N/A</v>
      </c>
      <c r="AE833" s="616" t="e">
        <f t="shared" si="1036"/>
        <v>#N/A</v>
      </c>
      <c r="AF833" s="616" t="e">
        <f t="shared" si="1036"/>
        <v>#N/A</v>
      </c>
      <c r="AG833" s="616" t="e">
        <f t="shared" si="1036"/>
        <v>#N/A</v>
      </c>
      <c r="AH833" s="616" t="e">
        <f t="shared" si="1036"/>
        <v>#N/A</v>
      </c>
      <c r="AI833" s="616" t="e">
        <f t="shared" si="1036"/>
        <v>#N/A</v>
      </c>
      <c r="AJ833" s="616" t="e">
        <f t="shared" si="1036"/>
        <v>#N/A</v>
      </c>
      <c r="AK833" s="616" t="e">
        <f t="shared" si="1036"/>
        <v>#N/A</v>
      </c>
      <c r="AL833" s="616" t="e">
        <f t="shared" si="1036"/>
        <v>#N/A</v>
      </c>
      <c r="AM833" s="616" t="e">
        <f t="shared" si="1036"/>
        <v>#N/A</v>
      </c>
      <c r="AN833" s="616" t="e">
        <f t="shared" si="1036"/>
        <v>#N/A</v>
      </c>
      <c r="AO833" s="616" t="e">
        <f t="shared" si="1036"/>
        <v>#N/A</v>
      </c>
      <c r="AP833" s="616" t="e">
        <f t="shared" si="1036"/>
        <v>#N/A</v>
      </c>
      <c r="AQ833" s="616" t="e">
        <f t="shared" si="1036"/>
        <v>#N/A</v>
      </c>
      <c r="AR833" s="616" t="e">
        <f t="shared" si="1036"/>
        <v>#N/A</v>
      </c>
      <c r="AS833" s="616" t="e">
        <f t="shared" si="1036"/>
        <v>#N/A</v>
      </c>
      <c r="AT833" s="616" t="e">
        <f t="shared" si="1036"/>
        <v>#N/A</v>
      </c>
      <c r="AU833" s="616" t="e">
        <f t="shared" si="1036"/>
        <v>#N/A</v>
      </c>
      <c r="AV833" s="616" t="e">
        <f t="shared" si="1036"/>
        <v>#N/A</v>
      </c>
      <c r="AW833" s="616" t="e">
        <f t="shared" si="1036"/>
        <v>#N/A</v>
      </c>
      <c r="AX833" s="616" t="e">
        <f t="shared" si="1036"/>
        <v>#N/A</v>
      </c>
      <c r="AY833" s="616" t="e">
        <f t="shared" si="1036"/>
        <v>#N/A</v>
      </c>
      <c r="AZ833" s="616" t="e">
        <f t="shared" si="1036"/>
        <v>#N/A</v>
      </c>
      <c r="BA833" s="616" t="e">
        <f t="shared" si="1036"/>
        <v>#N/A</v>
      </c>
      <c r="BB833" s="616" t="e">
        <f t="shared" si="1036"/>
        <v>#N/A</v>
      </c>
      <c r="BC833" s="616" t="e">
        <f t="shared" si="1036"/>
        <v>#N/A</v>
      </c>
      <c r="BD833" s="616" t="e">
        <f t="shared" si="1036"/>
        <v>#N/A</v>
      </c>
      <c r="BE833" s="616" t="e">
        <f t="shared" si="1036"/>
        <v>#N/A</v>
      </c>
      <c r="BF833" s="616" t="e">
        <f t="shared" si="1036"/>
        <v>#N/A</v>
      </c>
      <c r="BG833" s="616" t="e">
        <f t="shared" si="1036"/>
        <v>#N/A</v>
      </c>
      <c r="BH833" s="616" t="e">
        <f t="shared" si="1036"/>
        <v>#N/A</v>
      </c>
      <c r="BI833" s="616" t="e">
        <f t="shared" si="1036"/>
        <v>#N/A</v>
      </c>
      <c r="BJ833" s="616" t="e">
        <f t="shared" si="1036"/>
        <v>#N/A</v>
      </c>
      <c r="BK833" s="616" t="e">
        <f t="shared" si="1036"/>
        <v>#N/A</v>
      </c>
      <c r="BL833" s="616" t="e">
        <f t="shared" si="1036"/>
        <v>#N/A</v>
      </c>
      <c r="BM833" s="616" t="e">
        <f t="shared" si="1036"/>
        <v>#N/A</v>
      </c>
      <c r="BN833" s="616" t="e">
        <f t="shared" si="1036"/>
        <v>#N/A</v>
      </c>
      <c r="BO833" s="616" t="e">
        <f t="shared" si="1036"/>
        <v>#N/A</v>
      </c>
      <c r="BP833" s="616" t="e">
        <f t="shared" si="1036"/>
        <v>#N/A</v>
      </c>
      <c r="BQ833" s="616" t="e">
        <f t="shared" si="1036"/>
        <v>#N/A</v>
      </c>
      <c r="BR833" s="616" t="e">
        <f t="shared" si="1036"/>
        <v>#N/A</v>
      </c>
      <c r="BS833" s="616" t="e">
        <f t="shared" si="1036"/>
        <v>#N/A</v>
      </c>
      <c r="BT833" s="616" t="e">
        <f t="shared" si="1036"/>
        <v>#N/A</v>
      </c>
      <c r="BU833" s="616" t="e">
        <f t="shared" si="1036"/>
        <v>#N/A</v>
      </c>
      <c r="BV833" s="616" t="e">
        <f t="shared" si="1036"/>
        <v>#N/A</v>
      </c>
      <c r="BW833" s="616" t="e">
        <f t="shared" si="1036"/>
        <v>#N/A</v>
      </c>
      <c r="BX833" s="616" t="e">
        <f t="shared" si="1036"/>
        <v>#N/A</v>
      </c>
      <c r="BY833" s="616" t="e">
        <f t="shared" si="1036"/>
        <v>#N/A</v>
      </c>
      <c r="BZ833" s="616" t="e">
        <f t="shared" si="1036"/>
        <v>#N/A</v>
      </c>
      <c r="CA833" s="616" t="e">
        <f t="shared" si="1036"/>
        <v>#N/A</v>
      </c>
      <c r="CB833" s="616" t="e">
        <f t="shared" si="1036"/>
        <v>#N/A</v>
      </c>
      <c r="CC833" s="616" t="e">
        <f t="shared" si="1036"/>
        <v>#N/A</v>
      </c>
      <c r="CD833" s="616" t="e">
        <f t="shared" si="1036"/>
        <v>#N/A</v>
      </c>
      <c r="CE833" s="616" t="e">
        <f t="shared" si="1036"/>
        <v>#N/A</v>
      </c>
      <c r="CF833" s="616" t="e">
        <f t="shared" si="1036"/>
        <v>#N/A</v>
      </c>
      <c r="CG833" s="616" t="e">
        <f t="shared" si="1036"/>
        <v>#N/A</v>
      </c>
      <c r="CH833" s="616" t="e">
        <f t="shared" ref="CH833:CN833" si="1037">CH506</f>
        <v>#N/A</v>
      </c>
      <c r="CI833" s="616" t="e">
        <f t="shared" si="1037"/>
        <v>#N/A</v>
      </c>
      <c r="CJ833" s="616" t="e">
        <f t="shared" si="1037"/>
        <v>#N/A</v>
      </c>
      <c r="CK833" s="616" t="e">
        <f t="shared" si="1037"/>
        <v>#N/A</v>
      </c>
      <c r="CL833" s="616" t="e">
        <f t="shared" si="1037"/>
        <v>#N/A</v>
      </c>
      <c r="CM833" s="616" t="e">
        <f t="shared" si="1037"/>
        <v>#N/A</v>
      </c>
      <c r="CN833" s="616" t="e">
        <f t="shared" si="1037"/>
        <v>#N/A</v>
      </c>
    </row>
    <row r="834" spans="8:93">
      <c r="H834" s="602" t="s">
        <v>940</v>
      </c>
      <c r="L834" s="609"/>
      <c r="N834" s="615"/>
      <c r="O834" s="615"/>
      <c r="P834" s="615"/>
      <c r="Q834" s="615"/>
      <c r="R834" s="615"/>
      <c r="S834" s="615"/>
    </row>
    <row r="835" spans="8:93">
      <c r="H835" s="602" t="s">
        <v>940</v>
      </c>
      <c r="L835" s="618" t="s">
        <v>1296</v>
      </c>
      <c r="M835" s="600" t="s">
        <v>1204</v>
      </c>
      <c r="N835" s="615" t="e">
        <f>SUM(U835:AF835)</f>
        <v>#N/A</v>
      </c>
      <c r="O835" s="615" t="e">
        <f>SUM(AG835:AR835)</f>
        <v>#N/A</v>
      </c>
      <c r="P835" s="615" t="e">
        <f>SUM(AS835:BD835)</f>
        <v>#N/A</v>
      </c>
      <c r="Q835" s="615" t="e">
        <f>SUM(BE835:BP835)</f>
        <v>#N/A</v>
      </c>
      <c r="R835" s="615" t="e">
        <f>SUM(BQ835:CB835)</f>
        <v>#N/A</v>
      </c>
      <c r="S835" s="615" t="e">
        <f>SUM(CC835:CN835)</f>
        <v>#N/A</v>
      </c>
      <c r="U835" s="616" t="e">
        <f>MIN(U833,$P$386)</f>
        <v>#N/A</v>
      </c>
      <c r="V835" s="616" t="e">
        <f t="shared" ref="V835:CG835" si="1038">MIN(V833,$P$386)</f>
        <v>#N/A</v>
      </c>
      <c r="W835" s="616" t="e">
        <f t="shared" si="1038"/>
        <v>#N/A</v>
      </c>
      <c r="X835" s="616" t="e">
        <f t="shared" si="1038"/>
        <v>#N/A</v>
      </c>
      <c r="Y835" s="616" t="e">
        <f t="shared" si="1038"/>
        <v>#N/A</v>
      </c>
      <c r="Z835" s="616" t="e">
        <f t="shared" si="1038"/>
        <v>#N/A</v>
      </c>
      <c r="AA835" s="616" t="e">
        <f t="shared" si="1038"/>
        <v>#N/A</v>
      </c>
      <c r="AB835" s="616" t="e">
        <f t="shared" si="1038"/>
        <v>#N/A</v>
      </c>
      <c r="AC835" s="616" t="e">
        <f t="shared" si="1038"/>
        <v>#N/A</v>
      </c>
      <c r="AD835" s="616" t="e">
        <f t="shared" si="1038"/>
        <v>#N/A</v>
      </c>
      <c r="AE835" s="616" t="e">
        <f t="shared" si="1038"/>
        <v>#N/A</v>
      </c>
      <c r="AF835" s="616" t="e">
        <f t="shared" si="1038"/>
        <v>#N/A</v>
      </c>
      <c r="AG835" s="616" t="e">
        <f t="shared" si="1038"/>
        <v>#N/A</v>
      </c>
      <c r="AH835" s="616" t="e">
        <f t="shared" si="1038"/>
        <v>#N/A</v>
      </c>
      <c r="AI835" s="616" t="e">
        <f t="shared" si="1038"/>
        <v>#N/A</v>
      </c>
      <c r="AJ835" s="616" t="e">
        <f t="shared" si="1038"/>
        <v>#N/A</v>
      </c>
      <c r="AK835" s="616" t="e">
        <f t="shared" si="1038"/>
        <v>#N/A</v>
      </c>
      <c r="AL835" s="616" t="e">
        <f t="shared" si="1038"/>
        <v>#N/A</v>
      </c>
      <c r="AM835" s="616" t="e">
        <f t="shared" si="1038"/>
        <v>#N/A</v>
      </c>
      <c r="AN835" s="616" t="e">
        <f t="shared" si="1038"/>
        <v>#N/A</v>
      </c>
      <c r="AO835" s="616" t="e">
        <f t="shared" si="1038"/>
        <v>#N/A</v>
      </c>
      <c r="AP835" s="616" t="e">
        <f t="shared" si="1038"/>
        <v>#N/A</v>
      </c>
      <c r="AQ835" s="616" t="e">
        <f t="shared" si="1038"/>
        <v>#N/A</v>
      </c>
      <c r="AR835" s="616" t="e">
        <f t="shared" si="1038"/>
        <v>#N/A</v>
      </c>
      <c r="AS835" s="616" t="e">
        <f t="shared" si="1038"/>
        <v>#N/A</v>
      </c>
      <c r="AT835" s="616" t="e">
        <f t="shared" si="1038"/>
        <v>#N/A</v>
      </c>
      <c r="AU835" s="616" t="e">
        <f t="shared" si="1038"/>
        <v>#N/A</v>
      </c>
      <c r="AV835" s="616" t="e">
        <f t="shared" si="1038"/>
        <v>#N/A</v>
      </c>
      <c r="AW835" s="616" t="e">
        <f t="shared" si="1038"/>
        <v>#N/A</v>
      </c>
      <c r="AX835" s="616" t="e">
        <f t="shared" si="1038"/>
        <v>#N/A</v>
      </c>
      <c r="AY835" s="616" t="e">
        <f t="shared" si="1038"/>
        <v>#N/A</v>
      </c>
      <c r="AZ835" s="616" t="e">
        <f t="shared" si="1038"/>
        <v>#N/A</v>
      </c>
      <c r="BA835" s="616" t="e">
        <f t="shared" si="1038"/>
        <v>#N/A</v>
      </c>
      <c r="BB835" s="616" t="e">
        <f t="shared" si="1038"/>
        <v>#N/A</v>
      </c>
      <c r="BC835" s="616" t="e">
        <f t="shared" si="1038"/>
        <v>#N/A</v>
      </c>
      <c r="BD835" s="616" t="e">
        <f t="shared" si="1038"/>
        <v>#N/A</v>
      </c>
      <c r="BE835" s="616" t="e">
        <f t="shared" si="1038"/>
        <v>#N/A</v>
      </c>
      <c r="BF835" s="616" t="e">
        <f t="shared" si="1038"/>
        <v>#N/A</v>
      </c>
      <c r="BG835" s="616" t="e">
        <f t="shared" si="1038"/>
        <v>#N/A</v>
      </c>
      <c r="BH835" s="616" t="e">
        <f t="shared" si="1038"/>
        <v>#N/A</v>
      </c>
      <c r="BI835" s="616" t="e">
        <f t="shared" si="1038"/>
        <v>#N/A</v>
      </c>
      <c r="BJ835" s="616" t="e">
        <f t="shared" si="1038"/>
        <v>#N/A</v>
      </c>
      <c r="BK835" s="616" t="e">
        <f t="shared" si="1038"/>
        <v>#N/A</v>
      </c>
      <c r="BL835" s="616" t="e">
        <f t="shared" si="1038"/>
        <v>#N/A</v>
      </c>
      <c r="BM835" s="616" t="e">
        <f t="shared" si="1038"/>
        <v>#N/A</v>
      </c>
      <c r="BN835" s="616" t="e">
        <f t="shared" si="1038"/>
        <v>#N/A</v>
      </c>
      <c r="BO835" s="616" t="e">
        <f t="shared" si="1038"/>
        <v>#N/A</v>
      </c>
      <c r="BP835" s="616" t="e">
        <f t="shared" si="1038"/>
        <v>#N/A</v>
      </c>
      <c r="BQ835" s="616" t="e">
        <f t="shared" si="1038"/>
        <v>#N/A</v>
      </c>
      <c r="BR835" s="616" t="e">
        <f t="shared" si="1038"/>
        <v>#N/A</v>
      </c>
      <c r="BS835" s="616" t="e">
        <f t="shared" si="1038"/>
        <v>#N/A</v>
      </c>
      <c r="BT835" s="616" t="e">
        <f t="shared" si="1038"/>
        <v>#N/A</v>
      </c>
      <c r="BU835" s="616" t="e">
        <f t="shared" si="1038"/>
        <v>#N/A</v>
      </c>
      <c r="BV835" s="616" t="e">
        <f t="shared" si="1038"/>
        <v>#N/A</v>
      </c>
      <c r="BW835" s="616" t="e">
        <f t="shared" si="1038"/>
        <v>#N/A</v>
      </c>
      <c r="BX835" s="616" t="e">
        <f t="shared" si="1038"/>
        <v>#N/A</v>
      </c>
      <c r="BY835" s="616" t="e">
        <f t="shared" si="1038"/>
        <v>#N/A</v>
      </c>
      <c r="BZ835" s="616" t="e">
        <f t="shared" si="1038"/>
        <v>#N/A</v>
      </c>
      <c r="CA835" s="616" t="e">
        <f t="shared" si="1038"/>
        <v>#N/A</v>
      </c>
      <c r="CB835" s="616" t="e">
        <f t="shared" si="1038"/>
        <v>#N/A</v>
      </c>
      <c r="CC835" s="616" t="e">
        <f t="shared" si="1038"/>
        <v>#N/A</v>
      </c>
      <c r="CD835" s="616" t="e">
        <f t="shared" si="1038"/>
        <v>#N/A</v>
      </c>
      <c r="CE835" s="616" t="e">
        <f t="shared" si="1038"/>
        <v>#N/A</v>
      </c>
      <c r="CF835" s="616" t="e">
        <f t="shared" si="1038"/>
        <v>#N/A</v>
      </c>
      <c r="CG835" s="616" t="e">
        <f t="shared" si="1038"/>
        <v>#N/A</v>
      </c>
      <c r="CH835" s="616" t="e">
        <f t="shared" ref="CH835:CN835" si="1039">MIN(CH833,$P$386)</f>
        <v>#N/A</v>
      </c>
      <c r="CI835" s="616" t="e">
        <f t="shared" si="1039"/>
        <v>#N/A</v>
      </c>
      <c r="CJ835" s="616" t="e">
        <f t="shared" si="1039"/>
        <v>#N/A</v>
      </c>
      <c r="CK835" s="616" t="e">
        <f t="shared" si="1039"/>
        <v>#N/A</v>
      </c>
      <c r="CL835" s="616" t="e">
        <f t="shared" si="1039"/>
        <v>#N/A</v>
      </c>
      <c r="CM835" s="616" t="e">
        <f t="shared" si="1039"/>
        <v>#N/A</v>
      </c>
      <c r="CN835" s="616" t="e">
        <f t="shared" si="1039"/>
        <v>#N/A</v>
      </c>
    </row>
    <row r="836" spans="8:93">
      <c r="H836" s="602" t="s">
        <v>940</v>
      </c>
      <c r="L836" s="618" t="s">
        <v>1297</v>
      </c>
      <c r="M836" s="600" t="s">
        <v>1204</v>
      </c>
      <c r="N836" s="615" t="e">
        <f>SUM(U836:AF836)</f>
        <v>#N/A</v>
      </c>
      <c r="O836" s="615" t="e">
        <f>SUM(AG836:AR836)</f>
        <v>#N/A</v>
      </c>
      <c r="P836" s="615" t="e">
        <f>SUM(AS836:BD836)</f>
        <v>#N/A</v>
      </c>
      <c r="Q836" s="615" t="e">
        <f>SUM(BE836:BP836)</f>
        <v>#N/A</v>
      </c>
      <c r="R836" s="615" t="e">
        <f>SUM(BQ836:CB836)</f>
        <v>#N/A</v>
      </c>
      <c r="S836" s="615" t="e">
        <f>SUM(CC836:CN836)</f>
        <v>#N/A</v>
      </c>
      <c r="U836" s="616" t="e">
        <f>MIN(U833-U835,$P$387)</f>
        <v>#N/A</v>
      </c>
      <c r="V836" s="616" t="e">
        <f t="shared" ref="V836:CG836" si="1040">MIN(V833-V835,$P$387)</f>
        <v>#N/A</v>
      </c>
      <c r="W836" s="616" t="e">
        <f t="shared" si="1040"/>
        <v>#N/A</v>
      </c>
      <c r="X836" s="616" t="e">
        <f t="shared" si="1040"/>
        <v>#N/A</v>
      </c>
      <c r="Y836" s="616" t="e">
        <f t="shared" si="1040"/>
        <v>#N/A</v>
      </c>
      <c r="Z836" s="616" t="e">
        <f t="shared" si="1040"/>
        <v>#N/A</v>
      </c>
      <c r="AA836" s="616" t="e">
        <f t="shared" si="1040"/>
        <v>#N/A</v>
      </c>
      <c r="AB836" s="616" t="e">
        <f t="shared" si="1040"/>
        <v>#N/A</v>
      </c>
      <c r="AC836" s="616" t="e">
        <f t="shared" si="1040"/>
        <v>#N/A</v>
      </c>
      <c r="AD836" s="616" t="e">
        <f t="shared" si="1040"/>
        <v>#N/A</v>
      </c>
      <c r="AE836" s="616" t="e">
        <f t="shared" si="1040"/>
        <v>#N/A</v>
      </c>
      <c r="AF836" s="616" t="e">
        <f t="shared" si="1040"/>
        <v>#N/A</v>
      </c>
      <c r="AG836" s="616" t="e">
        <f t="shared" si="1040"/>
        <v>#N/A</v>
      </c>
      <c r="AH836" s="616" t="e">
        <f t="shared" si="1040"/>
        <v>#N/A</v>
      </c>
      <c r="AI836" s="616" t="e">
        <f t="shared" si="1040"/>
        <v>#N/A</v>
      </c>
      <c r="AJ836" s="616" t="e">
        <f t="shared" si="1040"/>
        <v>#N/A</v>
      </c>
      <c r="AK836" s="616" t="e">
        <f t="shared" si="1040"/>
        <v>#N/A</v>
      </c>
      <c r="AL836" s="616" t="e">
        <f t="shared" si="1040"/>
        <v>#N/A</v>
      </c>
      <c r="AM836" s="616" t="e">
        <f t="shared" si="1040"/>
        <v>#N/A</v>
      </c>
      <c r="AN836" s="616" t="e">
        <f t="shared" si="1040"/>
        <v>#N/A</v>
      </c>
      <c r="AO836" s="616" t="e">
        <f t="shared" si="1040"/>
        <v>#N/A</v>
      </c>
      <c r="AP836" s="616" t="e">
        <f t="shared" si="1040"/>
        <v>#N/A</v>
      </c>
      <c r="AQ836" s="616" t="e">
        <f t="shared" si="1040"/>
        <v>#N/A</v>
      </c>
      <c r="AR836" s="616" t="e">
        <f t="shared" si="1040"/>
        <v>#N/A</v>
      </c>
      <c r="AS836" s="616" t="e">
        <f t="shared" si="1040"/>
        <v>#N/A</v>
      </c>
      <c r="AT836" s="616" t="e">
        <f t="shared" si="1040"/>
        <v>#N/A</v>
      </c>
      <c r="AU836" s="616" t="e">
        <f t="shared" si="1040"/>
        <v>#N/A</v>
      </c>
      <c r="AV836" s="616" t="e">
        <f t="shared" si="1040"/>
        <v>#N/A</v>
      </c>
      <c r="AW836" s="616" t="e">
        <f t="shared" si="1040"/>
        <v>#N/A</v>
      </c>
      <c r="AX836" s="616" t="e">
        <f t="shared" si="1040"/>
        <v>#N/A</v>
      </c>
      <c r="AY836" s="616" t="e">
        <f t="shared" si="1040"/>
        <v>#N/A</v>
      </c>
      <c r="AZ836" s="616" t="e">
        <f t="shared" si="1040"/>
        <v>#N/A</v>
      </c>
      <c r="BA836" s="616" t="e">
        <f t="shared" si="1040"/>
        <v>#N/A</v>
      </c>
      <c r="BB836" s="616" t="e">
        <f t="shared" si="1040"/>
        <v>#N/A</v>
      </c>
      <c r="BC836" s="616" t="e">
        <f t="shared" si="1040"/>
        <v>#N/A</v>
      </c>
      <c r="BD836" s="616" t="e">
        <f t="shared" si="1040"/>
        <v>#N/A</v>
      </c>
      <c r="BE836" s="616" t="e">
        <f t="shared" si="1040"/>
        <v>#N/A</v>
      </c>
      <c r="BF836" s="616" t="e">
        <f t="shared" si="1040"/>
        <v>#N/A</v>
      </c>
      <c r="BG836" s="616" t="e">
        <f t="shared" si="1040"/>
        <v>#N/A</v>
      </c>
      <c r="BH836" s="616" t="e">
        <f t="shared" si="1040"/>
        <v>#N/A</v>
      </c>
      <c r="BI836" s="616" t="e">
        <f t="shared" si="1040"/>
        <v>#N/A</v>
      </c>
      <c r="BJ836" s="616" t="e">
        <f t="shared" si="1040"/>
        <v>#N/A</v>
      </c>
      <c r="BK836" s="616" t="e">
        <f t="shared" si="1040"/>
        <v>#N/A</v>
      </c>
      <c r="BL836" s="616" t="e">
        <f t="shared" si="1040"/>
        <v>#N/A</v>
      </c>
      <c r="BM836" s="616" t="e">
        <f t="shared" si="1040"/>
        <v>#N/A</v>
      </c>
      <c r="BN836" s="616" t="e">
        <f t="shared" si="1040"/>
        <v>#N/A</v>
      </c>
      <c r="BO836" s="616" t="e">
        <f t="shared" si="1040"/>
        <v>#N/A</v>
      </c>
      <c r="BP836" s="616" t="e">
        <f t="shared" si="1040"/>
        <v>#N/A</v>
      </c>
      <c r="BQ836" s="616" t="e">
        <f t="shared" si="1040"/>
        <v>#N/A</v>
      </c>
      <c r="BR836" s="616" t="e">
        <f t="shared" si="1040"/>
        <v>#N/A</v>
      </c>
      <c r="BS836" s="616" t="e">
        <f t="shared" si="1040"/>
        <v>#N/A</v>
      </c>
      <c r="BT836" s="616" t="e">
        <f t="shared" si="1040"/>
        <v>#N/A</v>
      </c>
      <c r="BU836" s="616" t="e">
        <f t="shared" si="1040"/>
        <v>#N/A</v>
      </c>
      <c r="BV836" s="616" t="e">
        <f t="shared" si="1040"/>
        <v>#N/A</v>
      </c>
      <c r="BW836" s="616" t="e">
        <f t="shared" si="1040"/>
        <v>#N/A</v>
      </c>
      <c r="BX836" s="616" t="e">
        <f t="shared" si="1040"/>
        <v>#N/A</v>
      </c>
      <c r="BY836" s="616" t="e">
        <f t="shared" si="1040"/>
        <v>#N/A</v>
      </c>
      <c r="BZ836" s="616" t="e">
        <f t="shared" si="1040"/>
        <v>#N/A</v>
      </c>
      <c r="CA836" s="616" t="e">
        <f t="shared" si="1040"/>
        <v>#N/A</v>
      </c>
      <c r="CB836" s="616" t="e">
        <f t="shared" si="1040"/>
        <v>#N/A</v>
      </c>
      <c r="CC836" s="616" t="e">
        <f t="shared" si="1040"/>
        <v>#N/A</v>
      </c>
      <c r="CD836" s="616" t="e">
        <f t="shared" si="1040"/>
        <v>#N/A</v>
      </c>
      <c r="CE836" s="616" t="e">
        <f t="shared" si="1040"/>
        <v>#N/A</v>
      </c>
      <c r="CF836" s="616" t="e">
        <f t="shared" si="1040"/>
        <v>#N/A</v>
      </c>
      <c r="CG836" s="616" t="e">
        <f t="shared" si="1040"/>
        <v>#N/A</v>
      </c>
      <c r="CH836" s="616" t="e">
        <f t="shared" ref="CH836:CN836" si="1041">MIN(CH833-CH835,$P$387)</f>
        <v>#N/A</v>
      </c>
      <c r="CI836" s="616" t="e">
        <f t="shared" si="1041"/>
        <v>#N/A</v>
      </c>
      <c r="CJ836" s="616" t="e">
        <f t="shared" si="1041"/>
        <v>#N/A</v>
      </c>
      <c r="CK836" s="616" t="e">
        <f t="shared" si="1041"/>
        <v>#N/A</v>
      </c>
      <c r="CL836" s="616" t="e">
        <f t="shared" si="1041"/>
        <v>#N/A</v>
      </c>
      <c r="CM836" s="616" t="e">
        <f t="shared" si="1041"/>
        <v>#N/A</v>
      </c>
      <c r="CN836" s="616" t="e">
        <f t="shared" si="1041"/>
        <v>#N/A</v>
      </c>
    </row>
    <row r="837" spans="8:93">
      <c r="H837" s="602" t="s">
        <v>940</v>
      </c>
      <c r="L837" s="618" t="s">
        <v>1298</v>
      </c>
      <c r="M837" s="600" t="s">
        <v>1204</v>
      </c>
      <c r="N837" s="615" t="e">
        <f>SUM(U837:AF837)</f>
        <v>#N/A</v>
      </c>
      <c r="O837" s="615" t="e">
        <f>SUM(AG837:AR837)</f>
        <v>#N/A</v>
      </c>
      <c r="P837" s="615" t="e">
        <f>SUM(AS837:BD837)</f>
        <v>#N/A</v>
      </c>
      <c r="Q837" s="615" t="e">
        <f>SUM(BE837:BP837)</f>
        <v>#N/A</v>
      </c>
      <c r="R837" s="615" t="e">
        <f>SUM(BQ837:CB837)</f>
        <v>#N/A</v>
      </c>
      <c r="S837" s="615" t="e">
        <f>SUM(CC837:CN837)</f>
        <v>#N/A</v>
      </c>
      <c r="U837" s="616" t="e">
        <f>MIN(U833-(U835+U836),$P$388)</f>
        <v>#N/A</v>
      </c>
      <c r="V837" s="616" t="e">
        <f t="shared" ref="V837:CG837" si="1042">MIN(V833-(V835+V836),$P$388)</f>
        <v>#N/A</v>
      </c>
      <c r="W837" s="616" t="e">
        <f t="shared" si="1042"/>
        <v>#N/A</v>
      </c>
      <c r="X837" s="616" t="e">
        <f t="shared" si="1042"/>
        <v>#N/A</v>
      </c>
      <c r="Y837" s="616" t="e">
        <f t="shared" si="1042"/>
        <v>#N/A</v>
      </c>
      <c r="Z837" s="616" t="e">
        <f t="shared" si="1042"/>
        <v>#N/A</v>
      </c>
      <c r="AA837" s="616" t="e">
        <f t="shared" si="1042"/>
        <v>#N/A</v>
      </c>
      <c r="AB837" s="616" t="e">
        <f t="shared" si="1042"/>
        <v>#N/A</v>
      </c>
      <c r="AC837" s="616" t="e">
        <f t="shared" si="1042"/>
        <v>#N/A</v>
      </c>
      <c r="AD837" s="616" t="e">
        <f t="shared" si="1042"/>
        <v>#N/A</v>
      </c>
      <c r="AE837" s="616" t="e">
        <f t="shared" si="1042"/>
        <v>#N/A</v>
      </c>
      <c r="AF837" s="616" t="e">
        <f t="shared" si="1042"/>
        <v>#N/A</v>
      </c>
      <c r="AG837" s="616" t="e">
        <f t="shared" si="1042"/>
        <v>#N/A</v>
      </c>
      <c r="AH837" s="616" t="e">
        <f t="shared" si="1042"/>
        <v>#N/A</v>
      </c>
      <c r="AI837" s="616" t="e">
        <f t="shared" si="1042"/>
        <v>#N/A</v>
      </c>
      <c r="AJ837" s="616" t="e">
        <f t="shared" si="1042"/>
        <v>#N/A</v>
      </c>
      <c r="AK837" s="616" t="e">
        <f t="shared" si="1042"/>
        <v>#N/A</v>
      </c>
      <c r="AL837" s="616" t="e">
        <f t="shared" si="1042"/>
        <v>#N/A</v>
      </c>
      <c r="AM837" s="616" t="e">
        <f t="shared" si="1042"/>
        <v>#N/A</v>
      </c>
      <c r="AN837" s="616" t="e">
        <f t="shared" si="1042"/>
        <v>#N/A</v>
      </c>
      <c r="AO837" s="616" t="e">
        <f t="shared" si="1042"/>
        <v>#N/A</v>
      </c>
      <c r="AP837" s="616" t="e">
        <f t="shared" si="1042"/>
        <v>#N/A</v>
      </c>
      <c r="AQ837" s="616" t="e">
        <f t="shared" si="1042"/>
        <v>#N/A</v>
      </c>
      <c r="AR837" s="616" t="e">
        <f t="shared" si="1042"/>
        <v>#N/A</v>
      </c>
      <c r="AS837" s="616" t="e">
        <f t="shared" si="1042"/>
        <v>#N/A</v>
      </c>
      <c r="AT837" s="616" t="e">
        <f t="shared" si="1042"/>
        <v>#N/A</v>
      </c>
      <c r="AU837" s="616" t="e">
        <f t="shared" si="1042"/>
        <v>#N/A</v>
      </c>
      <c r="AV837" s="616" t="e">
        <f t="shared" si="1042"/>
        <v>#N/A</v>
      </c>
      <c r="AW837" s="616" t="e">
        <f t="shared" si="1042"/>
        <v>#N/A</v>
      </c>
      <c r="AX837" s="616" t="e">
        <f t="shared" si="1042"/>
        <v>#N/A</v>
      </c>
      <c r="AY837" s="616" t="e">
        <f t="shared" si="1042"/>
        <v>#N/A</v>
      </c>
      <c r="AZ837" s="616" t="e">
        <f t="shared" si="1042"/>
        <v>#N/A</v>
      </c>
      <c r="BA837" s="616" t="e">
        <f t="shared" si="1042"/>
        <v>#N/A</v>
      </c>
      <c r="BB837" s="616" t="e">
        <f t="shared" si="1042"/>
        <v>#N/A</v>
      </c>
      <c r="BC837" s="616" t="e">
        <f t="shared" si="1042"/>
        <v>#N/A</v>
      </c>
      <c r="BD837" s="616" t="e">
        <f t="shared" si="1042"/>
        <v>#N/A</v>
      </c>
      <c r="BE837" s="616" t="e">
        <f t="shared" si="1042"/>
        <v>#N/A</v>
      </c>
      <c r="BF837" s="616" t="e">
        <f t="shared" si="1042"/>
        <v>#N/A</v>
      </c>
      <c r="BG837" s="616" t="e">
        <f t="shared" si="1042"/>
        <v>#N/A</v>
      </c>
      <c r="BH837" s="616" t="e">
        <f t="shared" si="1042"/>
        <v>#N/A</v>
      </c>
      <c r="BI837" s="616" t="e">
        <f t="shared" si="1042"/>
        <v>#N/A</v>
      </c>
      <c r="BJ837" s="616" t="e">
        <f t="shared" si="1042"/>
        <v>#N/A</v>
      </c>
      <c r="BK837" s="616" t="e">
        <f t="shared" si="1042"/>
        <v>#N/A</v>
      </c>
      <c r="BL837" s="616" t="e">
        <f t="shared" si="1042"/>
        <v>#N/A</v>
      </c>
      <c r="BM837" s="616" t="e">
        <f t="shared" si="1042"/>
        <v>#N/A</v>
      </c>
      <c r="BN837" s="616" t="e">
        <f t="shared" si="1042"/>
        <v>#N/A</v>
      </c>
      <c r="BO837" s="616" t="e">
        <f t="shared" si="1042"/>
        <v>#N/A</v>
      </c>
      <c r="BP837" s="616" t="e">
        <f t="shared" si="1042"/>
        <v>#N/A</v>
      </c>
      <c r="BQ837" s="616" t="e">
        <f t="shared" si="1042"/>
        <v>#N/A</v>
      </c>
      <c r="BR837" s="616" t="e">
        <f t="shared" si="1042"/>
        <v>#N/A</v>
      </c>
      <c r="BS837" s="616" t="e">
        <f t="shared" si="1042"/>
        <v>#N/A</v>
      </c>
      <c r="BT837" s="616" t="e">
        <f t="shared" si="1042"/>
        <v>#N/A</v>
      </c>
      <c r="BU837" s="616" t="e">
        <f t="shared" si="1042"/>
        <v>#N/A</v>
      </c>
      <c r="BV837" s="616" t="e">
        <f t="shared" si="1042"/>
        <v>#N/A</v>
      </c>
      <c r="BW837" s="616" t="e">
        <f t="shared" si="1042"/>
        <v>#N/A</v>
      </c>
      <c r="BX837" s="616" t="e">
        <f t="shared" si="1042"/>
        <v>#N/A</v>
      </c>
      <c r="BY837" s="616" t="e">
        <f t="shared" si="1042"/>
        <v>#N/A</v>
      </c>
      <c r="BZ837" s="616" t="e">
        <f t="shared" si="1042"/>
        <v>#N/A</v>
      </c>
      <c r="CA837" s="616" t="e">
        <f t="shared" si="1042"/>
        <v>#N/A</v>
      </c>
      <c r="CB837" s="616" t="e">
        <f t="shared" si="1042"/>
        <v>#N/A</v>
      </c>
      <c r="CC837" s="616" t="e">
        <f t="shared" si="1042"/>
        <v>#N/A</v>
      </c>
      <c r="CD837" s="616" t="e">
        <f t="shared" si="1042"/>
        <v>#N/A</v>
      </c>
      <c r="CE837" s="616" t="e">
        <f t="shared" si="1042"/>
        <v>#N/A</v>
      </c>
      <c r="CF837" s="616" t="e">
        <f t="shared" si="1042"/>
        <v>#N/A</v>
      </c>
      <c r="CG837" s="616" t="e">
        <f t="shared" si="1042"/>
        <v>#N/A</v>
      </c>
      <c r="CH837" s="616" t="e">
        <f t="shared" ref="CH837:CN837" si="1043">MIN(CH833-(CH835+CH836),$P$388)</f>
        <v>#N/A</v>
      </c>
      <c r="CI837" s="616" t="e">
        <f t="shared" si="1043"/>
        <v>#N/A</v>
      </c>
      <c r="CJ837" s="616" t="e">
        <f t="shared" si="1043"/>
        <v>#N/A</v>
      </c>
      <c r="CK837" s="616" t="e">
        <f t="shared" si="1043"/>
        <v>#N/A</v>
      </c>
      <c r="CL837" s="616" t="e">
        <f t="shared" si="1043"/>
        <v>#N/A</v>
      </c>
      <c r="CM837" s="616" t="e">
        <f t="shared" si="1043"/>
        <v>#N/A</v>
      </c>
      <c r="CN837" s="616" t="e">
        <f t="shared" si="1043"/>
        <v>#N/A</v>
      </c>
    </row>
    <row r="838" spans="8:93">
      <c r="H838" s="602" t="s">
        <v>940</v>
      </c>
      <c r="L838" s="618" t="s">
        <v>1299</v>
      </c>
      <c r="M838" s="600" t="s">
        <v>1204</v>
      </c>
      <c r="N838" s="615" t="e">
        <f>SUM(U838:AF838)</f>
        <v>#N/A</v>
      </c>
      <c r="O838" s="615" t="e">
        <f>SUM(AG838:AR838)</f>
        <v>#N/A</v>
      </c>
      <c r="P838" s="615" t="e">
        <f>SUM(AS838:BD838)</f>
        <v>#N/A</v>
      </c>
      <c r="Q838" s="615" t="e">
        <f>SUM(BE838:BP838)</f>
        <v>#N/A</v>
      </c>
      <c r="R838" s="615" t="e">
        <f>SUM(BQ838:CB838)</f>
        <v>#N/A</v>
      </c>
      <c r="S838" s="615" t="e">
        <f>SUM(CC838:CN838)</f>
        <v>#N/A</v>
      </c>
      <c r="U838" s="616" t="e">
        <f>MIN(U833-(U835+U836+U837),$P$389)</f>
        <v>#N/A</v>
      </c>
      <c r="V838" s="616" t="e">
        <f t="shared" ref="V838:CG838" si="1044">MIN(V833-(V835+V836+V837),$P$389)</f>
        <v>#N/A</v>
      </c>
      <c r="W838" s="616" t="e">
        <f t="shared" si="1044"/>
        <v>#N/A</v>
      </c>
      <c r="X838" s="616" t="e">
        <f t="shared" si="1044"/>
        <v>#N/A</v>
      </c>
      <c r="Y838" s="616" t="e">
        <f t="shared" si="1044"/>
        <v>#N/A</v>
      </c>
      <c r="Z838" s="616" t="e">
        <f t="shared" si="1044"/>
        <v>#N/A</v>
      </c>
      <c r="AA838" s="616" t="e">
        <f t="shared" si="1044"/>
        <v>#N/A</v>
      </c>
      <c r="AB838" s="616" t="e">
        <f t="shared" si="1044"/>
        <v>#N/A</v>
      </c>
      <c r="AC838" s="616" t="e">
        <f t="shared" si="1044"/>
        <v>#N/A</v>
      </c>
      <c r="AD838" s="616" t="e">
        <f t="shared" si="1044"/>
        <v>#N/A</v>
      </c>
      <c r="AE838" s="616" t="e">
        <f t="shared" si="1044"/>
        <v>#N/A</v>
      </c>
      <c r="AF838" s="616" t="e">
        <f t="shared" si="1044"/>
        <v>#N/A</v>
      </c>
      <c r="AG838" s="616" t="e">
        <f t="shared" si="1044"/>
        <v>#N/A</v>
      </c>
      <c r="AH838" s="616" t="e">
        <f t="shared" si="1044"/>
        <v>#N/A</v>
      </c>
      <c r="AI838" s="616" t="e">
        <f t="shared" si="1044"/>
        <v>#N/A</v>
      </c>
      <c r="AJ838" s="616" t="e">
        <f t="shared" si="1044"/>
        <v>#N/A</v>
      </c>
      <c r="AK838" s="616" t="e">
        <f t="shared" si="1044"/>
        <v>#N/A</v>
      </c>
      <c r="AL838" s="616" t="e">
        <f t="shared" si="1044"/>
        <v>#N/A</v>
      </c>
      <c r="AM838" s="616" t="e">
        <f t="shared" si="1044"/>
        <v>#N/A</v>
      </c>
      <c r="AN838" s="616" t="e">
        <f t="shared" si="1044"/>
        <v>#N/A</v>
      </c>
      <c r="AO838" s="616" t="e">
        <f t="shared" si="1044"/>
        <v>#N/A</v>
      </c>
      <c r="AP838" s="616" t="e">
        <f t="shared" si="1044"/>
        <v>#N/A</v>
      </c>
      <c r="AQ838" s="616" t="e">
        <f t="shared" si="1044"/>
        <v>#N/A</v>
      </c>
      <c r="AR838" s="616" t="e">
        <f t="shared" si="1044"/>
        <v>#N/A</v>
      </c>
      <c r="AS838" s="616" t="e">
        <f t="shared" si="1044"/>
        <v>#N/A</v>
      </c>
      <c r="AT838" s="616" t="e">
        <f t="shared" si="1044"/>
        <v>#N/A</v>
      </c>
      <c r="AU838" s="616" t="e">
        <f t="shared" si="1044"/>
        <v>#N/A</v>
      </c>
      <c r="AV838" s="616" t="e">
        <f t="shared" si="1044"/>
        <v>#N/A</v>
      </c>
      <c r="AW838" s="616" t="e">
        <f t="shared" si="1044"/>
        <v>#N/A</v>
      </c>
      <c r="AX838" s="616" t="e">
        <f t="shared" si="1044"/>
        <v>#N/A</v>
      </c>
      <c r="AY838" s="616" t="e">
        <f t="shared" si="1044"/>
        <v>#N/A</v>
      </c>
      <c r="AZ838" s="616" t="e">
        <f t="shared" si="1044"/>
        <v>#N/A</v>
      </c>
      <c r="BA838" s="616" t="e">
        <f t="shared" si="1044"/>
        <v>#N/A</v>
      </c>
      <c r="BB838" s="616" t="e">
        <f t="shared" si="1044"/>
        <v>#N/A</v>
      </c>
      <c r="BC838" s="616" t="e">
        <f t="shared" si="1044"/>
        <v>#N/A</v>
      </c>
      <c r="BD838" s="616" t="e">
        <f t="shared" si="1044"/>
        <v>#N/A</v>
      </c>
      <c r="BE838" s="616" t="e">
        <f t="shared" si="1044"/>
        <v>#N/A</v>
      </c>
      <c r="BF838" s="616" t="e">
        <f t="shared" si="1044"/>
        <v>#N/A</v>
      </c>
      <c r="BG838" s="616" t="e">
        <f t="shared" si="1044"/>
        <v>#N/A</v>
      </c>
      <c r="BH838" s="616" t="e">
        <f t="shared" si="1044"/>
        <v>#N/A</v>
      </c>
      <c r="BI838" s="616" t="e">
        <f t="shared" si="1044"/>
        <v>#N/A</v>
      </c>
      <c r="BJ838" s="616" t="e">
        <f t="shared" si="1044"/>
        <v>#N/A</v>
      </c>
      <c r="BK838" s="616" t="e">
        <f t="shared" si="1044"/>
        <v>#N/A</v>
      </c>
      <c r="BL838" s="616" t="e">
        <f t="shared" si="1044"/>
        <v>#N/A</v>
      </c>
      <c r="BM838" s="616" t="e">
        <f t="shared" si="1044"/>
        <v>#N/A</v>
      </c>
      <c r="BN838" s="616" t="e">
        <f t="shared" si="1044"/>
        <v>#N/A</v>
      </c>
      <c r="BO838" s="616" t="e">
        <f t="shared" si="1044"/>
        <v>#N/A</v>
      </c>
      <c r="BP838" s="616" t="e">
        <f t="shared" si="1044"/>
        <v>#N/A</v>
      </c>
      <c r="BQ838" s="616" t="e">
        <f t="shared" si="1044"/>
        <v>#N/A</v>
      </c>
      <c r="BR838" s="616" t="e">
        <f t="shared" si="1044"/>
        <v>#N/A</v>
      </c>
      <c r="BS838" s="616" t="e">
        <f t="shared" si="1044"/>
        <v>#N/A</v>
      </c>
      <c r="BT838" s="616" t="e">
        <f t="shared" si="1044"/>
        <v>#N/A</v>
      </c>
      <c r="BU838" s="616" t="e">
        <f t="shared" si="1044"/>
        <v>#N/A</v>
      </c>
      <c r="BV838" s="616" t="e">
        <f t="shared" si="1044"/>
        <v>#N/A</v>
      </c>
      <c r="BW838" s="616" t="e">
        <f t="shared" si="1044"/>
        <v>#N/A</v>
      </c>
      <c r="BX838" s="616" t="e">
        <f t="shared" si="1044"/>
        <v>#N/A</v>
      </c>
      <c r="BY838" s="616" t="e">
        <f t="shared" si="1044"/>
        <v>#N/A</v>
      </c>
      <c r="BZ838" s="616" t="e">
        <f t="shared" si="1044"/>
        <v>#N/A</v>
      </c>
      <c r="CA838" s="616" t="e">
        <f t="shared" si="1044"/>
        <v>#N/A</v>
      </c>
      <c r="CB838" s="616" t="e">
        <f t="shared" si="1044"/>
        <v>#N/A</v>
      </c>
      <c r="CC838" s="616" t="e">
        <f t="shared" si="1044"/>
        <v>#N/A</v>
      </c>
      <c r="CD838" s="616" t="e">
        <f t="shared" si="1044"/>
        <v>#N/A</v>
      </c>
      <c r="CE838" s="616" t="e">
        <f t="shared" si="1044"/>
        <v>#N/A</v>
      </c>
      <c r="CF838" s="616" t="e">
        <f t="shared" si="1044"/>
        <v>#N/A</v>
      </c>
      <c r="CG838" s="616" t="e">
        <f t="shared" si="1044"/>
        <v>#N/A</v>
      </c>
      <c r="CH838" s="616" t="e">
        <f t="shared" ref="CH838:CN838" si="1045">MIN(CH833-(CH835+CH836+CH837),$P$389)</f>
        <v>#N/A</v>
      </c>
      <c r="CI838" s="616" t="e">
        <f t="shared" si="1045"/>
        <v>#N/A</v>
      </c>
      <c r="CJ838" s="616" t="e">
        <f t="shared" si="1045"/>
        <v>#N/A</v>
      </c>
      <c r="CK838" s="616" t="e">
        <f t="shared" si="1045"/>
        <v>#N/A</v>
      </c>
      <c r="CL838" s="616" t="e">
        <f t="shared" si="1045"/>
        <v>#N/A</v>
      </c>
      <c r="CM838" s="616" t="e">
        <f t="shared" si="1045"/>
        <v>#N/A</v>
      </c>
      <c r="CN838" s="616" t="e">
        <f t="shared" si="1045"/>
        <v>#N/A</v>
      </c>
    </row>
    <row r="839" spans="8:93">
      <c r="H839" s="602" t="s">
        <v>940</v>
      </c>
      <c r="L839" s="618"/>
      <c r="M839" s="600"/>
      <c r="N839" s="615"/>
      <c r="O839" s="615"/>
      <c r="P839" s="615"/>
      <c r="Q839" s="615"/>
      <c r="R839" s="615"/>
      <c r="S839" s="615"/>
    </row>
    <row r="840" spans="8:93">
      <c r="H840" s="602" t="s">
        <v>940</v>
      </c>
      <c r="L840" s="618" t="s">
        <v>1300</v>
      </c>
      <c r="M840" s="600" t="s">
        <v>974</v>
      </c>
      <c r="N840" s="615" t="e">
        <f>SUM(U840:AF840)</f>
        <v>#N/A</v>
      </c>
      <c r="O840" s="615" t="e">
        <f>SUM(AG840:AR840)</f>
        <v>#N/A</v>
      </c>
      <c r="P840" s="615" t="e">
        <f>SUM(AS840:BD840)</f>
        <v>#N/A</v>
      </c>
      <c r="Q840" s="615" t="e">
        <f>SUM(BE840:BP840)</f>
        <v>#N/A</v>
      </c>
      <c r="R840" s="615" t="e">
        <f>SUM(BQ840:CB840)</f>
        <v>#N/A</v>
      </c>
      <c r="S840" s="615" t="e">
        <f>SUM(CC840:CN840)</f>
        <v>#N/A</v>
      </c>
      <c r="U840" s="616" t="e">
        <f>U835*$P$391</f>
        <v>#N/A</v>
      </c>
      <c r="V840" s="616" t="e">
        <f t="shared" ref="V840:CG840" si="1046">V835*$P$391</f>
        <v>#N/A</v>
      </c>
      <c r="W840" s="616" t="e">
        <f t="shared" si="1046"/>
        <v>#N/A</v>
      </c>
      <c r="X840" s="616" t="e">
        <f t="shared" si="1046"/>
        <v>#N/A</v>
      </c>
      <c r="Y840" s="616" t="e">
        <f t="shared" si="1046"/>
        <v>#N/A</v>
      </c>
      <c r="Z840" s="616" t="e">
        <f t="shared" si="1046"/>
        <v>#N/A</v>
      </c>
      <c r="AA840" s="616" t="e">
        <f t="shared" si="1046"/>
        <v>#N/A</v>
      </c>
      <c r="AB840" s="616" t="e">
        <f t="shared" si="1046"/>
        <v>#N/A</v>
      </c>
      <c r="AC840" s="616" t="e">
        <f t="shared" si="1046"/>
        <v>#N/A</v>
      </c>
      <c r="AD840" s="616" t="e">
        <f t="shared" si="1046"/>
        <v>#N/A</v>
      </c>
      <c r="AE840" s="616" t="e">
        <f t="shared" si="1046"/>
        <v>#N/A</v>
      </c>
      <c r="AF840" s="616" t="e">
        <f t="shared" si="1046"/>
        <v>#N/A</v>
      </c>
      <c r="AG840" s="616" t="e">
        <f t="shared" si="1046"/>
        <v>#N/A</v>
      </c>
      <c r="AH840" s="616" t="e">
        <f t="shared" si="1046"/>
        <v>#N/A</v>
      </c>
      <c r="AI840" s="616" t="e">
        <f t="shared" si="1046"/>
        <v>#N/A</v>
      </c>
      <c r="AJ840" s="616" t="e">
        <f t="shared" si="1046"/>
        <v>#N/A</v>
      </c>
      <c r="AK840" s="616" t="e">
        <f t="shared" si="1046"/>
        <v>#N/A</v>
      </c>
      <c r="AL840" s="616" t="e">
        <f t="shared" si="1046"/>
        <v>#N/A</v>
      </c>
      <c r="AM840" s="616" t="e">
        <f t="shared" si="1046"/>
        <v>#N/A</v>
      </c>
      <c r="AN840" s="616" t="e">
        <f t="shared" si="1046"/>
        <v>#N/A</v>
      </c>
      <c r="AO840" s="616" t="e">
        <f t="shared" si="1046"/>
        <v>#N/A</v>
      </c>
      <c r="AP840" s="616" t="e">
        <f t="shared" si="1046"/>
        <v>#N/A</v>
      </c>
      <c r="AQ840" s="616" t="e">
        <f t="shared" si="1046"/>
        <v>#N/A</v>
      </c>
      <c r="AR840" s="616" t="e">
        <f t="shared" si="1046"/>
        <v>#N/A</v>
      </c>
      <c r="AS840" s="616" t="e">
        <f t="shared" si="1046"/>
        <v>#N/A</v>
      </c>
      <c r="AT840" s="616" t="e">
        <f t="shared" si="1046"/>
        <v>#N/A</v>
      </c>
      <c r="AU840" s="616" t="e">
        <f t="shared" si="1046"/>
        <v>#N/A</v>
      </c>
      <c r="AV840" s="616" t="e">
        <f t="shared" si="1046"/>
        <v>#N/A</v>
      </c>
      <c r="AW840" s="616" t="e">
        <f t="shared" si="1046"/>
        <v>#N/A</v>
      </c>
      <c r="AX840" s="616" t="e">
        <f t="shared" si="1046"/>
        <v>#N/A</v>
      </c>
      <c r="AY840" s="616" t="e">
        <f t="shared" si="1046"/>
        <v>#N/A</v>
      </c>
      <c r="AZ840" s="616" t="e">
        <f t="shared" si="1046"/>
        <v>#N/A</v>
      </c>
      <c r="BA840" s="616" t="e">
        <f t="shared" si="1046"/>
        <v>#N/A</v>
      </c>
      <c r="BB840" s="616" t="e">
        <f t="shared" si="1046"/>
        <v>#N/A</v>
      </c>
      <c r="BC840" s="616" t="e">
        <f t="shared" si="1046"/>
        <v>#N/A</v>
      </c>
      <c r="BD840" s="616" t="e">
        <f t="shared" si="1046"/>
        <v>#N/A</v>
      </c>
      <c r="BE840" s="616" t="e">
        <f t="shared" si="1046"/>
        <v>#N/A</v>
      </c>
      <c r="BF840" s="616" t="e">
        <f t="shared" si="1046"/>
        <v>#N/A</v>
      </c>
      <c r="BG840" s="616" t="e">
        <f t="shared" si="1046"/>
        <v>#N/A</v>
      </c>
      <c r="BH840" s="616" t="e">
        <f t="shared" si="1046"/>
        <v>#N/A</v>
      </c>
      <c r="BI840" s="616" t="e">
        <f t="shared" si="1046"/>
        <v>#N/A</v>
      </c>
      <c r="BJ840" s="616" t="e">
        <f t="shared" si="1046"/>
        <v>#N/A</v>
      </c>
      <c r="BK840" s="616" t="e">
        <f t="shared" si="1046"/>
        <v>#N/A</v>
      </c>
      <c r="BL840" s="616" t="e">
        <f t="shared" si="1046"/>
        <v>#N/A</v>
      </c>
      <c r="BM840" s="616" t="e">
        <f t="shared" si="1046"/>
        <v>#N/A</v>
      </c>
      <c r="BN840" s="616" t="e">
        <f t="shared" si="1046"/>
        <v>#N/A</v>
      </c>
      <c r="BO840" s="616" t="e">
        <f t="shared" si="1046"/>
        <v>#N/A</v>
      </c>
      <c r="BP840" s="616" t="e">
        <f t="shared" si="1046"/>
        <v>#N/A</v>
      </c>
      <c r="BQ840" s="616" t="e">
        <f t="shared" si="1046"/>
        <v>#N/A</v>
      </c>
      <c r="BR840" s="616" t="e">
        <f t="shared" si="1046"/>
        <v>#N/A</v>
      </c>
      <c r="BS840" s="616" t="e">
        <f t="shared" si="1046"/>
        <v>#N/A</v>
      </c>
      <c r="BT840" s="616" t="e">
        <f t="shared" si="1046"/>
        <v>#N/A</v>
      </c>
      <c r="BU840" s="616" t="e">
        <f t="shared" si="1046"/>
        <v>#N/A</v>
      </c>
      <c r="BV840" s="616" t="e">
        <f t="shared" si="1046"/>
        <v>#N/A</v>
      </c>
      <c r="BW840" s="616" t="e">
        <f t="shared" si="1046"/>
        <v>#N/A</v>
      </c>
      <c r="BX840" s="616" t="e">
        <f t="shared" si="1046"/>
        <v>#N/A</v>
      </c>
      <c r="BY840" s="616" t="e">
        <f t="shared" si="1046"/>
        <v>#N/A</v>
      </c>
      <c r="BZ840" s="616" t="e">
        <f t="shared" si="1046"/>
        <v>#N/A</v>
      </c>
      <c r="CA840" s="616" t="e">
        <f t="shared" si="1046"/>
        <v>#N/A</v>
      </c>
      <c r="CB840" s="616" t="e">
        <f t="shared" si="1046"/>
        <v>#N/A</v>
      </c>
      <c r="CC840" s="616" t="e">
        <f t="shared" si="1046"/>
        <v>#N/A</v>
      </c>
      <c r="CD840" s="616" t="e">
        <f t="shared" si="1046"/>
        <v>#N/A</v>
      </c>
      <c r="CE840" s="616" t="e">
        <f t="shared" si="1046"/>
        <v>#N/A</v>
      </c>
      <c r="CF840" s="616" t="e">
        <f t="shared" si="1046"/>
        <v>#N/A</v>
      </c>
      <c r="CG840" s="616" t="e">
        <f t="shared" si="1046"/>
        <v>#N/A</v>
      </c>
      <c r="CH840" s="616" t="e">
        <f t="shared" ref="CH840:CN840" si="1047">CH835*$P$391</f>
        <v>#N/A</v>
      </c>
      <c r="CI840" s="616" t="e">
        <f t="shared" si="1047"/>
        <v>#N/A</v>
      </c>
      <c r="CJ840" s="616" t="e">
        <f t="shared" si="1047"/>
        <v>#N/A</v>
      </c>
      <c r="CK840" s="616" t="e">
        <f t="shared" si="1047"/>
        <v>#N/A</v>
      </c>
      <c r="CL840" s="616" t="e">
        <f t="shared" si="1047"/>
        <v>#N/A</v>
      </c>
      <c r="CM840" s="616" t="e">
        <f t="shared" si="1047"/>
        <v>#N/A</v>
      </c>
      <c r="CN840" s="616" t="e">
        <f t="shared" si="1047"/>
        <v>#N/A</v>
      </c>
    </row>
    <row r="841" spans="8:93">
      <c r="H841" s="602" t="s">
        <v>940</v>
      </c>
      <c r="L841" s="618" t="s">
        <v>1301</v>
      </c>
      <c r="M841" s="600" t="s">
        <v>974</v>
      </c>
      <c r="N841" s="615" t="e">
        <f>SUM(U841:AF841)</f>
        <v>#N/A</v>
      </c>
      <c r="O841" s="615" t="e">
        <f>SUM(AG841:AR841)</f>
        <v>#N/A</v>
      </c>
      <c r="P841" s="615" t="e">
        <f>SUM(AS841:BD841)</f>
        <v>#N/A</v>
      </c>
      <c r="Q841" s="615" t="e">
        <f>SUM(BE841:BP841)</f>
        <v>#N/A</v>
      </c>
      <c r="R841" s="615" t="e">
        <f>SUM(BQ841:CB841)</f>
        <v>#N/A</v>
      </c>
      <c r="S841" s="615" t="e">
        <f>SUM(CC841:CN841)</f>
        <v>#N/A</v>
      </c>
      <c r="U841" s="616" t="e">
        <f>U836*$P$392</f>
        <v>#N/A</v>
      </c>
      <c r="V841" s="616" t="e">
        <f t="shared" ref="V841:CG841" si="1048">V836*$P$392</f>
        <v>#N/A</v>
      </c>
      <c r="W841" s="616" t="e">
        <f t="shared" si="1048"/>
        <v>#N/A</v>
      </c>
      <c r="X841" s="616" t="e">
        <f t="shared" si="1048"/>
        <v>#N/A</v>
      </c>
      <c r="Y841" s="616" t="e">
        <f t="shared" si="1048"/>
        <v>#N/A</v>
      </c>
      <c r="Z841" s="616" t="e">
        <f t="shared" si="1048"/>
        <v>#N/A</v>
      </c>
      <c r="AA841" s="616" t="e">
        <f t="shared" si="1048"/>
        <v>#N/A</v>
      </c>
      <c r="AB841" s="616" t="e">
        <f t="shared" si="1048"/>
        <v>#N/A</v>
      </c>
      <c r="AC841" s="616" t="e">
        <f t="shared" si="1048"/>
        <v>#N/A</v>
      </c>
      <c r="AD841" s="616" t="e">
        <f t="shared" si="1048"/>
        <v>#N/A</v>
      </c>
      <c r="AE841" s="616" t="e">
        <f t="shared" si="1048"/>
        <v>#N/A</v>
      </c>
      <c r="AF841" s="616" t="e">
        <f t="shared" si="1048"/>
        <v>#N/A</v>
      </c>
      <c r="AG841" s="616" t="e">
        <f t="shared" si="1048"/>
        <v>#N/A</v>
      </c>
      <c r="AH841" s="616" t="e">
        <f t="shared" si="1048"/>
        <v>#N/A</v>
      </c>
      <c r="AI841" s="616" t="e">
        <f t="shared" si="1048"/>
        <v>#N/A</v>
      </c>
      <c r="AJ841" s="616" t="e">
        <f t="shared" si="1048"/>
        <v>#N/A</v>
      </c>
      <c r="AK841" s="616" t="e">
        <f t="shared" si="1048"/>
        <v>#N/A</v>
      </c>
      <c r="AL841" s="616" t="e">
        <f t="shared" si="1048"/>
        <v>#N/A</v>
      </c>
      <c r="AM841" s="616" t="e">
        <f t="shared" si="1048"/>
        <v>#N/A</v>
      </c>
      <c r="AN841" s="616" t="e">
        <f t="shared" si="1048"/>
        <v>#N/A</v>
      </c>
      <c r="AO841" s="616" t="e">
        <f t="shared" si="1048"/>
        <v>#N/A</v>
      </c>
      <c r="AP841" s="616" t="e">
        <f t="shared" si="1048"/>
        <v>#N/A</v>
      </c>
      <c r="AQ841" s="616" t="e">
        <f t="shared" si="1048"/>
        <v>#N/A</v>
      </c>
      <c r="AR841" s="616" t="e">
        <f t="shared" si="1048"/>
        <v>#N/A</v>
      </c>
      <c r="AS841" s="616" t="e">
        <f t="shared" si="1048"/>
        <v>#N/A</v>
      </c>
      <c r="AT841" s="616" t="e">
        <f t="shared" si="1048"/>
        <v>#N/A</v>
      </c>
      <c r="AU841" s="616" t="e">
        <f t="shared" si="1048"/>
        <v>#N/A</v>
      </c>
      <c r="AV841" s="616" t="e">
        <f t="shared" si="1048"/>
        <v>#N/A</v>
      </c>
      <c r="AW841" s="616" t="e">
        <f t="shared" si="1048"/>
        <v>#N/A</v>
      </c>
      <c r="AX841" s="616" t="e">
        <f t="shared" si="1048"/>
        <v>#N/A</v>
      </c>
      <c r="AY841" s="616" t="e">
        <f t="shared" si="1048"/>
        <v>#N/A</v>
      </c>
      <c r="AZ841" s="616" t="e">
        <f t="shared" si="1048"/>
        <v>#N/A</v>
      </c>
      <c r="BA841" s="616" t="e">
        <f t="shared" si="1048"/>
        <v>#N/A</v>
      </c>
      <c r="BB841" s="616" t="e">
        <f t="shared" si="1048"/>
        <v>#N/A</v>
      </c>
      <c r="BC841" s="616" t="e">
        <f t="shared" si="1048"/>
        <v>#N/A</v>
      </c>
      <c r="BD841" s="616" t="e">
        <f t="shared" si="1048"/>
        <v>#N/A</v>
      </c>
      <c r="BE841" s="616" t="e">
        <f t="shared" si="1048"/>
        <v>#N/A</v>
      </c>
      <c r="BF841" s="616" t="e">
        <f t="shared" si="1048"/>
        <v>#N/A</v>
      </c>
      <c r="BG841" s="616" t="e">
        <f t="shared" si="1048"/>
        <v>#N/A</v>
      </c>
      <c r="BH841" s="616" t="e">
        <f t="shared" si="1048"/>
        <v>#N/A</v>
      </c>
      <c r="BI841" s="616" t="e">
        <f t="shared" si="1048"/>
        <v>#N/A</v>
      </c>
      <c r="BJ841" s="616" t="e">
        <f t="shared" si="1048"/>
        <v>#N/A</v>
      </c>
      <c r="BK841" s="616" t="e">
        <f t="shared" si="1048"/>
        <v>#N/A</v>
      </c>
      <c r="BL841" s="616" t="e">
        <f t="shared" si="1048"/>
        <v>#N/A</v>
      </c>
      <c r="BM841" s="616" t="e">
        <f t="shared" si="1048"/>
        <v>#N/A</v>
      </c>
      <c r="BN841" s="616" t="e">
        <f t="shared" si="1048"/>
        <v>#N/A</v>
      </c>
      <c r="BO841" s="616" t="e">
        <f t="shared" si="1048"/>
        <v>#N/A</v>
      </c>
      <c r="BP841" s="616" t="e">
        <f t="shared" si="1048"/>
        <v>#N/A</v>
      </c>
      <c r="BQ841" s="616" t="e">
        <f t="shared" si="1048"/>
        <v>#N/A</v>
      </c>
      <c r="BR841" s="616" t="e">
        <f t="shared" si="1048"/>
        <v>#N/A</v>
      </c>
      <c r="BS841" s="616" t="e">
        <f t="shared" si="1048"/>
        <v>#N/A</v>
      </c>
      <c r="BT841" s="616" t="e">
        <f t="shared" si="1048"/>
        <v>#N/A</v>
      </c>
      <c r="BU841" s="616" t="e">
        <f t="shared" si="1048"/>
        <v>#N/A</v>
      </c>
      <c r="BV841" s="616" t="e">
        <f t="shared" si="1048"/>
        <v>#N/A</v>
      </c>
      <c r="BW841" s="616" t="e">
        <f t="shared" si="1048"/>
        <v>#N/A</v>
      </c>
      <c r="BX841" s="616" t="e">
        <f t="shared" si="1048"/>
        <v>#N/A</v>
      </c>
      <c r="BY841" s="616" t="e">
        <f t="shared" si="1048"/>
        <v>#N/A</v>
      </c>
      <c r="BZ841" s="616" t="e">
        <f t="shared" si="1048"/>
        <v>#N/A</v>
      </c>
      <c r="CA841" s="616" t="e">
        <f t="shared" si="1048"/>
        <v>#N/A</v>
      </c>
      <c r="CB841" s="616" t="e">
        <f t="shared" si="1048"/>
        <v>#N/A</v>
      </c>
      <c r="CC841" s="616" t="e">
        <f t="shared" si="1048"/>
        <v>#N/A</v>
      </c>
      <c r="CD841" s="616" t="e">
        <f t="shared" si="1048"/>
        <v>#N/A</v>
      </c>
      <c r="CE841" s="616" t="e">
        <f t="shared" si="1048"/>
        <v>#N/A</v>
      </c>
      <c r="CF841" s="616" t="e">
        <f t="shared" si="1048"/>
        <v>#N/A</v>
      </c>
      <c r="CG841" s="616" t="e">
        <f t="shared" si="1048"/>
        <v>#N/A</v>
      </c>
      <c r="CH841" s="616" t="e">
        <f t="shared" ref="CH841:CN841" si="1049">CH836*$P$392</f>
        <v>#N/A</v>
      </c>
      <c r="CI841" s="616" t="e">
        <f t="shared" si="1049"/>
        <v>#N/A</v>
      </c>
      <c r="CJ841" s="616" t="e">
        <f t="shared" si="1049"/>
        <v>#N/A</v>
      </c>
      <c r="CK841" s="616" t="e">
        <f t="shared" si="1049"/>
        <v>#N/A</v>
      </c>
      <c r="CL841" s="616" t="e">
        <f t="shared" si="1049"/>
        <v>#N/A</v>
      </c>
      <c r="CM841" s="616" t="e">
        <f t="shared" si="1049"/>
        <v>#N/A</v>
      </c>
      <c r="CN841" s="616" t="e">
        <f t="shared" si="1049"/>
        <v>#N/A</v>
      </c>
    </row>
    <row r="842" spans="8:93">
      <c r="H842" s="602" t="s">
        <v>940</v>
      </c>
      <c r="L842" s="618" t="s">
        <v>1302</v>
      </c>
      <c r="M842" s="600" t="s">
        <v>974</v>
      </c>
      <c r="N842" s="615" t="e">
        <f>SUM(U842:AF842)</f>
        <v>#N/A</v>
      </c>
      <c r="O842" s="615" t="e">
        <f>SUM(AG842:AR842)</f>
        <v>#N/A</v>
      </c>
      <c r="P842" s="615" t="e">
        <f>SUM(AS842:BD842)</f>
        <v>#N/A</v>
      </c>
      <c r="Q842" s="615" t="e">
        <f>SUM(BE842:BP842)</f>
        <v>#N/A</v>
      </c>
      <c r="R842" s="615" t="e">
        <f>SUM(BQ842:CB842)</f>
        <v>#N/A</v>
      </c>
      <c r="S842" s="615" t="e">
        <f>SUM(CC842:CN842)</f>
        <v>#N/A</v>
      </c>
      <c r="U842" s="616" t="e">
        <f>U837*$P$393</f>
        <v>#N/A</v>
      </c>
      <c r="V842" s="616" t="e">
        <f t="shared" ref="V842:CG842" si="1050">V837*$P$393</f>
        <v>#N/A</v>
      </c>
      <c r="W842" s="616" t="e">
        <f t="shared" si="1050"/>
        <v>#N/A</v>
      </c>
      <c r="X842" s="616" t="e">
        <f t="shared" si="1050"/>
        <v>#N/A</v>
      </c>
      <c r="Y842" s="616" t="e">
        <f t="shared" si="1050"/>
        <v>#N/A</v>
      </c>
      <c r="Z842" s="616" t="e">
        <f t="shared" si="1050"/>
        <v>#N/A</v>
      </c>
      <c r="AA842" s="616" t="e">
        <f t="shared" si="1050"/>
        <v>#N/A</v>
      </c>
      <c r="AB842" s="616" t="e">
        <f t="shared" si="1050"/>
        <v>#N/A</v>
      </c>
      <c r="AC842" s="616" t="e">
        <f t="shared" si="1050"/>
        <v>#N/A</v>
      </c>
      <c r="AD842" s="616" t="e">
        <f t="shared" si="1050"/>
        <v>#N/A</v>
      </c>
      <c r="AE842" s="616" t="e">
        <f t="shared" si="1050"/>
        <v>#N/A</v>
      </c>
      <c r="AF842" s="616" t="e">
        <f t="shared" si="1050"/>
        <v>#N/A</v>
      </c>
      <c r="AG842" s="616" t="e">
        <f t="shared" si="1050"/>
        <v>#N/A</v>
      </c>
      <c r="AH842" s="616" t="e">
        <f t="shared" si="1050"/>
        <v>#N/A</v>
      </c>
      <c r="AI842" s="616" t="e">
        <f t="shared" si="1050"/>
        <v>#N/A</v>
      </c>
      <c r="AJ842" s="616" t="e">
        <f t="shared" si="1050"/>
        <v>#N/A</v>
      </c>
      <c r="AK842" s="616" t="e">
        <f t="shared" si="1050"/>
        <v>#N/A</v>
      </c>
      <c r="AL842" s="616" t="e">
        <f t="shared" si="1050"/>
        <v>#N/A</v>
      </c>
      <c r="AM842" s="616" t="e">
        <f t="shared" si="1050"/>
        <v>#N/A</v>
      </c>
      <c r="AN842" s="616" t="e">
        <f t="shared" si="1050"/>
        <v>#N/A</v>
      </c>
      <c r="AO842" s="616" t="e">
        <f t="shared" si="1050"/>
        <v>#N/A</v>
      </c>
      <c r="AP842" s="616" t="e">
        <f t="shared" si="1050"/>
        <v>#N/A</v>
      </c>
      <c r="AQ842" s="616" t="e">
        <f t="shared" si="1050"/>
        <v>#N/A</v>
      </c>
      <c r="AR842" s="616" t="e">
        <f t="shared" si="1050"/>
        <v>#N/A</v>
      </c>
      <c r="AS842" s="616" t="e">
        <f t="shared" si="1050"/>
        <v>#N/A</v>
      </c>
      <c r="AT842" s="616" t="e">
        <f t="shared" si="1050"/>
        <v>#N/A</v>
      </c>
      <c r="AU842" s="616" t="e">
        <f t="shared" si="1050"/>
        <v>#N/A</v>
      </c>
      <c r="AV842" s="616" t="e">
        <f t="shared" si="1050"/>
        <v>#N/A</v>
      </c>
      <c r="AW842" s="616" t="e">
        <f t="shared" si="1050"/>
        <v>#N/A</v>
      </c>
      <c r="AX842" s="616" t="e">
        <f t="shared" si="1050"/>
        <v>#N/A</v>
      </c>
      <c r="AY842" s="616" t="e">
        <f t="shared" si="1050"/>
        <v>#N/A</v>
      </c>
      <c r="AZ842" s="616" t="e">
        <f t="shared" si="1050"/>
        <v>#N/A</v>
      </c>
      <c r="BA842" s="616" t="e">
        <f t="shared" si="1050"/>
        <v>#N/A</v>
      </c>
      <c r="BB842" s="616" t="e">
        <f t="shared" si="1050"/>
        <v>#N/A</v>
      </c>
      <c r="BC842" s="616" t="e">
        <f t="shared" si="1050"/>
        <v>#N/A</v>
      </c>
      <c r="BD842" s="616" t="e">
        <f t="shared" si="1050"/>
        <v>#N/A</v>
      </c>
      <c r="BE842" s="616" t="e">
        <f t="shared" si="1050"/>
        <v>#N/A</v>
      </c>
      <c r="BF842" s="616" t="e">
        <f t="shared" si="1050"/>
        <v>#N/A</v>
      </c>
      <c r="BG842" s="616" t="e">
        <f t="shared" si="1050"/>
        <v>#N/A</v>
      </c>
      <c r="BH842" s="616" t="e">
        <f t="shared" si="1050"/>
        <v>#N/A</v>
      </c>
      <c r="BI842" s="616" t="e">
        <f t="shared" si="1050"/>
        <v>#N/A</v>
      </c>
      <c r="BJ842" s="616" t="e">
        <f t="shared" si="1050"/>
        <v>#N/A</v>
      </c>
      <c r="BK842" s="616" t="e">
        <f t="shared" si="1050"/>
        <v>#N/A</v>
      </c>
      <c r="BL842" s="616" t="e">
        <f t="shared" si="1050"/>
        <v>#N/A</v>
      </c>
      <c r="BM842" s="616" t="e">
        <f t="shared" si="1050"/>
        <v>#N/A</v>
      </c>
      <c r="BN842" s="616" t="e">
        <f t="shared" si="1050"/>
        <v>#N/A</v>
      </c>
      <c r="BO842" s="616" t="e">
        <f t="shared" si="1050"/>
        <v>#N/A</v>
      </c>
      <c r="BP842" s="616" t="e">
        <f t="shared" si="1050"/>
        <v>#N/A</v>
      </c>
      <c r="BQ842" s="616" t="e">
        <f t="shared" si="1050"/>
        <v>#N/A</v>
      </c>
      <c r="BR842" s="616" t="e">
        <f t="shared" si="1050"/>
        <v>#N/A</v>
      </c>
      <c r="BS842" s="616" t="e">
        <f t="shared" si="1050"/>
        <v>#N/A</v>
      </c>
      <c r="BT842" s="616" t="e">
        <f t="shared" si="1050"/>
        <v>#N/A</v>
      </c>
      <c r="BU842" s="616" t="e">
        <f t="shared" si="1050"/>
        <v>#N/A</v>
      </c>
      <c r="BV842" s="616" t="e">
        <f t="shared" si="1050"/>
        <v>#N/A</v>
      </c>
      <c r="BW842" s="616" t="e">
        <f t="shared" si="1050"/>
        <v>#N/A</v>
      </c>
      <c r="BX842" s="616" t="e">
        <f t="shared" si="1050"/>
        <v>#N/A</v>
      </c>
      <c r="BY842" s="616" t="e">
        <f t="shared" si="1050"/>
        <v>#N/A</v>
      </c>
      <c r="BZ842" s="616" t="e">
        <f t="shared" si="1050"/>
        <v>#N/A</v>
      </c>
      <c r="CA842" s="616" t="e">
        <f t="shared" si="1050"/>
        <v>#N/A</v>
      </c>
      <c r="CB842" s="616" t="e">
        <f t="shared" si="1050"/>
        <v>#N/A</v>
      </c>
      <c r="CC842" s="616" t="e">
        <f t="shared" si="1050"/>
        <v>#N/A</v>
      </c>
      <c r="CD842" s="616" t="e">
        <f t="shared" si="1050"/>
        <v>#N/A</v>
      </c>
      <c r="CE842" s="616" t="e">
        <f t="shared" si="1050"/>
        <v>#N/A</v>
      </c>
      <c r="CF842" s="616" t="e">
        <f t="shared" si="1050"/>
        <v>#N/A</v>
      </c>
      <c r="CG842" s="616" t="e">
        <f t="shared" si="1050"/>
        <v>#N/A</v>
      </c>
      <c r="CH842" s="616" t="e">
        <f t="shared" ref="CH842:CN842" si="1051">CH837*$P$393</f>
        <v>#N/A</v>
      </c>
      <c r="CI842" s="616" t="e">
        <f t="shared" si="1051"/>
        <v>#N/A</v>
      </c>
      <c r="CJ842" s="616" t="e">
        <f t="shared" si="1051"/>
        <v>#N/A</v>
      </c>
      <c r="CK842" s="616" t="e">
        <f t="shared" si="1051"/>
        <v>#N/A</v>
      </c>
      <c r="CL842" s="616" t="e">
        <f t="shared" si="1051"/>
        <v>#N/A</v>
      </c>
      <c r="CM842" s="616" t="e">
        <f t="shared" si="1051"/>
        <v>#N/A</v>
      </c>
      <c r="CN842" s="616" t="e">
        <f t="shared" si="1051"/>
        <v>#N/A</v>
      </c>
    </row>
    <row r="843" spans="8:93">
      <c r="H843" s="602" t="s">
        <v>940</v>
      </c>
      <c r="L843" s="618" t="s">
        <v>1303</v>
      </c>
      <c r="M843" s="600" t="s">
        <v>974</v>
      </c>
      <c r="N843" s="615" t="e">
        <f>SUM(U843:AF843)</f>
        <v>#N/A</v>
      </c>
      <c r="O843" s="615" t="e">
        <f>SUM(AG843:AR843)</f>
        <v>#N/A</v>
      </c>
      <c r="P843" s="615" t="e">
        <f>SUM(AS843:BD843)</f>
        <v>#N/A</v>
      </c>
      <c r="Q843" s="615" t="e">
        <f>SUM(BE843:BP843)</f>
        <v>#N/A</v>
      </c>
      <c r="R843" s="615" t="e">
        <f>SUM(BQ843:CB843)</f>
        <v>#N/A</v>
      </c>
      <c r="S843" s="615" t="e">
        <f>SUM(CC843:CN843)</f>
        <v>#N/A</v>
      </c>
      <c r="U843" s="616" t="e">
        <f>U838*$P$394</f>
        <v>#N/A</v>
      </c>
      <c r="V843" s="616" t="e">
        <f t="shared" ref="V843:CG843" si="1052">V838*$P$394</f>
        <v>#N/A</v>
      </c>
      <c r="W843" s="616" t="e">
        <f t="shared" si="1052"/>
        <v>#N/A</v>
      </c>
      <c r="X843" s="616" t="e">
        <f t="shared" si="1052"/>
        <v>#N/A</v>
      </c>
      <c r="Y843" s="616" t="e">
        <f t="shared" si="1052"/>
        <v>#N/A</v>
      </c>
      <c r="Z843" s="616" t="e">
        <f t="shared" si="1052"/>
        <v>#N/A</v>
      </c>
      <c r="AA843" s="616" t="e">
        <f t="shared" si="1052"/>
        <v>#N/A</v>
      </c>
      <c r="AB843" s="616" t="e">
        <f t="shared" si="1052"/>
        <v>#N/A</v>
      </c>
      <c r="AC843" s="616" t="e">
        <f t="shared" si="1052"/>
        <v>#N/A</v>
      </c>
      <c r="AD843" s="616" t="e">
        <f t="shared" si="1052"/>
        <v>#N/A</v>
      </c>
      <c r="AE843" s="616" t="e">
        <f t="shared" si="1052"/>
        <v>#N/A</v>
      </c>
      <c r="AF843" s="616" t="e">
        <f t="shared" si="1052"/>
        <v>#N/A</v>
      </c>
      <c r="AG843" s="616" t="e">
        <f t="shared" si="1052"/>
        <v>#N/A</v>
      </c>
      <c r="AH843" s="616" t="e">
        <f t="shared" si="1052"/>
        <v>#N/A</v>
      </c>
      <c r="AI843" s="616" t="e">
        <f t="shared" si="1052"/>
        <v>#N/A</v>
      </c>
      <c r="AJ843" s="616" t="e">
        <f t="shared" si="1052"/>
        <v>#N/A</v>
      </c>
      <c r="AK843" s="616" t="e">
        <f t="shared" si="1052"/>
        <v>#N/A</v>
      </c>
      <c r="AL843" s="616" t="e">
        <f t="shared" si="1052"/>
        <v>#N/A</v>
      </c>
      <c r="AM843" s="616" t="e">
        <f t="shared" si="1052"/>
        <v>#N/A</v>
      </c>
      <c r="AN843" s="616" t="e">
        <f t="shared" si="1052"/>
        <v>#N/A</v>
      </c>
      <c r="AO843" s="616" t="e">
        <f t="shared" si="1052"/>
        <v>#N/A</v>
      </c>
      <c r="AP843" s="616" t="e">
        <f t="shared" si="1052"/>
        <v>#N/A</v>
      </c>
      <c r="AQ843" s="616" t="e">
        <f t="shared" si="1052"/>
        <v>#N/A</v>
      </c>
      <c r="AR843" s="616" t="e">
        <f t="shared" si="1052"/>
        <v>#N/A</v>
      </c>
      <c r="AS843" s="616" t="e">
        <f t="shared" si="1052"/>
        <v>#N/A</v>
      </c>
      <c r="AT843" s="616" t="e">
        <f t="shared" si="1052"/>
        <v>#N/A</v>
      </c>
      <c r="AU843" s="616" t="e">
        <f t="shared" si="1052"/>
        <v>#N/A</v>
      </c>
      <c r="AV843" s="616" t="e">
        <f t="shared" si="1052"/>
        <v>#N/A</v>
      </c>
      <c r="AW843" s="616" t="e">
        <f t="shared" si="1052"/>
        <v>#N/A</v>
      </c>
      <c r="AX843" s="616" t="e">
        <f t="shared" si="1052"/>
        <v>#N/A</v>
      </c>
      <c r="AY843" s="616" t="e">
        <f t="shared" si="1052"/>
        <v>#N/A</v>
      </c>
      <c r="AZ843" s="616" t="e">
        <f t="shared" si="1052"/>
        <v>#N/A</v>
      </c>
      <c r="BA843" s="616" t="e">
        <f t="shared" si="1052"/>
        <v>#N/A</v>
      </c>
      <c r="BB843" s="616" t="e">
        <f t="shared" si="1052"/>
        <v>#N/A</v>
      </c>
      <c r="BC843" s="616" t="e">
        <f t="shared" si="1052"/>
        <v>#N/A</v>
      </c>
      <c r="BD843" s="616" t="e">
        <f t="shared" si="1052"/>
        <v>#N/A</v>
      </c>
      <c r="BE843" s="616" t="e">
        <f t="shared" si="1052"/>
        <v>#N/A</v>
      </c>
      <c r="BF843" s="616" t="e">
        <f t="shared" si="1052"/>
        <v>#N/A</v>
      </c>
      <c r="BG843" s="616" t="e">
        <f t="shared" si="1052"/>
        <v>#N/A</v>
      </c>
      <c r="BH843" s="616" t="e">
        <f t="shared" si="1052"/>
        <v>#N/A</v>
      </c>
      <c r="BI843" s="616" t="e">
        <f t="shared" si="1052"/>
        <v>#N/A</v>
      </c>
      <c r="BJ843" s="616" t="e">
        <f t="shared" si="1052"/>
        <v>#N/A</v>
      </c>
      <c r="BK843" s="616" t="e">
        <f t="shared" si="1052"/>
        <v>#N/A</v>
      </c>
      <c r="BL843" s="616" t="e">
        <f t="shared" si="1052"/>
        <v>#N/A</v>
      </c>
      <c r="BM843" s="616" t="e">
        <f t="shared" si="1052"/>
        <v>#N/A</v>
      </c>
      <c r="BN843" s="616" t="e">
        <f t="shared" si="1052"/>
        <v>#N/A</v>
      </c>
      <c r="BO843" s="616" t="e">
        <f t="shared" si="1052"/>
        <v>#N/A</v>
      </c>
      <c r="BP843" s="616" t="e">
        <f t="shared" si="1052"/>
        <v>#N/A</v>
      </c>
      <c r="BQ843" s="616" t="e">
        <f t="shared" si="1052"/>
        <v>#N/A</v>
      </c>
      <c r="BR843" s="616" t="e">
        <f t="shared" si="1052"/>
        <v>#N/A</v>
      </c>
      <c r="BS843" s="616" t="e">
        <f t="shared" si="1052"/>
        <v>#N/A</v>
      </c>
      <c r="BT843" s="616" t="e">
        <f t="shared" si="1052"/>
        <v>#N/A</v>
      </c>
      <c r="BU843" s="616" t="e">
        <f t="shared" si="1052"/>
        <v>#N/A</v>
      </c>
      <c r="BV843" s="616" t="e">
        <f t="shared" si="1052"/>
        <v>#N/A</v>
      </c>
      <c r="BW843" s="616" t="e">
        <f t="shared" si="1052"/>
        <v>#N/A</v>
      </c>
      <c r="BX843" s="616" t="e">
        <f t="shared" si="1052"/>
        <v>#N/A</v>
      </c>
      <c r="BY843" s="616" t="e">
        <f t="shared" si="1052"/>
        <v>#N/A</v>
      </c>
      <c r="BZ843" s="616" t="e">
        <f t="shared" si="1052"/>
        <v>#N/A</v>
      </c>
      <c r="CA843" s="616" t="e">
        <f t="shared" si="1052"/>
        <v>#N/A</v>
      </c>
      <c r="CB843" s="616" t="e">
        <f t="shared" si="1052"/>
        <v>#N/A</v>
      </c>
      <c r="CC843" s="616" t="e">
        <f t="shared" si="1052"/>
        <v>#N/A</v>
      </c>
      <c r="CD843" s="616" t="e">
        <f t="shared" si="1052"/>
        <v>#N/A</v>
      </c>
      <c r="CE843" s="616" t="e">
        <f t="shared" si="1052"/>
        <v>#N/A</v>
      </c>
      <c r="CF843" s="616" t="e">
        <f t="shared" si="1052"/>
        <v>#N/A</v>
      </c>
      <c r="CG843" s="616" t="e">
        <f t="shared" si="1052"/>
        <v>#N/A</v>
      </c>
      <c r="CH843" s="616" t="e">
        <f t="shared" ref="CH843:CN843" si="1053">CH838*$P$394</f>
        <v>#N/A</v>
      </c>
      <c r="CI843" s="616" t="e">
        <f t="shared" si="1053"/>
        <v>#N/A</v>
      </c>
      <c r="CJ843" s="616" t="e">
        <f t="shared" si="1053"/>
        <v>#N/A</v>
      </c>
      <c r="CK843" s="616" t="e">
        <f t="shared" si="1053"/>
        <v>#N/A</v>
      </c>
      <c r="CL843" s="616" t="e">
        <f t="shared" si="1053"/>
        <v>#N/A</v>
      </c>
      <c r="CM843" s="616" t="e">
        <f t="shared" si="1053"/>
        <v>#N/A</v>
      </c>
      <c r="CN843" s="616" t="e">
        <f t="shared" si="1053"/>
        <v>#N/A</v>
      </c>
    </row>
    <row r="844" spans="8:93">
      <c r="H844" s="602" t="s">
        <v>940</v>
      </c>
      <c r="L844" s="618"/>
      <c r="M844" s="600"/>
      <c r="N844" s="615"/>
      <c r="O844" s="615"/>
      <c r="P844" s="615"/>
      <c r="Q844" s="615"/>
      <c r="R844" s="615"/>
      <c r="S844" s="615"/>
      <c r="U844" s="616"/>
      <c r="V844" s="616"/>
      <c r="W844" s="616"/>
      <c r="X844" s="616"/>
      <c r="Y844" s="616"/>
      <c r="Z844" s="616"/>
      <c r="AA844" s="616"/>
      <c r="AB844" s="616"/>
      <c r="AC844" s="616"/>
      <c r="AD844" s="616"/>
      <c r="AE844" s="616"/>
      <c r="AF844" s="616"/>
      <c r="AG844" s="616"/>
      <c r="AH844" s="616"/>
      <c r="AI844" s="616"/>
      <c r="AJ844" s="616"/>
      <c r="AK844" s="616"/>
      <c r="AL844" s="616"/>
      <c r="AM844" s="616"/>
      <c r="AN844" s="616"/>
      <c r="AO844" s="616"/>
      <c r="AP844" s="616"/>
      <c r="AQ844" s="616"/>
      <c r="AR844" s="616"/>
      <c r="AS844" s="616"/>
      <c r="AT844" s="616"/>
      <c r="AU844" s="616"/>
      <c r="AV844" s="616"/>
      <c r="AW844" s="616"/>
      <c r="AX844" s="616"/>
      <c r="AY844" s="616"/>
      <c r="AZ844" s="616"/>
      <c r="BA844" s="616"/>
      <c r="BB844" s="616"/>
      <c r="BC844" s="616"/>
      <c r="BD844" s="616"/>
      <c r="BE844" s="616"/>
      <c r="BF844" s="616"/>
      <c r="BG844" s="616"/>
      <c r="BH844" s="616"/>
      <c r="BI844" s="616"/>
      <c r="BJ844" s="616"/>
      <c r="BK844" s="616"/>
      <c r="BL844" s="616"/>
      <c r="BM844" s="616"/>
      <c r="BN844" s="616"/>
      <c r="BO844" s="616"/>
      <c r="BP844" s="616"/>
      <c r="BQ844" s="616"/>
      <c r="BR844" s="616"/>
      <c r="BS844" s="616"/>
      <c r="BT844" s="616"/>
      <c r="BU844" s="616"/>
      <c r="BV844" s="616"/>
      <c r="BW844" s="616"/>
      <c r="BX844" s="616"/>
      <c r="BY844" s="616"/>
      <c r="BZ844" s="616"/>
      <c r="CA844" s="616"/>
      <c r="CB844" s="616"/>
      <c r="CC844" s="616"/>
      <c r="CD844" s="616"/>
      <c r="CE844" s="616"/>
      <c r="CF844" s="616"/>
      <c r="CG844" s="616"/>
      <c r="CH844" s="616"/>
      <c r="CI844" s="616"/>
      <c r="CJ844" s="616"/>
      <c r="CK844" s="616"/>
      <c r="CL844" s="616"/>
      <c r="CM844" s="616"/>
      <c r="CN844" s="616"/>
    </row>
    <row r="845" spans="8:93">
      <c r="H845" s="602" t="s">
        <v>940</v>
      </c>
      <c r="L845" s="618" t="s">
        <v>1247</v>
      </c>
      <c r="M845" s="600" t="s">
        <v>974</v>
      </c>
      <c r="N845" s="615">
        <f>SUM(U845:AF845)</f>
        <v>0</v>
      </c>
      <c r="O845" s="615">
        <f>SUM(AG845:AR845)</f>
        <v>0</v>
      </c>
      <c r="P845" s="615">
        <f>SUM(AS845:BD845)</f>
        <v>0</v>
      </c>
      <c r="Q845" s="615">
        <f>SUM(BE845:BP845)</f>
        <v>0</v>
      </c>
      <c r="R845" s="615">
        <f>SUM(BQ845:CB845)</f>
        <v>0</v>
      </c>
      <c r="S845" s="615">
        <f>SUM(CC845:CN845)</f>
        <v>0</v>
      </c>
      <c r="U845" s="686"/>
      <c r="V845" s="686"/>
      <c r="W845" s="686"/>
      <c r="X845" s="686"/>
      <c r="Y845" s="686"/>
      <c r="Z845" s="686"/>
      <c r="AA845" s="686"/>
      <c r="AB845" s="686"/>
      <c r="AC845" s="686"/>
      <c r="AD845" s="686"/>
      <c r="AE845" s="686"/>
      <c r="AF845" s="686"/>
      <c r="AG845" s="686"/>
      <c r="AH845" s="686"/>
      <c r="AI845" s="686"/>
      <c r="AJ845" s="686"/>
      <c r="AK845" s="686"/>
      <c r="AL845" s="686"/>
      <c r="AM845" s="686"/>
      <c r="AN845" s="686"/>
      <c r="AO845" s="686"/>
      <c r="AP845" s="686"/>
      <c r="AQ845" s="686"/>
      <c r="AR845" s="686"/>
      <c r="AS845" s="686"/>
      <c r="AT845" s="686"/>
      <c r="AU845" s="686"/>
      <c r="AV845" s="686"/>
      <c r="AW845" s="686"/>
      <c r="AX845" s="686"/>
      <c r="AY845" s="686"/>
      <c r="AZ845" s="686"/>
      <c r="BA845" s="686"/>
      <c r="BB845" s="686"/>
      <c r="BC845" s="686"/>
      <c r="BD845" s="686"/>
      <c r="BE845" s="686"/>
      <c r="BF845" s="686"/>
      <c r="BG845" s="686"/>
      <c r="BH845" s="686"/>
      <c r="BI845" s="686"/>
      <c r="BJ845" s="686"/>
      <c r="BK845" s="686"/>
      <c r="BL845" s="686"/>
      <c r="BM845" s="686"/>
      <c r="BN845" s="686"/>
      <c r="BO845" s="686"/>
      <c r="BP845" s="686"/>
      <c r="BQ845" s="686"/>
      <c r="BR845" s="686"/>
      <c r="BS845" s="686"/>
      <c r="BT845" s="686"/>
      <c r="BU845" s="686"/>
      <c r="BV845" s="686"/>
      <c r="BW845" s="686"/>
      <c r="BX845" s="686"/>
      <c r="BY845" s="686"/>
      <c r="BZ845" s="686"/>
      <c r="CA845" s="686"/>
      <c r="CB845" s="686"/>
      <c r="CC845" s="686"/>
      <c r="CD845" s="686"/>
      <c r="CE845" s="686"/>
      <c r="CF845" s="686"/>
      <c r="CG845" s="686"/>
      <c r="CH845" s="686"/>
      <c r="CI845" s="686"/>
      <c r="CJ845" s="686"/>
      <c r="CK845" s="686"/>
      <c r="CL845" s="686"/>
      <c r="CM845" s="686"/>
      <c r="CN845" s="686"/>
      <c r="CO845" s="556" t="s">
        <v>1272</v>
      </c>
    </row>
    <row r="846" spans="8:93">
      <c r="H846" s="602" t="s">
        <v>940</v>
      </c>
      <c r="L846" s="618" t="s">
        <v>908</v>
      </c>
      <c r="M846" s="600" t="s">
        <v>974</v>
      </c>
      <c r="N846" s="615" t="e">
        <f>SUM(U846:AF846)</f>
        <v>#N/A</v>
      </c>
      <c r="O846" s="615" t="e">
        <f>SUM(AG846:AR846)</f>
        <v>#N/A</v>
      </c>
      <c r="P846" s="615" t="e">
        <f>SUM(AS846:BD846)</f>
        <v>#N/A</v>
      </c>
      <c r="Q846" s="615" t="e">
        <f>SUM(BE846:BP846)</f>
        <v>#N/A</v>
      </c>
      <c r="R846" s="615" t="e">
        <f>SUM(BQ846:CB846)</f>
        <v>#N/A</v>
      </c>
      <c r="S846" s="615" t="e">
        <f>SUM(CC846:CN846)</f>
        <v>#N/A</v>
      </c>
      <c r="U846" s="616" t="e">
        <f>U833*$P$373</f>
        <v>#N/A</v>
      </c>
      <c r="V846" s="616" t="e">
        <f t="shared" ref="V846:CG846" si="1054">V833*$P$373</f>
        <v>#N/A</v>
      </c>
      <c r="W846" s="616" t="e">
        <f t="shared" si="1054"/>
        <v>#N/A</v>
      </c>
      <c r="X846" s="616" t="e">
        <f t="shared" si="1054"/>
        <v>#N/A</v>
      </c>
      <c r="Y846" s="616" t="e">
        <f t="shared" si="1054"/>
        <v>#N/A</v>
      </c>
      <c r="Z846" s="616" t="e">
        <f t="shared" si="1054"/>
        <v>#N/A</v>
      </c>
      <c r="AA846" s="616" t="e">
        <f t="shared" si="1054"/>
        <v>#N/A</v>
      </c>
      <c r="AB846" s="616" t="e">
        <f t="shared" si="1054"/>
        <v>#N/A</v>
      </c>
      <c r="AC846" s="616" t="e">
        <f t="shared" si="1054"/>
        <v>#N/A</v>
      </c>
      <c r="AD846" s="616" t="e">
        <f t="shared" si="1054"/>
        <v>#N/A</v>
      </c>
      <c r="AE846" s="616" t="e">
        <f t="shared" si="1054"/>
        <v>#N/A</v>
      </c>
      <c r="AF846" s="616" t="e">
        <f t="shared" si="1054"/>
        <v>#N/A</v>
      </c>
      <c r="AG846" s="616" t="e">
        <f t="shared" si="1054"/>
        <v>#N/A</v>
      </c>
      <c r="AH846" s="616" t="e">
        <f t="shared" si="1054"/>
        <v>#N/A</v>
      </c>
      <c r="AI846" s="616" t="e">
        <f t="shared" si="1054"/>
        <v>#N/A</v>
      </c>
      <c r="AJ846" s="616" t="e">
        <f t="shared" si="1054"/>
        <v>#N/A</v>
      </c>
      <c r="AK846" s="616" t="e">
        <f t="shared" si="1054"/>
        <v>#N/A</v>
      </c>
      <c r="AL846" s="616" t="e">
        <f t="shared" si="1054"/>
        <v>#N/A</v>
      </c>
      <c r="AM846" s="616" t="e">
        <f t="shared" si="1054"/>
        <v>#N/A</v>
      </c>
      <c r="AN846" s="616" t="e">
        <f t="shared" si="1054"/>
        <v>#N/A</v>
      </c>
      <c r="AO846" s="616" t="e">
        <f t="shared" si="1054"/>
        <v>#N/A</v>
      </c>
      <c r="AP846" s="616" t="e">
        <f t="shared" si="1054"/>
        <v>#N/A</v>
      </c>
      <c r="AQ846" s="616" t="e">
        <f t="shared" si="1054"/>
        <v>#N/A</v>
      </c>
      <c r="AR846" s="616" t="e">
        <f t="shared" si="1054"/>
        <v>#N/A</v>
      </c>
      <c r="AS846" s="616" t="e">
        <f t="shared" si="1054"/>
        <v>#N/A</v>
      </c>
      <c r="AT846" s="616" t="e">
        <f t="shared" si="1054"/>
        <v>#N/A</v>
      </c>
      <c r="AU846" s="616" t="e">
        <f t="shared" si="1054"/>
        <v>#N/A</v>
      </c>
      <c r="AV846" s="616" t="e">
        <f t="shared" si="1054"/>
        <v>#N/A</v>
      </c>
      <c r="AW846" s="616" t="e">
        <f t="shared" si="1054"/>
        <v>#N/A</v>
      </c>
      <c r="AX846" s="616" t="e">
        <f t="shared" si="1054"/>
        <v>#N/A</v>
      </c>
      <c r="AY846" s="616" t="e">
        <f t="shared" si="1054"/>
        <v>#N/A</v>
      </c>
      <c r="AZ846" s="616" t="e">
        <f t="shared" si="1054"/>
        <v>#N/A</v>
      </c>
      <c r="BA846" s="616" t="e">
        <f t="shared" si="1054"/>
        <v>#N/A</v>
      </c>
      <c r="BB846" s="616" t="e">
        <f t="shared" si="1054"/>
        <v>#N/A</v>
      </c>
      <c r="BC846" s="616" t="e">
        <f t="shared" si="1054"/>
        <v>#N/A</v>
      </c>
      <c r="BD846" s="616" t="e">
        <f t="shared" si="1054"/>
        <v>#N/A</v>
      </c>
      <c r="BE846" s="616" t="e">
        <f t="shared" si="1054"/>
        <v>#N/A</v>
      </c>
      <c r="BF846" s="616" t="e">
        <f t="shared" si="1054"/>
        <v>#N/A</v>
      </c>
      <c r="BG846" s="616" t="e">
        <f t="shared" si="1054"/>
        <v>#N/A</v>
      </c>
      <c r="BH846" s="616" t="e">
        <f t="shared" si="1054"/>
        <v>#N/A</v>
      </c>
      <c r="BI846" s="616" t="e">
        <f t="shared" si="1054"/>
        <v>#N/A</v>
      </c>
      <c r="BJ846" s="616" t="e">
        <f t="shared" si="1054"/>
        <v>#N/A</v>
      </c>
      <c r="BK846" s="616" t="e">
        <f t="shared" si="1054"/>
        <v>#N/A</v>
      </c>
      <c r="BL846" s="616" t="e">
        <f t="shared" si="1054"/>
        <v>#N/A</v>
      </c>
      <c r="BM846" s="616" t="e">
        <f t="shared" si="1054"/>
        <v>#N/A</v>
      </c>
      <c r="BN846" s="616" t="e">
        <f t="shared" si="1054"/>
        <v>#N/A</v>
      </c>
      <c r="BO846" s="616" t="e">
        <f t="shared" si="1054"/>
        <v>#N/A</v>
      </c>
      <c r="BP846" s="616" t="e">
        <f t="shared" si="1054"/>
        <v>#N/A</v>
      </c>
      <c r="BQ846" s="616" t="e">
        <f t="shared" si="1054"/>
        <v>#N/A</v>
      </c>
      <c r="BR846" s="616" t="e">
        <f t="shared" si="1054"/>
        <v>#N/A</v>
      </c>
      <c r="BS846" s="616" t="e">
        <f t="shared" si="1054"/>
        <v>#N/A</v>
      </c>
      <c r="BT846" s="616" t="e">
        <f t="shared" si="1054"/>
        <v>#N/A</v>
      </c>
      <c r="BU846" s="616" t="e">
        <f t="shared" si="1054"/>
        <v>#N/A</v>
      </c>
      <c r="BV846" s="616" t="e">
        <f t="shared" si="1054"/>
        <v>#N/A</v>
      </c>
      <c r="BW846" s="616" t="e">
        <f t="shared" si="1054"/>
        <v>#N/A</v>
      </c>
      <c r="BX846" s="616" t="e">
        <f t="shared" si="1054"/>
        <v>#N/A</v>
      </c>
      <c r="BY846" s="616" t="e">
        <f t="shared" si="1054"/>
        <v>#N/A</v>
      </c>
      <c r="BZ846" s="616" t="e">
        <f t="shared" si="1054"/>
        <v>#N/A</v>
      </c>
      <c r="CA846" s="616" t="e">
        <f t="shared" si="1054"/>
        <v>#N/A</v>
      </c>
      <c r="CB846" s="616" t="e">
        <f t="shared" si="1054"/>
        <v>#N/A</v>
      </c>
      <c r="CC846" s="616" t="e">
        <f t="shared" si="1054"/>
        <v>#N/A</v>
      </c>
      <c r="CD846" s="616" t="e">
        <f t="shared" si="1054"/>
        <v>#N/A</v>
      </c>
      <c r="CE846" s="616" t="e">
        <f t="shared" si="1054"/>
        <v>#N/A</v>
      </c>
      <c r="CF846" s="616" t="e">
        <f t="shared" si="1054"/>
        <v>#N/A</v>
      </c>
      <c r="CG846" s="616" t="e">
        <f t="shared" si="1054"/>
        <v>#N/A</v>
      </c>
      <c r="CH846" s="616" t="e">
        <f t="shared" ref="CH846:CN846" si="1055">CH833*$P$373</f>
        <v>#N/A</v>
      </c>
      <c r="CI846" s="616" t="e">
        <f t="shared" si="1055"/>
        <v>#N/A</v>
      </c>
      <c r="CJ846" s="616" t="e">
        <f t="shared" si="1055"/>
        <v>#N/A</v>
      </c>
      <c r="CK846" s="616" t="e">
        <f t="shared" si="1055"/>
        <v>#N/A</v>
      </c>
      <c r="CL846" s="616" t="e">
        <f t="shared" si="1055"/>
        <v>#N/A</v>
      </c>
      <c r="CM846" s="616" t="e">
        <f t="shared" si="1055"/>
        <v>#N/A</v>
      </c>
      <c r="CN846" s="616" t="e">
        <f t="shared" si="1055"/>
        <v>#N/A</v>
      </c>
    </row>
    <row r="847" spans="8:93">
      <c r="H847" s="602" t="s">
        <v>940</v>
      </c>
      <c r="L847" s="618" t="s">
        <v>1304</v>
      </c>
      <c r="M847" s="600" t="s">
        <v>974</v>
      </c>
      <c r="N847" s="615" t="e">
        <f>SUM(U847:AF847)</f>
        <v>#N/A</v>
      </c>
      <c r="O847" s="615" t="e">
        <f>SUM(AG847:AR847)</f>
        <v>#N/A</v>
      </c>
      <c r="P847" s="615" t="e">
        <f>SUM(AS847:BD847)</f>
        <v>#N/A</v>
      </c>
      <c r="Q847" s="615" t="e">
        <f>SUM(BE847:BP847)</f>
        <v>#N/A</v>
      </c>
      <c r="R847" s="615" t="e">
        <f>SUM(BQ847:CB847)</f>
        <v>#N/A</v>
      </c>
      <c r="S847" s="615" t="e">
        <f>SUM(CC847:CN847)</f>
        <v>#N/A</v>
      </c>
      <c r="U847" s="616" t="e">
        <f>SUM(U840:U843,U845:U846)</f>
        <v>#N/A</v>
      </c>
      <c r="V847" s="616" t="e">
        <f t="shared" ref="V847:CG847" si="1056">SUM(V840:V843,V845:V846)</f>
        <v>#N/A</v>
      </c>
      <c r="W847" s="616" t="e">
        <f t="shared" si="1056"/>
        <v>#N/A</v>
      </c>
      <c r="X847" s="616" t="e">
        <f t="shared" si="1056"/>
        <v>#N/A</v>
      </c>
      <c r="Y847" s="616" t="e">
        <f t="shared" si="1056"/>
        <v>#N/A</v>
      </c>
      <c r="Z847" s="616" t="e">
        <f t="shared" si="1056"/>
        <v>#N/A</v>
      </c>
      <c r="AA847" s="616" t="e">
        <f t="shared" si="1056"/>
        <v>#N/A</v>
      </c>
      <c r="AB847" s="616" t="e">
        <f t="shared" si="1056"/>
        <v>#N/A</v>
      </c>
      <c r="AC847" s="616" t="e">
        <f t="shared" si="1056"/>
        <v>#N/A</v>
      </c>
      <c r="AD847" s="616" t="e">
        <f t="shared" si="1056"/>
        <v>#N/A</v>
      </c>
      <c r="AE847" s="616" t="e">
        <f t="shared" si="1056"/>
        <v>#N/A</v>
      </c>
      <c r="AF847" s="616" t="e">
        <f t="shared" si="1056"/>
        <v>#N/A</v>
      </c>
      <c r="AG847" s="616" t="e">
        <f t="shared" si="1056"/>
        <v>#N/A</v>
      </c>
      <c r="AH847" s="616" t="e">
        <f t="shared" si="1056"/>
        <v>#N/A</v>
      </c>
      <c r="AI847" s="616" t="e">
        <f t="shared" si="1056"/>
        <v>#N/A</v>
      </c>
      <c r="AJ847" s="616" t="e">
        <f t="shared" si="1056"/>
        <v>#N/A</v>
      </c>
      <c r="AK847" s="616" t="e">
        <f t="shared" si="1056"/>
        <v>#N/A</v>
      </c>
      <c r="AL847" s="616" t="e">
        <f t="shared" si="1056"/>
        <v>#N/A</v>
      </c>
      <c r="AM847" s="616" t="e">
        <f t="shared" si="1056"/>
        <v>#N/A</v>
      </c>
      <c r="AN847" s="616" t="e">
        <f t="shared" si="1056"/>
        <v>#N/A</v>
      </c>
      <c r="AO847" s="616" t="e">
        <f t="shared" si="1056"/>
        <v>#N/A</v>
      </c>
      <c r="AP847" s="616" t="e">
        <f t="shared" si="1056"/>
        <v>#N/A</v>
      </c>
      <c r="AQ847" s="616" t="e">
        <f t="shared" si="1056"/>
        <v>#N/A</v>
      </c>
      <c r="AR847" s="616" t="e">
        <f t="shared" si="1056"/>
        <v>#N/A</v>
      </c>
      <c r="AS847" s="616" t="e">
        <f t="shared" si="1056"/>
        <v>#N/A</v>
      </c>
      <c r="AT847" s="616" t="e">
        <f t="shared" si="1056"/>
        <v>#N/A</v>
      </c>
      <c r="AU847" s="616" t="e">
        <f t="shared" si="1056"/>
        <v>#N/A</v>
      </c>
      <c r="AV847" s="616" t="e">
        <f t="shared" si="1056"/>
        <v>#N/A</v>
      </c>
      <c r="AW847" s="616" t="e">
        <f t="shared" si="1056"/>
        <v>#N/A</v>
      </c>
      <c r="AX847" s="616" t="e">
        <f t="shared" si="1056"/>
        <v>#N/A</v>
      </c>
      <c r="AY847" s="616" t="e">
        <f t="shared" si="1056"/>
        <v>#N/A</v>
      </c>
      <c r="AZ847" s="616" t="e">
        <f t="shared" si="1056"/>
        <v>#N/A</v>
      </c>
      <c r="BA847" s="616" t="e">
        <f t="shared" si="1056"/>
        <v>#N/A</v>
      </c>
      <c r="BB847" s="616" t="e">
        <f t="shared" si="1056"/>
        <v>#N/A</v>
      </c>
      <c r="BC847" s="616" t="e">
        <f t="shared" si="1056"/>
        <v>#N/A</v>
      </c>
      <c r="BD847" s="616" t="e">
        <f t="shared" si="1056"/>
        <v>#N/A</v>
      </c>
      <c r="BE847" s="616" t="e">
        <f t="shared" si="1056"/>
        <v>#N/A</v>
      </c>
      <c r="BF847" s="616" t="e">
        <f t="shared" si="1056"/>
        <v>#N/A</v>
      </c>
      <c r="BG847" s="616" t="e">
        <f t="shared" si="1056"/>
        <v>#N/A</v>
      </c>
      <c r="BH847" s="616" t="e">
        <f t="shared" si="1056"/>
        <v>#N/A</v>
      </c>
      <c r="BI847" s="616" t="e">
        <f t="shared" si="1056"/>
        <v>#N/A</v>
      </c>
      <c r="BJ847" s="616" t="e">
        <f t="shared" si="1056"/>
        <v>#N/A</v>
      </c>
      <c r="BK847" s="616" t="e">
        <f t="shared" si="1056"/>
        <v>#N/A</v>
      </c>
      <c r="BL847" s="616" t="e">
        <f t="shared" si="1056"/>
        <v>#N/A</v>
      </c>
      <c r="BM847" s="616" t="e">
        <f t="shared" si="1056"/>
        <v>#N/A</v>
      </c>
      <c r="BN847" s="616" t="e">
        <f t="shared" si="1056"/>
        <v>#N/A</v>
      </c>
      <c r="BO847" s="616" t="e">
        <f t="shared" si="1056"/>
        <v>#N/A</v>
      </c>
      <c r="BP847" s="616" t="e">
        <f t="shared" si="1056"/>
        <v>#N/A</v>
      </c>
      <c r="BQ847" s="616" t="e">
        <f t="shared" si="1056"/>
        <v>#N/A</v>
      </c>
      <c r="BR847" s="616" t="e">
        <f t="shared" si="1056"/>
        <v>#N/A</v>
      </c>
      <c r="BS847" s="616" t="e">
        <f t="shared" si="1056"/>
        <v>#N/A</v>
      </c>
      <c r="BT847" s="616" t="e">
        <f t="shared" si="1056"/>
        <v>#N/A</v>
      </c>
      <c r="BU847" s="616" t="e">
        <f t="shared" si="1056"/>
        <v>#N/A</v>
      </c>
      <c r="BV847" s="616" t="e">
        <f t="shared" si="1056"/>
        <v>#N/A</v>
      </c>
      <c r="BW847" s="616" t="e">
        <f t="shared" si="1056"/>
        <v>#N/A</v>
      </c>
      <c r="BX847" s="616" t="e">
        <f t="shared" si="1056"/>
        <v>#N/A</v>
      </c>
      <c r="BY847" s="616" t="e">
        <f t="shared" si="1056"/>
        <v>#N/A</v>
      </c>
      <c r="BZ847" s="616" t="e">
        <f t="shared" si="1056"/>
        <v>#N/A</v>
      </c>
      <c r="CA847" s="616" t="e">
        <f t="shared" si="1056"/>
        <v>#N/A</v>
      </c>
      <c r="CB847" s="616" t="e">
        <f t="shared" si="1056"/>
        <v>#N/A</v>
      </c>
      <c r="CC847" s="616" t="e">
        <f t="shared" si="1056"/>
        <v>#N/A</v>
      </c>
      <c r="CD847" s="616" t="e">
        <f t="shared" si="1056"/>
        <v>#N/A</v>
      </c>
      <c r="CE847" s="616" t="e">
        <f t="shared" si="1056"/>
        <v>#N/A</v>
      </c>
      <c r="CF847" s="616" t="e">
        <f t="shared" si="1056"/>
        <v>#N/A</v>
      </c>
      <c r="CG847" s="616" t="e">
        <f t="shared" si="1056"/>
        <v>#N/A</v>
      </c>
      <c r="CH847" s="616" t="e">
        <f t="shared" ref="CH847:CN847" si="1057">SUM(CH840:CH843,CH845:CH846)</f>
        <v>#N/A</v>
      </c>
      <c r="CI847" s="616" t="e">
        <f t="shared" si="1057"/>
        <v>#N/A</v>
      </c>
      <c r="CJ847" s="616" t="e">
        <f t="shared" si="1057"/>
        <v>#N/A</v>
      </c>
      <c r="CK847" s="616" t="e">
        <f t="shared" si="1057"/>
        <v>#N/A</v>
      </c>
      <c r="CL847" s="616" t="e">
        <f t="shared" si="1057"/>
        <v>#N/A</v>
      </c>
      <c r="CM847" s="616" t="e">
        <f t="shared" si="1057"/>
        <v>#N/A</v>
      </c>
      <c r="CN847" s="616" t="e">
        <f t="shared" si="1057"/>
        <v>#N/A</v>
      </c>
    </row>
    <row r="848" spans="8:93">
      <c r="H848" s="602" t="s">
        <v>940</v>
      </c>
      <c r="L848" s="618" t="s">
        <v>909</v>
      </c>
      <c r="M848" s="600" t="s">
        <v>974</v>
      </c>
      <c r="N848" s="615" t="e">
        <f>SUM(U848:AF848)</f>
        <v>#N/A</v>
      </c>
      <c r="O848" s="615" t="e">
        <f>SUM(AG848:AR848)</f>
        <v>#N/A</v>
      </c>
      <c r="P848" s="615" t="e">
        <f>SUM(AS848:BD848)</f>
        <v>#N/A</v>
      </c>
      <c r="Q848" s="615" t="e">
        <f>SUM(BE848:BP848)</f>
        <v>#N/A</v>
      </c>
      <c r="R848" s="615" t="e">
        <f>SUM(BQ848:CB848)</f>
        <v>#N/A</v>
      </c>
      <c r="S848" s="615" t="e">
        <f>SUM(CC848:CN848)</f>
        <v>#N/A</v>
      </c>
      <c r="U848" s="616" t="e">
        <f>U847*$P$374/100</f>
        <v>#N/A</v>
      </c>
      <c r="V848" s="616" t="e">
        <f t="shared" ref="V848:CG848" si="1058">V847*$P$374/100</f>
        <v>#N/A</v>
      </c>
      <c r="W848" s="616" t="e">
        <f t="shared" si="1058"/>
        <v>#N/A</v>
      </c>
      <c r="X848" s="616" t="e">
        <f t="shared" si="1058"/>
        <v>#N/A</v>
      </c>
      <c r="Y848" s="616" t="e">
        <f t="shared" si="1058"/>
        <v>#N/A</v>
      </c>
      <c r="Z848" s="616" t="e">
        <f t="shared" si="1058"/>
        <v>#N/A</v>
      </c>
      <c r="AA848" s="616" t="e">
        <f t="shared" si="1058"/>
        <v>#N/A</v>
      </c>
      <c r="AB848" s="616" t="e">
        <f t="shared" si="1058"/>
        <v>#N/A</v>
      </c>
      <c r="AC848" s="616" t="e">
        <f t="shared" si="1058"/>
        <v>#N/A</v>
      </c>
      <c r="AD848" s="616" t="e">
        <f t="shared" si="1058"/>
        <v>#N/A</v>
      </c>
      <c r="AE848" s="616" t="e">
        <f t="shared" si="1058"/>
        <v>#N/A</v>
      </c>
      <c r="AF848" s="616" t="e">
        <f t="shared" si="1058"/>
        <v>#N/A</v>
      </c>
      <c r="AG848" s="616" t="e">
        <f t="shared" si="1058"/>
        <v>#N/A</v>
      </c>
      <c r="AH848" s="616" t="e">
        <f t="shared" si="1058"/>
        <v>#N/A</v>
      </c>
      <c r="AI848" s="616" t="e">
        <f t="shared" si="1058"/>
        <v>#N/A</v>
      </c>
      <c r="AJ848" s="616" t="e">
        <f t="shared" si="1058"/>
        <v>#N/A</v>
      </c>
      <c r="AK848" s="616" t="e">
        <f t="shared" si="1058"/>
        <v>#N/A</v>
      </c>
      <c r="AL848" s="616" t="e">
        <f t="shared" si="1058"/>
        <v>#N/A</v>
      </c>
      <c r="AM848" s="616" t="e">
        <f t="shared" si="1058"/>
        <v>#N/A</v>
      </c>
      <c r="AN848" s="616" t="e">
        <f t="shared" si="1058"/>
        <v>#N/A</v>
      </c>
      <c r="AO848" s="616" t="e">
        <f t="shared" si="1058"/>
        <v>#N/A</v>
      </c>
      <c r="AP848" s="616" t="e">
        <f t="shared" si="1058"/>
        <v>#N/A</v>
      </c>
      <c r="AQ848" s="616" t="e">
        <f t="shared" si="1058"/>
        <v>#N/A</v>
      </c>
      <c r="AR848" s="616" t="e">
        <f t="shared" si="1058"/>
        <v>#N/A</v>
      </c>
      <c r="AS848" s="616" t="e">
        <f t="shared" si="1058"/>
        <v>#N/A</v>
      </c>
      <c r="AT848" s="616" t="e">
        <f t="shared" si="1058"/>
        <v>#N/A</v>
      </c>
      <c r="AU848" s="616" t="e">
        <f t="shared" si="1058"/>
        <v>#N/A</v>
      </c>
      <c r="AV848" s="616" t="e">
        <f t="shared" si="1058"/>
        <v>#N/A</v>
      </c>
      <c r="AW848" s="616" t="e">
        <f t="shared" si="1058"/>
        <v>#N/A</v>
      </c>
      <c r="AX848" s="616" t="e">
        <f t="shared" si="1058"/>
        <v>#N/A</v>
      </c>
      <c r="AY848" s="616" t="e">
        <f t="shared" si="1058"/>
        <v>#N/A</v>
      </c>
      <c r="AZ848" s="616" t="e">
        <f t="shared" si="1058"/>
        <v>#N/A</v>
      </c>
      <c r="BA848" s="616" t="e">
        <f t="shared" si="1058"/>
        <v>#N/A</v>
      </c>
      <c r="BB848" s="616" t="e">
        <f t="shared" si="1058"/>
        <v>#N/A</v>
      </c>
      <c r="BC848" s="616" t="e">
        <f t="shared" si="1058"/>
        <v>#N/A</v>
      </c>
      <c r="BD848" s="616" t="e">
        <f t="shared" si="1058"/>
        <v>#N/A</v>
      </c>
      <c r="BE848" s="616" t="e">
        <f t="shared" si="1058"/>
        <v>#N/A</v>
      </c>
      <c r="BF848" s="616" t="e">
        <f t="shared" si="1058"/>
        <v>#N/A</v>
      </c>
      <c r="BG848" s="616" t="e">
        <f t="shared" si="1058"/>
        <v>#N/A</v>
      </c>
      <c r="BH848" s="616" t="e">
        <f t="shared" si="1058"/>
        <v>#N/A</v>
      </c>
      <c r="BI848" s="616" t="e">
        <f t="shared" si="1058"/>
        <v>#N/A</v>
      </c>
      <c r="BJ848" s="616" t="e">
        <f t="shared" si="1058"/>
        <v>#N/A</v>
      </c>
      <c r="BK848" s="616" t="e">
        <f t="shared" si="1058"/>
        <v>#N/A</v>
      </c>
      <c r="BL848" s="616" t="e">
        <f t="shared" si="1058"/>
        <v>#N/A</v>
      </c>
      <c r="BM848" s="616" t="e">
        <f t="shared" si="1058"/>
        <v>#N/A</v>
      </c>
      <c r="BN848" s="616" t="e">
        <f t="shared" si="1058"/>
        <v>#N/A</v>
      </c>
      <c r="BO848" s="616" t="e">
        <f t="shared" si="1058"/>
        <v>#N/A</v>
      </c>
      <c r="BP848" s="616" t="e">
        <f t="shared" si="1058"/>
        <v>#N/A</v>
      </c>
      <c r="BQ848" s="616" t="e">
        <f t="shared" si="1058"/>
        <v>#N/A</v>
      </c>
      <c r="BR848" s="616" t="e">
        <f t="shared" si="1058"/>
        <v>#N/A</v>
      </c>
      <c r="BS848" s="616" t="e">
        <f t="shared" si="1058"/>
        <v>#N/A</v>
      </c>
      <c r="BT848" s="616" t="e">
        <f t="shared" si="1058"/>
        <v>#N/A</v>
      </c>
      <c r="BU848" s="616" t="e">
        <f t="shared" si="1058"/>
        <v>#N/A</v>
      </c>
      <c r="BV848" s="616" t="e">
        <f t="shared" si="1058"/>
        <v>#N/A</v>
      </c>
      <c r="BW848" s="616" t="e">
        <f t="shared" si="1058"/>
        <v>#N/A</v>
      </c>
      <c r="BX848" s="616" t="e">
        <f t="shared" si="1058"/>
        <v>#N/A</v>
      </c>
      <c r="BY848" s="616" t="e">
        <f t="shared" si="1058"/>
        <v>#N/A</v>
      </c>
      <c r="BZ848" s="616" t="e">
        <f t="shared" si="1058"/>
        <v>#N/A</v>
      </c>
      <c r="CA848" s="616" t="e">
        <f t="shared" si="1058"/>
        <v>#N/A</v>
      </c>
      <c r="CB848" s="616" t="e">
        <f t="shared" si="1058"/>
        <v>#N/A</v>
      </c>
      <c r="CC848" s="616" t="e">
        <f t="shared" si="1058"/>
        <v>#N/A</v>
      </c>
      <c r="CD848" s="616" t="e">
        <f t="shared" si="1058"/>
        <v>#N/A</v>
      </c>
      <c r="CE848" s="616" t="e">
        <f t="shared" si="1058"/>
        <v>#N/A</v>
      </c>
      <c r="CF848" s="616" t="e">
        <f t="shared" si="1058"/>
        <v>#N/A</v>
      </c>
      <c r="CG848" s="616" t="e">
        <f t="shared" si="1058"/>
        <v>#N/A</v>
      </c>
      <c r="CH848" s="616" t="e">
        <f t="shared" ref="CH848:CN848" si="1059">CH847*$P$374/100</f>
        <v>#N/A</v>
      </c>
      <c r="CI848" s="616" t="e">
        <f t="shared" si="1059"/>
        <v>#N/A</v>
      </c>
      <c r="CJ848" s="616" t="e">
        <f t="shared" si="1059"/>
        <v>#N/A</v>
      </c>
      <c r="CK848" s="616" t="e">
        <f t="shared" si="1059"/>
        <v>#N/A</v>
      </c>
      <c r="CL848" s="616" t="e">
        <f t="shared" si="1059"/>
        <v>#N/A</v>
      </c>
      <c r="CM848" s="616" t="e">
        <f t="shared" si="1059"/>
        <v>#N/A</v>
      </c>
      <c r="CN848" s="616" t="e">
        <f t="shared" si="1059"/>
        <v>#N/A</v>
      </c>
    </row>
    <row r="849" spans="8:92">
      <c r="H849" s="602" t="s">
        <v>940</v>
      </c>
      <c r="L849" s="618"/>
      <c r="M849" s="600"/>
      <c r="N849" s="615"/>
      <c r="O849" s="615"/>
      <c r="P849" s="615"/>
      <c r="Q849" s="615"/>
      <c r="R849" s="615"/>
      <c r="S849" s="615"/>
      <c r="U849" s="616"/>
      <c r="V849" s="616"/>
      <c r="W849" s="616"/>
      <c r="X849" s="616"/>
      <c r="Y849" s="616"/>
      <c r="Z849" s="616"/>
      <c r="AA849" s="616"/>
      <c r="AB849" s="616"/>
      <c r="AC849" s="616"/>
      <c r="AD849" s="616"/>
      <c r="AE849" s="616"/>
      <c r="AF849" s="616"/>
      <c r="AG849" s="616"/>
      <c r="AH849" s="616"/>
      <c r="AI849" s="616"/>
      <c r="AJ849" s="616"/>
      <c r="AK849" s="616"/>
      <c r="AL849" s="616"/>
      <c r="AM849" s="616"/>
      <c r="AN849" s="616"/>
      <c r="AO849" s="616"/>
      <c r="AP849" s="616"/>
      <c r="AQ849" s="616"/>
      <c r="AR849" s="616"/>
      <c r="AS849" s="616"/>
      <c r="AT849" s="616"/>
      <c r="AU849" s="616"/>
      <c r="AV849" s="616"/>
      <c r="AW849" s="616"/>
      <c r="AX849" s="616"/>
      <c r="AY849" s="616"/>
      <c r="AZ849" s="616"/>
      <c r="BA849" s="616"/>
      <c r="BB849" s="616"/>
      <c r="BC849" s="616"/>
      <c r="BD849" s="616"/>
      <c r="BE849" s="616"/>
      <c r="BF849" s="616"/>
      <c r="BG849" s="616"/>
      <c r="BH849" s="616"/>
      <c r="BI849" s="616"/>
      <c r="BJ849" s="616"/>
      <c r="BK849" s="616"/>
      <c r="BL849" s="616"/>
      <c r="BM849" s="616"/>
      <c r="BN849" s="616"/>
      <c r="BO849" s="616"/>
      <c r="BP849" s="616"/>
      <c r="BQ849" s="616"/>
      <c r="BR849" s="616"/>
      <c r="BS849" s="616"/>
      <c r="BT849" s="616"/>
      <c r="BU849" s="616"/>
      <c r="BV849" s="616"/>
      <c r="BW849" s="616"/>
      <c r="BX849" s="616"/>
      <c r="BY849" s="616"/>
      <c r="BZ849" s="616"/>
      <c r="CA849" s="616"/>
      <c r="CB849" s="616"/>
      <c r="CC849" s="616"/>
      <c r="CD849" s="616"/>
      <c r="CE849" s="616"/>
      <c r="CF849" s="616"/>
      <c r="CG849" s="616"/>
      <c r="CH849" s="616"/>
      <c r="CI849" s="616"/>
      <c r="CJ849" s="616"/>
      <c r="CK849" s="616"/>
      <c r="CL849" s="616"/>
      <c r="CM849" s="616"/>
      <c r="CN849" s="616"/>
    </row>
    <row r="850" spans="8:92">
      <c r="H850" s="602" t="s">
        <v>940</v>
      </c>
      <c r="L850" s="618" t="s">
        <v>1305</v>
      </c>
      <c r="M850" s="600" t="s">
        <v>974</v>
      </c>
      <c r="N850" s="615" t="e">
        <f>SUM(U850:AF850)</f>
        <v>#N/A</v>
      </c>
      <c r="O850" s="615" t="e">
        <f>SUM(AG850:AR850)</f>
        <v>#N/A</v>
      </c>
      <c r="P850" s="615" t="e">
        <f>SUM(AS850:BD850)</f>
        <v>#N/A</v>
      </c>
      <c r="Q850" s="615" t="e">
        <f>SUM(BE850:BP850)</f>
        <v>#N/A</v>
      </c>
      <c r="R850" s="615" t="e">
        <f>SUM(BQ850:CB850)</f>
        <v>#N/A</v>
      </c>
      <c r="S850" s="615" t="e">
        <f>SUM(CC850:CN850)</f>
        <v>#N/A</v>
      </c>
      <c r="U850" s="616" t="e">
        <f>SUM(U847:U848)</f>
        <v>#N/A</v>
      </c>
      <c r="V850" s="616" t="e">
        <f t="shared" ref="V850:CG850" si="1060">SUM(V847:V848)</f>
        <v>#N/A</v>
      </c>
      <c r="W850" s="616" t="e">
        <f t="shared" si="1060"/>
        <v>#N/A</v>
      </c>
      <c r="X850" s="616" t="e">
        <f t="shared" si="1060"/>
        <v>#N/A</v>
      </c>
      <c r="Y850" s="616" t="e">
        <f t="shared" si="1060"/>
        <v>#N/A</v>
      </c>
      <c r="Z850" s="616" t="e">
        <f t="shared" si="1060"/>
        <v>#N/A</v>
      </c>
      <c r="AA850" s="616" t="e">
        <f t="shared" si="1060"/>
        <v>#N/A</v>
      </c>
      <c r="AB850" s="616" t="e">
        <f t="shared" si="1060"/>
        <v>#N/A</v>
      </c>
      <c r="AC850" s="616" t="e">
        <f t="shared" si="1060"/>
        <v>#N/A</v>
      </c>
      <c r="AD850" s="616" t="e">
        <f t="shared" si="1060"/>
        <v>#N/A</v>
      </c>
      <c r="AE850" s="616" t="e">
        <f t="shared" si="1060"/>
        <v>#N/A</v>
      </c>
      <c r="AF850" s="616" t="e">
        <f t="shared" si="1060"/>
        <v>#N/A</v>
      </c>
      <c r="AG850" s="616" t="e">
        <f t="shared" si="1060"/>
        <v>#N/A</v>
      </c>
      <c r="AH850" s="616" t="e">
        <f t="shared" si="1060"/>
        <v>#N/A</v>
      </c>
      <c r="AI850" s="616" t="e">
        <f t="shared" si="1060"/>
        <v>#N/A</v>
      </c>
      <c r="AJ850" s="616" t="e">
        <f t="shared" si="1060"/>
        <v>#N/A</v>
      </c>
      <c r="AK850" s="616" t="e">
        <f t="shared" si="1060"/>
        <v>#N/A</v>
      </c>
      <c r="AL850" s="616" t="e">
        <f t="shared" si="1060"/>
        <v>#N/A</v>
      </c>
      <c r="AM850" s="616" t="e">
        <f t="shared" si="1060"/>
        <v>#N/A</v>
      </c>
      <c r="AN850" s="616" t="e">
        <f t="shared" si="1060"/>
        <v>#N/A</v>
      </c>
      <c r="AO850" s="616" t="e">
        <f t="shared" si="1060"/>
        <v>#N/A</v>
      </c>
      <c r="AP850" s="616" t="e">
        <f t="shared" si="1060"/>
        <v>#N/A</v>
      </c>
      <c r="AQ850" s="616" t="e">
        <f t="shared" si="1060"/>
        <v>#N/A</v>
      </c>
      <c r="AR850" s="616" t="e">
        <f t="shared" si="1060"/>
        <v>#N/A</v>
      </c>
      <c r="AS850" s="616" t="e">
        <f t="shared" si="1060"/>
        <v>#N/A</v>
      </c>
      <c r="AT850" s="616" t="e">
        <f t="shared" si="1060"/>
        <v>#N/A</v>
      </c>
      <c r="AU850" s="616" t="e">
        <f t="shared" si="1060"/>
        <v>#N/A</v>
      </c>
      <c r="AV850" s="616" t="e">
        <f t="shared" si="1060"/>
        <v>#N/A</v>
      </c>
      <c r="AW850" s="616" t="e">
        <f t="shared" si="1060"/>
        <v>#N/A</v>
      </c>
      <c r="AX850" s="616" t="e">
        <f t="shared" si="1060"/>
        <v>#N/A</v>
      </c>
      <c r="AY850" s="616" t="e">
        <f t="shared" si="1060"/>
        <v>#N/A</v>
      </c>
      <c r="AZ850" s="616" t="e">
        <f t="shared" si="1060"/>
        <v>#N/A</v>
      </c>
      <c r="BA850" s="616" t="e">
        <f t="shared" si="1060"/>
        <v>#N/A</v>
      </c>
      <c r="BB850" s="616" t="e">
        <f t="shared" si="1060"/>
        <v>#N/A</v>
      </c>
      <c r="BC850" s="616" t="e">
        <f t="shared" si="1060"/>
        <v>#N/A</v>
      </c>
      <c r="BD850" s="616" t="e">
        <f t="shared" si="1060"/>
        <v>#N/A</v>
      </c>
      <c r="BE850" s="616" t="e">
        <f t="shared" si="1060"/>
        <v>#N/A</v>
      </c>
      <c r="BF850" s="616" t="e">
        <f t="shared" si="1060"/>
        <v>#N/A</v>
      </c>
      <c r="BG850" s="616" t="e">
        <f t="shared" si="1060"/>
        <v>#N/A</v>
      </c>
      <c r="BH850" s="616" t="e">
        <f t="shared" si="1060"/>
        <v>#N/A</v>
      </c>
      <c r="BI850" s="616" t="e">
        <f t="shared" si="1060"/>
        <v>#N/A</v>
      </c>
      <c r="BJ850" s="616" t="e">
        <f t="shared" si="1060"/>
        <v>#N/A</v>
      </c>
      <c r="BK850" s="616" t="e">
        <f t="shared" si="1060"/>
        <v>#N/A</v>
      </c>
      <c r="BL850" s="616" t="e">
        <f t="shared" si="1060"/>
        <v>#N/A</v>
      </c>
      <c r="BM850" s="616" t="e">
        <f t="shared" si="1060"/>
        <v>#N/A</v>
      </c>
      <c r="BN850" s="616" t="e">
        <f t="shared" si="1060"/>
        <v>#N/A</v>
      </c>
      <c r="BO850" s="616" t="e">
        <f t="shared" si="1060"/>
        <v>#N/A</v>
      </c>
      <c r="BP850" s="616" t="e">
        <f t="shared" si="1060"/>
        <v>#N/A</v>
      </c>
      <c r="BQ850" s="616" t="e">
        <f t="shared" si="1060"/>
        <v>#N/A</v>
      </c>
      <c r="BR850" s="616" t="e">
        <f t="shared" si="1060"/>
        <v>#N/A</v>
      </c>
      <c r="BS850" s="616" t="e">
        <f t="shared" si="1060"/>
        <v>#N/A</v>
      </c>
      <c r="BT850" s="616" t="e">
        <f t="shared" si="1060"/>
        <v>#N/A</v>
      </c>
      <c r="BU850" s="616" t="e">
        <f t="shared" si="1060"/>
        <v>#N/A</v>
      </c>
      <c r="BV850" s="616" t="e">
        <f t="shared" si="1060"/>
        <v>#N/A</v>
      </c>
      <c r="BW850" s="616" t="e">
        <f t="shared" si="1060"/>
        <v>#N/A</v>
      </c>
      <c r="BX850" s="616" t="e">
        <f t="shared" si="1060"/>
        <v>#N/A</v>
      </c>
      <c r="BY850" s="616" t="e">
        <f t="shared" si="1060"/>
        <v>#N/A</v>
      </c>
      <c r="BZ850" s="616" t="e">
        <f t="shared" si="1060"/>
        <v>#N/A</v>
      </c>
      <c r="CA850" s="616" t="e">
        <f t="shared" si="1060"/>
        <v>#N/A</v>
      </c>
      <c r="CB850" s="616" t="e">
        <f t="shared" si="1060"/>
        <v>#N/A</v>
      </c>
      <c r="CC850" s="616" t="e">
        <f t="shared" si="1060"/>
        <v>#N/A</v>
      </c>
      <c r="CD850" s="616" t="e">
        <f t="shared" si="1060"/>
        <v>#N/A</v>
      </c>
      <c r="CE850" s="616" t="e">
        <f t="shared" si="1060"/>
        <v>#N/A</v>
      </c>
      <c r="CF850" s="616" t="e">
        <f t="shared" si="1060"/>
        <v>#N/A</v>
      </c>
      <c r="CG850" s="616" t="e">
        <f t="shared" si="1060"/>
        <v>#N/A</v>
      </c>
      <c r="CH850" s="616" t="e">
        <f t="shared" ref="CH850:CN850" si="1061">SUM(CH847:CH848)</f>
        <v>#N/A</v>
      </c>
      <c r="CI850" s="616" t="e">
        <f t="shared" si="1061"/>
        <v>#N/A</v>
      </c>
      <c r="CJ850" s="616" t="e">
        <f t="shared" si="1061"/>
        <v>#N/A</v>
      </c>
      <c r="CK850" s="616" t="e">
        <f t="shared" si="1061"/>
        <v>#N/A</v>
      </c>
      <c r="CL850" s="616" t="e">
        <f t="shared" si="1061"/>
        <v>#N/A</v>
      </c>
      <c r="CM850" s="616" t="e">
        <f t="shared" si="1061"/>
        <v>#N/A</v>
      </c>
      <c r="CN850" s="616" t="e">
        <f t="shared" si="1061"/>
        <v>#N/A</v>
      </c>
    </row>
    <row r="851" spans="8:92" ht="13.5" thickBot="1">
      <c r="H851" s="602" t="s">
        <v>940</v>
      </c>
    </row>
    <row r="852" spans="8:92" ht="13.5" thickTop="1">
      <c r="H852" s="602" t="s">
        <v>940</v>
      </c>
      <c r="L852" s="757" t="s">
        <v>1320</v>
      </c>
      <c r="M852" s="758"/>
      <c r="N852" s="758"/>
      <c r="O852" s="758"/>
      <c r="P852" s="758"/>
      <c r="Q852" s="758"/>
      <c r="R852" s="758"/>
      <c r="S852" s="758"/>
      <c r="T852" s="758"/>
      <c r="U852" s="758"/>
      <c r="V852" s="758"/>
      <c r="W852" s="758"/>
      <c r="X852" s="758"/>
      <c r="Y852" s="758"/>
      <c r="Z852" s="758"/>
      <c r="AA852" s="758"/>
      <c r="AB852" s="758"/>
      <c r="AC852" s="758"/>
      <c r="AD852" s="758"/>
      <c r="AE852" s="758"/>
      <c r="AF852" s="758"/>
      <c r="AG852" s="758"/>
      <c r="AH852" s="758"/>
      <c r="AI852" s="758"/>
      <c r="AJ852" s="758"/>
      <c r="AK852" s="758"/>
      <c r="AL852" s="758"/>
      <c r="AM852" s="758"/>
      <c r="AN852" s="758"/>
      <c r="AO852" s="758"/>
      <c r="AP852" s="758"/>
      <c r="AQ852" s="758"/>
      <c r="AR852" s="758"/>
      <c r="AS852" s="758"/>
      <c r="AT852" s="758"/>
      <c r="AU852" s="758"/>
      <c r="AV852" s="758"/>
      <c r="AW852" s="758"/>
      <c r="AX852" s="758"/>
      <c r="AY852" s="758"/>
      <c r="AZ852" s="758"/>
      <c r="BA852" s="758"/>
      <c r="BB852" s="758"/>
      <c r="BC852" s="758"/>
      <c r="BD852" s="758"/>
      <c r="BE852" s="758"/>
      <c r="BF852" s="758"/>
      <c r="BG852" s="758"/>
      <c r="BH852" s="758"/>
      <c r="BI852" s="758"/>
      <c r="BJ852" s="758"/>
      <c r="BK852" s="758"/>
      <c r="BL852" s="758"/>
      <c r="BM852" s="758"/>
      <c r="BN852" s="758"/>
      <c r="BO852" s="758"/>
      <c r="BP852" s="758"/>
      <c r="BQ852" s="758"/>
      <c r="BR852" s="758"/>
      <c r="BS852" s="758"/>
      <c r="BT852" s="758"/>
      <c r="BU852" s="758"/>
      <c r="BV852" s="758"/>
      <c r="BW852" s="758"/>
      <c r="BX852" s="758"/>
      <c r="BY852" s="758"/>
      <c r="BZ852" s="758"/>
      <c r="CA852" s="758"/>
      <c r="CB852" s="758"/>
      <c r="CC852" s="758"/>
      <c r="CD852" s="758"/>
      <c r="CE852" s="758"/>
      <c r="CF852" s="758"/>
      <c r="CG852" s="758"/>
      <c r="CH852" s="758"/>
      <c r="CI852" s="758"/>
      <c r="CJ852" s="758"/>
      <c r="CK852" s="758"/>
      <c r="CL852" s="758"/>
      <c r="CM852" s="758"/>
      <c r="CN852" s="758"/>
    </row>
    <row r="853" spans="8:92">
      <c r="H853" s="602" t="s">
        <v>940</v>
      </c>
      <c r="L853" s="609"/>
      <c r="M853" s="609" t="s">
        <v>359</v>
      </c>
      <c r="N853" s="704" t="s">
        <v>929</v>
      </c>
      <c r="O853" s="704" t="s">
        <v>1193</v>
      </c>
      <c r="P853" s="704" t="s">
        <v>1194</v>
      </c>
      <c r="Q853" s="704" t="s">
        <v>1195</v>
      </c>
      <c r="R853" s="704" t="s">
        <v>1196</v>
      </c>
      <c r="S853" s="704" t="s">
        <v>1197</v>
      </c>
      <c r="T853" s="753"/>
      <c r="U853" s="692" t="s">
        <v>929</v>
      </c>
      <c r="AF853" s="753"/>
      <c r="AG853" s="704" t="s">
        <v>1193</v>
      </c>
      <c r="AR853" s="753"/>
      <c r="AS853" s="704" t="s">
        <v>1194</v>
      </c>
      <c r="BD853" s="753"/>
      <c r="BE853" s="704" t="s">
        <v>1195</v>
      </c>
      <c r="BP853" s="753"/>
      <c r="BQ853" s="704" t="s">
        <v>1196</v>
      </c>
      <c r="CB853" s="753"/>
      <c r="CC853" s="704" t="s">
        <v>1197</v>
      </c>
    </row>
    <row r="854" spans="8:92">
      <c r="H854" s="602" t="s">
        <v>940</v>
      </c>
      <c r="L854" s="611"/>
      <c r="M854" s="611"/>
      <c r="N854" s="754" t="s">
        <v>405</v>
      </c>
      <c r="O854" s="754" t="s">
        <v>405</v>
      </c>
      <c r="P854" s="754" t="s">
        <v>405</v>
      </c>
      <c r="Q854" s="754" t="s">
        <v>405</v>
      </c>
      <c r="R854" s="754" t="s">
        <v>405</v>
      </c>
      <c r="S854" s="754" t="s">
        <v>405</v>
      </c>
      <c r="T854" s="755"/>
      <c r="U854" s="754" t="s">
        <v>1259</v>
      </c>
      <c r="V854" s="754" t="s">
        <v>1260</v>
      </c>
      <c r="W854" s="754" t="s">
        <v>1261</v>
      </c>
      <c r="X854" s="754" t="s">
        <v>1262</v>
      </c>
      <c r="Y854" s="754" t="s">
        <v>947</v>
      </c>
      <c r="Z854" s="754" t="s">
        <v>1263</v>
      </c>
      <c r="AA854" s="754" t="s">
        <v>1264</v>
      </c>
      <c r="AB854" s="754" t="s">
        <v>1265</v>
      </c>
      <c r="AC854" s="754" t="s">
        <v>1266</v>
      </c>
      <c r="AD854" s="754" t="s">
        <v>1267</v>
      </c>
      <c r="AE854" s="754" t="s">
        <v>1268</v>
      </c>
      <c r="AF854" s="756" t="s">
        <v>1269</v>
      </c>
      <c r="AG854" s="754" t="s">
        <v>1259</v>
      </c>
      <c r="AH854" s="754" t="s">
        <v>1260</v>
      </c>
      <c r="AI854" s="754" t="s">
        <v>1261</v>
      </c>
      <c r="AJ854" s="754" t="s">
        <v>1262</v>
      </c>
      <c r="AK854" s="754" t="s">
        <v>947</v>
      </c>
      <c r="AL854" s="754" t="s">
        <v>1263</v>
      </c>
      <c r="AM854" s="754" t="s">
        <v>1264</v>
      </c>
      <c r="AN854" s="754" t="s">
        <v>1265</v>
      </c>
      <c r="AO854" s="754" t="s">
        <v>1266</v>
      </c>
      <c r="AP854" s="754" t="s">
        <v>1267</v>
      </c>
      <c r="AQ854" s="754" t="s">
        <v>1268</v>
      </c>
      <c r="AR854" s="756" t="s">
        <v>1269</v>
      </c>
      <c r="AS854" s="754" t="s">
        <v>1259</v>
      </c>
      <c r="AT854" s="754" t="s">
        <v>1260</v>
      </c>
      <c r="AU854" s="754" t="s">
        <v>1261</v>
      </c>
      <c r="AV854" s="754" t="s">
        <v>1262</v>
      </c>
      <c r="AW854" s="754" t="s">
        <v>947</v>
      </c>
      <c r="AX854" s="754" t="s">
        <v>1263</v>
      </c>
      <c r="AY854" s="754" t="s">
        <v>1264</v>
      </c>
      <c r="AZ854" s="754" t="s">
        <v>1265</v>
      </c>
      <c r="BA854" s="754" t="s">
        <v>1266</v>
      </c>
      <c r="BB854" s="754" t="s">
        <v>1267</v>
      </c>
      <c r="BC854" s="754" t="s">
        <v>1268</v>
      </c>
      <c r="BD854" s="756" t="s">
        <v>1269</v>
      </c>
      <c r="BE854" s="754" t="s">
        <v>1259</v>
      </c>
      <c r="BF854" s="754" t="s">
        <v>1260</v>
      </c>
      <c r="BG854" s="754" t="s">
        <v>1261</v>
      </c>
      <c r="BH854" s="754" t="s">
        <v>1262</v>
      </c>
      <c r="BI854" s="754" t="s">
        <v>947</v>
      </c>
      <c r="BJ854" s="754" t="s">
        <v>1263</v>
      </c>
      <c r="BK854" s="754" t="s">
        <v>1264</v>
      </c>
      <c r="BL854" s="754" t="s">
        <v>1265</v>
      </c>
      <c r="BM854" s="754" t="s">
        <v>1266</v>
      </c>
      <c r="BN854" s="754" t="s">
        <v>1267</v>
      </c>
      <c r="BO854" s="754" t="s">
        <v>1268</v>
      </c>
      <c r="BP854" s="756" t="s">
        <v>1269</v>
      </c>
      <c r="BQ854" s="754" t="s">
        <v>1259</v>
      </c>
      <c r="BR854" s="754" t="s">
        <v>1260</v>
      </c>
      <c r="BS854" s="754" t="s">
        <v>1261</v>
      </c>
      <c r="BT854" s="754" t="s">
        <v>1262</v>
      </c>
      <c r="BU854" s="754" t="s">
        <v>947</v>
      </c>
      <c r="BV854" s="754" t="s">
        <v>1263</v>
      </c>
      <c r="BW854" s="754" t="s">
        <v>1264</v>
      </c>
      <c r="BX854" s="754" t="s">
        <v>1265</v>
      </c>
      <c r="BY854" s="754" t="s">
        <v>1266</v>
      </c>
      <c r="BZ854" s="754" t="s">
        <v>1267</v>
      </c>
      <c r="CA854" s="754" t="s">
        <v>1268</v>
      </c>
      <c r="CB854" s="756" t="s">
        <v>1269</v>
      </c>
      <c r="CC854" s="754" t="s">
        <v>1259</v>
      </c>
      <c r="CD854" s="754" t="s">
        <v>1260</v>
      </c>
      <c r="CE854" s="754" t="s">
        <v>1261</v>
      </c>
      <c r="CF854" s="754" t="s">
        <v>1262</v>
      </c>
      <c r="CG854" s="754" t="s">
        <v>947</v>
      </c>
      <c r="CH854" s="754" t="s">
        <v>1263</v>
      </c>
      <c r="CI854" s="754" t="s">
        <v>1264</v>
      </c>
      <c r="CJ854" s="754" t="s">
        <v>1265</v>
      </c>
      <c r="CK854" s="754" t="s">
        <v>1266</v>
      </c>
      <c r="CL854" s="754" t="s">
        <v>1267</v>
      </c>
      <c r="CM854" s="754" t="s">
        <v>1268</v>
      </c>
      <c r="CN854" s="754" t="s">
        <v>1269</v>
      </c>
    </row>
    <row r="855" spans="8:92">
      <c r="H855" s="602" t="s">
        <v>940</v>
      </c>
    </row>
    <row r="856" spans="8:92">
      <c r="H856" s="602" t="s">
        <v>940</v>
      </c>
      <c r="L856" s="618" t="s">
        <v>1290</v>
      </c>
      <c r="M856" s="600" t="s">
        <v>1204</v>
      </c>
      <c r="N856" s="615" t="e">
        <f>SUM(U856:AF856)</f>
        <v>#N/A</v>
      </c>
      <c r="O856" s="615" t="e">
        <f>SUM(AG856:AR856)</f>
        <v>#N/A</v>
      </c>
      <c r="P856" s="615" t="e">
        <f>SUM(AS856:BD856)</f>
        <v>#N/A</v>
      </c>
      <c r="Q856" s="615" t="e">
        <f>SUM(BE856:BP856)</f>
        <v>#N/A</v>
      </c>
      <c r="R856" s="615" t="e">
        <f>SUM(BQ856:CB856)</f>
        <v>#N/A</v>
      </c>
      <c r="S856" s="615" t="e">
        <f>SUM(CC856:CN856)</f>
        <v>#N/A</v>
      </c>
      <c r="U856" s="616" t="e">
        <f>U507</f>
        <v>#N/A</v>
      </c>
      <c r="V856" s="616" t="e">
        <f t="shared" ref="V856:CG856" si="1062">V507</f>
        <v>#N/A</v>
      </c>
      <c r="W856" s="616" t="e">
        <f t="shared" si="1062"/>
        <v>#N/A</v>
      </c>
      <c r="X856" s="616" t="e">
        <f t="shared" si="1062"/>
        <v>#N/A</v>
      </c>
      <c r="Y856" s="616" t="e">
        <f t="shared" si="1062"/>
        <v>#N/A</v>
      </c>
      <c r="Z856" s="616" t="e">
        <f t="shared" si="1062"/>
        <v>#N/A</v>
      </c>
      <c r="AA856" s="616" t="e">
        <f t="shared" si="1062"/>
        <v>#N/A</v>
      </c>
      <c r="AB856" s="616" t="e">
        <f t="shared" si="1062"/>
        <v>#N/A</v>
      </c>
      <c r="AC856" s="616" t="e">
        <f t="shared" si="1062"/>
        <v>#N/A</v>
      </c>
      <c r="AD856" s="616" t="e">
        <f t="shared" si="1062"/>
        <v>#N/A</v>
      </c>
      <c r="AE856" s="616" t="e">
        <f t="shared" si="1062"/>
        <v>#N/A</v>
      </c>
      <c r="AF856" s="616" t="e">
        <f t="shared" si="1062"/>
        <v>#N/A</v>
      </c>
      <c r="AG856" s="616" t="e">
        <f t="shared" si="1062"/>
        <v>#N/A</v>
      </c>
      <c r="AH856" s="616" t="e">
        <f t="shared" si="1062"/>
        <v>#N/A</v>
      </c>
      <c r="AI856" s="616" t="e">
        <f t="shared" si="1062"/>
        <v>#N/A</v>
      </c>
      <c r="AJ856" s="616" t="e">
        <f t="shared" si="1062"/>
        <v>#N/A</v>
      </c>
      <c r="AK856" s="616" t="e">
        <f t="shared" si="1062"/>
        <v>#N/A</v>
      </c>
      <c r="AL856" s="616" t="e">
        <f t="shared" si="1062"/>
        <v>#N/A</v>
      </c>
      <c r="AM856" s="616" t="e">
        <f t="shared" si="1062"/>
        <v>#N/A</v>
      </c>
      <c r="AN856" s="616" t="e">
        <f t="shared" si="1062"/>
        <v>#N/A</v>
      </c>
      <c r="AO856" s="616" t="e">
        <f t="shared" si="1062"/>
        <v>#N/A</v>
      </c>
      <c r="AP856" s="616" t="e">
        <f t="shared" si="1062"/>
        <v>#N/A</v>
      </c>
      <c r="AQ856" s="616" t="e">
        <f t="shared" si="1062"/>
        <v>#N/A</v>
      </c>
      <c r="AR856" s="616" t="e">
        <f t="shared" si="1062"/>
        <v>#N/A</v>
      </c>
      <c r="AS856" s="616" t="e">
        <f t="shared" si="1062"/>
        <v>#N/A</v>
      </c>
      <c r="AT856" s="616" t="e">
        <f t="shared" si="1062"/>
        <v>#N/A</v>
      </c>
      <c r="AU856" s="616" t="e">
        <f t="shared" si="1062"/>
        <v>#N/A</v>
      </c>
      <c r="AV856" s="616" t="e">
        <f t="shared" si="1062"/>
        <v>#N/A</v>
      </c>
      <c r="AW856" s="616" t="e">
        <f t="shared" si="1062"/>
        <v>#N/A</v>
      </c>
      <c r="AX856" s="616" t="e">
        <f t="shared" si="1062"/>
        <v>#N/A</v>
      </c>
      <c r="AY856" s="616" t="e">
        <f t="shared" si="1062"/>
        <v>#N/A</v>
      </c>
      <c r="AZ856" s="616" t="e">
        <f t="shared" si="1062"/>
        <v>#N/A</v>
      </c>
      <c r="BA856" s="616" t="e">
        <f t="shared" si="1062"/>
        <v>#N/A</v>
      </c>
      <c r="BB856" s="616" t="e">
        <f t="shared" si="1062"/>
        <v>#N/A</v>
      </c>
      <c r="BC856" s="616" t="e">
        <f t="shared" si="1062"/>
        <v>#N/A</v>
      </c>
      <c r="BD856" s="616" t="e">
        <f t="shared" si="1062"/>
        <v>#N/A</v>
      </c>
      <c r="BE856" s="616" t="e">
        <f t="shared" si="1062"/>
        <v>#N/A</v>
      </c>
      <c r="BF856" s="616" t="e">
        <f t="shared" si="1062"/>
        <v>#N/A</v>
      </c>
      <c r="BG856" s="616" t="e">
        <f t="shared" si="1062"/>
        <v>#N/A</v>
      </c>
      <c r="BH856" s="616" t="e">
        <f t="shared" si="1062"/>
        <v>#N/A</v>
      </c>
      <c r="BI856" s="616" t="e">
        <f t="shared" si="1062"/>
        <v>#N/A</v>
      </c>
      <c r="BJ856" s="616" t="e">
        <f t="shared" si="1062"/>
        <v>#N/A</v>
      </c>
      <c r="BK856" s="616" t="e">
        <f t="shared" si="1062"/>
        <v>#N/A</v>
      </c>
      <c r="BL856" s="616" t="e">
        <f t="shared" si="1062"/>
        <v>#N/A</v>
      </c>
      <c r="BM856" s="616" t="e">
        <f t="shared" si="1062"/>
        <v>#N/A</v>
      </c>
      <c r="BN856" s="616" t="e">
        <f t="shared" si="1062"/>
        <v>#N/A</v>
      </c>
      <c r="BO856" s="616" t="e">
        <f t="shared" si="1062"/>
        <v>#N/A</v>
      </c>
      <c r="BP856" s="616" t="e">
        <f t="shared" si="1062"/>
        <v>#N/A</v>
      </c>
      <c r="BQ856" s="616" t="e">
        <f t="shared" si="1062"/>
        <v>#N/A</v>
      </c>
      <c r="BR856" s="616" t="e">
        <f t="shared" si="1062"/>
        <v>#N/A</v>
      </c>
      <c r="BS856" s="616" t="e">
        <f t="shared" si="1062"/>
        <v>#N/A</v>
      </c>
      <c r="BT856" s="616" t="e">
        <f t="shared" si="1062"/>
        <v>#N/A</v>
      </c>
      <c r="BU856" s="616" t="e">
        <f t="shared" si="1062"/>
        <v>#N/A</v>
      </c>
      <c r="BV856" s="616" t="e">
        <f t="shared" si="1062"/>
        <v>#N/A</v>
      </c>
      <c r="BW856" s="616" t="e">
        <f t="shared" si="1062"/>
        <v>#N/A</v>
      </c>
      <c r="BX856" s="616" t="e">
        <f t="shared" si="1062"/>
        <v>#N/A</v>
      </c>
      <c r="BY856" s="616" t="e">
        <f t="shared" si="1062"/>
        <v>#N/A</v>
      </c>
      <c r="BZ856" s="616" t="e">
        <f t="shared" si="1062"/>
        <v>#N/A</v>
      </c>
      <c r="CA856" s="616" t="e">
        <f t="shared" si="1062"/>
        <v>#N/A</v>
      </c>
      <c r="CB856" s="616" t="e">
        <f t="shared" si="1062"/>
        <v>#N/A</v>
      </c>
      <c r="CC856" s="616" t="e">
        <f t="shared" si="1062"/>
        <v>#N/A</v>
      </c>
      <c r="CD856" s="616" t="e">
        <f t="shared" si="1062"/>
        <v>#N/A</v>
      </c>
      <c r="CE856" s="616" t="e">
        <f t="shared" si="1062"/>
        <v>#N/A</v>
      </c>
      <c r="CF856" s="616" t="e">
        <f t="shared" si="1062"/>
        <v>#N/A</v>
      </c>
      <c r="CG856" s="616" t="e">
        <f t="shared" si="1062"/>
        <v>#N/A</v>
      </c>
      <c r="CH856" s="616" t="e">
        <f t="shared" ref="CH856:CN856" si="1063">CH507</f>
        <v>#N/A</v>
      </c>
      <c r="CI856" s="616" t="e">
        <f t="shared" si="1063"/>
        <v>#N/A</v>
      </c>
      <c r="CJ856" s="616" t="e">
        <f t="shared" si="1063"/>
        <v>#N/A</v>
      </c>
      <c r="CK856" s="616" t="e">
        <f t="shared" si="1063"/>
        <v>#N/A</v>
      </c>
      <c r="CL856" s="616" t="e">
        <f t="shared" si="1063"/>
        <v>#N/A</v>
      </c>
      <c r="CM856" s="616" t="e">
        <f t="shared" si="1063"/>
        <v>#N/A</v>
      </c>
      <c r="CN856" s="616" t="e">
        <f t="shared" si="1063"/>
        <v>#N/A</v>
      </c>
    </row>
    <row r="857" spans="8:92">
      <c r="H857" s="602" t="s">
        <v>940</v>
      </c>
      <c r="L857" s="609"/>
      <c r="N857" s="615"/>
      <c r="O857" s="615"/>
      <c r="P857" s="615"/>
      <c r="Q857" s="615"/>
      <c r="R857" s="615"/>
      <c r="S857" s="615"/>
    </row>
    <row r="858" spans="8:92">
      <c r="H858" s="602" t="s">
        <v>940</v>
      </c>
      <c r="L858" s="618" t="s">
        <v>1296</v>
      </c>
      <c r="M858" s="600" t="s">
        <v>1204</v>
      </c>
      <c r="N858" s="615" t="e">
        <f>SUM(U858:AF858)</f>
        <v>#N/A</v>
      </c>
      <c r="O858" s="615" t="e">
        <f>SUM(AG858:AR858)</f>
        <v>#N/A</v>
      </c>
      <c r="P858" s="615" t="e">
        <f>SUM(AS858:BD858)</f>
        <v>#N/A</v>
      </c>
      <c r="Q858" s="615" t="e">
        <f>SUM(BE858:BP858)</f>
        <v>#N/A</v>
      </c>
      <c r="R858" s="615" t="e">
        <f>SUM(BQ858:CB858)</f>
        <v>#N/A</v>
      </c>
      <c r="S858" s="615" t="e">
        <f>SUM(CC858:CN858)</f>
        <v>#N/A</v>
      </c>
      <c r="U858" s="616" t="e">
        <f>MIN(U856,$P$386)</f>
        <v>#N/A</v>
      </c>
      <c r="V858" s="616" t="e">
        <f t="shared" ref="V858:CG858" si="1064">MIN(V856,$P$386)</f>
        <v>#N/A</v>
      </c>
      <c r="W858" s="616" t="e">
        <f t="shared" si="1064"/>
        <v>#N/A</v>
      </c>
      <c r="X858" s="616" t="e">
        <f t="shared" si="1064"/>
        <v>#N/A</v>
      </c>
      <c r="Y858" s="616" t="e">
        <f t="shared" si="1064"/>
        <v>#N/A</v>
      </c>
      <c r="Z858" s="616" t="e">
        <f t="shared" si="1064"/>
        <v>#N/A</v>
      </c>
      <c r="AA858" s="616" t="e">
        <f t="shared" si="1064"/>
        <v>#N/A</v>
      </c>
      <c r="AB858" s="616" t="e">
        <f t="shared" si="1064"/>
        <v>#N/A</v>
      </c>
      <c r="AC858" s="616" t="e">
        <f t="shared" si="1064"/>
        <v>#N/A</v>
      </c>
      <c r="AD858" s="616" t="e">
        <f t="shared" si="1064"/>
        <v>#N/A</v>
      </c>
      <c r="AE858" s="616" t="e">
        <f t="shared" si="1064"/>
        <v>#N/A</v>
      </c>
      <c r="AF858" s="616" t="e">
        <f t="shared" si="1064"/>
        <v>#N/A</v>
      </c>
      <c r="AG858" s="616" t="e">
        <f t="shared" si="1064"/>
        <v>#N/A</v>
      </c>
      <c r="AH858" s="616" t="e">
        <f t="shared" si="1064"/>
        <v>#N/A</v>
      </c>
      <c r="AI858" s="616" t="e">
        <f t="shared" si="1064"/>
        <v>#N/A</v>
      </c>
      <c r="AJ858" s="616" t="e">
        <f t="shared" si="1064"/>
        <v>#N/A</v>
      </c>
      <c r="AK858" s="616" t="e">
        <f t="shared" si="1064"/>
        <v>#N/A</v>
      </c>
      <c r="AL858" s="616" t="e">
        <f t="shared" si="1064"/>
        <v>#N/A</v>
      </c>
      <c r="AM858" s="616" t="e">
        <f t="shared" si="1064"/>
        <v>#N/A</v>
      </c>
      <c r="AN858" s="616" t="e">
        <f t="shared" si="1064"/>
        <v>#N/A</v>
      </c>
      <c r="AO858" s="616" t="e">
        <f t="shared" si="1064"/>
        <v>#N/A</v>
      </c>
      <c r="AP858" s="616" t="e">
        <f t="shared" si="1064"/>
        <v>#N/A</v>
      </c>
      <c r="AQ858" s="616" t="e">
        <f t="shared" si="1064"/>
        <v>#N/A</v>
      </c>
      <c r="AR858" s="616" t="e">
        <f t="shared" si="1064"/>
        <v>#N/A</v>
      </c>
      <c r="AS858" s="616" t="e">
        <f t="shared" si="1064"/>
        <v>#N/A</v>
      </c>
      <c r="AT858" s="616" t="e">
        <f t="shared" si="1064"/>
        <v>#N/A</v>
      </c>
      <c r="AU858" s="616" t="e">
        <f t="shared" si="1064"/>
        <v>#N/A</v>
      </c>
      <c r="AV858" s="616" t="e">
        <f t="shared" si="1064"/>
        <v>#N/A</v>
      </c>
      <c r="AW858" s="616" t="e">
        <f t="shared" si="1064"/>
        <v>#N/A</v>
      </c>
      <c r="AX858" s="616" t="e">
        <f t="shared" si="1064"/>
        <v>#N/A</v>
      </c>
      <c r="AY858" s="616" t="e">
        <f t="shared" si="1064"/>
        <v>#N/A</v>
      </c>
      <c r="AZ858" s="616" t="e">
        <f t="shared" si="1064"/>
        <v>#N/A</v>
      </c>
      <c r="BA858" s="616" t="e">
        <f t="shared" si="1064"/>
        <v>#N/A</v>
      </c>
      <c r="BB858" s="616" t="e">
        <f t="shared" si="1064"/>
        <v>#N/A</v>
      </c>
      <c r="BC858" s="616" t="e">
        <f t="shared" si="1064"/>
        <v>#N/A</v>
      </c>
      <c r="BD858" s="616" t="e">
        <f t="shared" si="1064"/>
        <v>#N/A</v>
      </c>
      <c r="BE858" s="616" t="e">
        <f t="shared" si="1064"/>
        <v>#N/A</v>
      </c>
      <c r="BF858" s="616" t="e">
        <f t="shared" si="1064"/>
        <v>#N/A</v>
      </c>
      <c r="BG858" s="616" t="e">
        <f t="shared" si="1064"/>
        <v>#N/A</v>
      </c>
      <c r="BH858" s="616" t="e">
        <f t="shared" si="1064"/>
        <v>#N/A</v>
      </c>
      <c r="BI858" s="616" t="e">
        <f t="shared" si="1064"/>
        <v>#N/A</v>
      </c>
      <c r="BJ858" s="616" t="e">
        <f t="shared" si="1064"/>
        <v>#N/A</v>
      </c>
      <c r="BK858" s="616" t="e">
        <f t="shared" si="1064"/>
        <v>#N/A</v>
      </c>
      <c r="BL858" s="616" t="e">
        <f t="shared" si="1064"/>
        <v>#N/A</v>
      </c>
      <c r="BM858" s="616" t="e">
        <f t="shared" si="1064"/>
        <v>#N/A</v>
      </c>
      <c r="BN858" s="616" t="e">
        <f t="shared" si="1064"/>
        <v>#N/A</v>
      </c>
      <c r="BO858" s="616" t="e">
        <f t="shared" si="1064"/>
        <v>#N/A</v>
      </c>
      <c r="BP858" s="616" t="e">
        <f t="shared" si="1064"/>
        <v>#N/A</v>
      </c>
      <c r="BQ858" s="616" t="e">
        <f t="shared" si="1064"/>
        <v>#N/A</v>
      </c>
      <c r="BR858" s="616" t="e">
        <f t="shared" si="1064"/>
        <v>#N/A</v>
      </c>
      <c r="BS858" s="616" t="e">
        <f t="shared" si="1064"/>
        <v>#N/A</v>
      </c>
      <c r="BT858" s="616" t="e">
        <f t="shared" si="1064"/>
        <v>#N/A</v>
      </c>
      <c r="BU858" s="616" t="e">
        <f t="shared" si="1064"/>
        <v>#N/A</v>
      </c>
      <c r="BV858" s="616" t="e">
        <f t="shared" si="1064"/>
        <v>#N/A</v>
      </c>
      <c r="BW858" s="616" t="e">
        <f t="shared" si="1064"/>
        <v>#N/A</v>
      </c>
      <c r="BX858" s="616" t="e">
        <f t="shared" si="1064"/>
        <v>#N/A</v>
      </c>
      <c r="BY858" s="616" t="e">
        <f t="shared" si="1064"/>
        <v>#N/A</v>
      </c>
      <c r="BZ858" s="616" t="e">
        <f t="shared" si="1064"/>
        <v>#N/A</v>
      </c>
      <c r="CA858" s="616" t="e">
        <f t="shared" si="1064"/>
        <v>#N/A</v>
      </c>
      <c r="CB858" s="616" t="e">
        <f t="shared" si="1064"/>
        <v>#N/A</v>
      </c>
      <c r="CC858" s="616" t="e">
        <f t="shared" si="1064"/>
        <v>#N/A</v>
      </c>
      <c r="CD858" s="616" t="e">
        <f t="shared" si="1064"/>
        <v>#N/A</v>
      </c>
      <c r="CE858" s="616" t="e">
        <f t="shared" si="1064"/>
        <v>#N/A</v>
      </c>
      <c r="CF858" s="616" t="e">
        <f t="shared" si="1064"/>
        <v>#N/A</v>
      </c>
      <c r="CG858" s="616" t="e">
        <f t="shared" si="1064"/>
        <v>#N/A</v>
      </c>
      <c r="CH858" s="616" t="e">
        <f t="shared" ref="CH858:CN858" si="1065">MIN(CH856,$P$386)</f>
        <v>#N/A</v>
      </c>
      <c r="CI858" s="616" t="e">
        <f t="shared" si="1065"/>
        <v>#N/A</v>
      </c>
      <c r="CJ858" s="616" t="e">
        <f t="shared" si="1065"/>
        <v>#N/A</v>
      </c>
      <c r="CK858" s="616" t="e">
        <f t="shared" si="1065"/>
        <v>#N/A</v>
      </c>
      <c r="CL858" s="616" t="e">
        <f t="shared" si="1065"/>
        <v>#N/A</v>
      </c>
      <c r="CM858" s="616" t="e">
        <f t="shared" si="1065"/>
        <v>#N/A</v>
      </c>
      <c r="CN858" s="616" t="e">
        <f t="shared" si="1065"/>
        <v>#N/A</v>
      </c>
    </row>
    <row r="859" spans="8:92">
      <c r="H859" s="602" t="s">
        <v>940</v>
      </c>
      <c r="L859" s="618" t="s">
        <v>1297</v>
      </c>
      <c r="M859" s="600" t="s">
        <v>1204</v>
      </c>
      <c r="N859" s="615" t="e">
        <f>SUM(U859:AF859)</f>
        <v>#N/A</v>
      </c>
      <c r="O859" s="615" t="e">
        <f>SUM(AG859:AR859)</f>
        <v>#N/A</v>
      </c>
      <c r="P859" s="615" t="e">
        <f>SUM(AS859:BD859)</f>
        <v>#N/A</v>
      </c>
      <c r="Q859" s="615" t="e">
        <f>SUM(BE859:BP859)</f>
        <v>#N/A</v>
      </c>
      <c r="R859" s="615" t="e">
        <f>SUM(BQ859:CB859)</f>
        <v>#N/A</v>
      </c>
      <c r="S859" s="615" t="e">
        <f>SUM(CC859:CN859)</f>
        <v>#N/A</v>
      </c>
      <c r="U859" s="616" t="e">
        <f t="shared" ref="U859:CF859" si="1066">MIN(U856-U858,$P$387)</f>
        <v>#N/A</v>
      </c>
      <c r="V859" s="616" t="e">
        <f t="shared" si="1066"/>
        <v>#N/A</v>
      </c>
      <c r="W859" s="616" t="e">
        <f t="shared" si="1066"/>
        <v>#N/A</v>
      </c>
      <c r="X859" s="616" t="e">
        <f t="shared" si="1066"/>
        <v>#N/A</v>
      </c>
      <c r="Y859" s="616" t="e">
        <f t="shared" si="1066"/>
        <v>#N/A</v>
      </c>
      <c r="Z859" s="616" t="e">
        <f t="shared" si="1066"/>
        <v>#N/A</v>
      </c>
      <c r="AA859" s="616" t="e">
        <f t="shared" si="1066"/>
        <v>#N/A</v>
      </c>
      <c r="AB859" s="616" t="e">
        <f t="shared" si="1066"/>
        <v>#N/A</v>
      </c>
      <c r="AC859" s="616" t="e">
        <f t="shared" si="1066"/>
        <v>#N/A</v>
      </c>
      <c r="AD859" s="616" t="e">
        <f t="shared" si="1066"/>
        <v>#N/A</v>
      </c>
      <c r="AE859" s="616" t="e">
        <f t="shared" si="1066"/>
        <v>#N/A</v>
      </c>
      <c r="AF859" s="616" t="e">
        <f t="shared" si="1066"/>
        <v>#N/A</v>
      </c>
      <c r="AG859" s="616" t="e">
        <f t="shared" si="1066"/>
        <v>#N/A</v>
      </c>
      <c r="AH859" s="616" t="e">
        <f t="shared" si="1066"/>
        <v>#N/A</v>
      </c>
      <c r="AI859" s="616" t="e">
        <f t="shared" si="1066"/>
        <v>#N/A</v>
      </c>
      <c r="AJ859" s="616" t="e">
        <f t="shared" si="1066"/>
        <v>#N/A</v>
      </c>
      <c r="AK859" s="616" t="e">
        <f t="shared" si="1066"/>
        <v>#N/A</v>
      </c>
      <c r="AL859" s="616" t="e">
        <f t="shared" si="1066"/>
        <v>#N/A</v>
      </c>
      <c r="AM859" s="616" t="e">
        <f t="shared" si="1066"/>
        <v>#N/A</v>
      </c>
      <c r="AN859" s="616" t="e">
        <f t="shared" si="1066"/>
        <v>#N/A</v>
      </c>
      <c r="AO859" s="616" t="e">
        <f t="shared" si="1066"/>
        <v>#N/A</v>
      </c>
      <c r="AP859" s="616" t="e">
        <f t="shared" si="1066"/>
        <v>#N/A</v>
      </c>
      <c r="AQ859" s="616" t="e">
        <f t="shared" si="1066"/>
        <v>#N/A</v>
      </c>
      <c r="AR859" s="616" t="e">
        <f t="shared" si="1066"/>
        <v>#N/A</v>
      </c>
      <c r="AS859" s="616" t="e">
        <f t="shared" si="1066"/>
        <v>#N/A</v>
      </c>
      <c r="AT859" s="616" t="e">
        <f t="shared" si="1066"/>
        <v>#N/A</v>
      </c>
      <c r="AU859" s="616" t="e">
        <f t="shared" si="1066"/>
        <v>#N/A</v>
      </c>
      <c r="AV859" s="616" t="e">
        <f t="shared" si="1066"/>
        <v>#N/A</v>
      </c>
      <c r="AW859" s="616" t="e">
        <f t="shared" si="1066"/>
        <v>#N/A</v>
      </c>
      <c r="AX859" s="616" t="e">
        <f t="shared" si="1066"/>
        <v>#N/A</v>
      </c>
      <c r="AY859" s="616" t="e">
        <f t="shared" si="1066"/>
        <v>#N/A</v>
      </c>
      <c r="AZ859" s="616" t="e">
        <f t="shared" si="1066"/>
        <v>#N/A</v>
      </c>
      <c r="BA859" s="616" t="e">
        <f t="shared" si="1066"/>
        <v>#N/A</v>
      </c>
      <c r="BB859" s="616" t="e">
        <f t="shared" si="1066"/>
        <v>#N/A</v>
      </c>
      <c r="BC859" s="616" t="e">
        <f t="shared" si="1066"/>
        <v>#N/A</v>
      </c>
      <c r="BD859" s="616" t="e">
        <f t="shared" si="1066"/>
        <v>#N/A</v>
      </c>
      <c r="BE859" s="616" t="e">
        <f t="shared" si="1066"/>
        <v>#N/A</v>
      </c>
      <c r="BF859" s="616" t="e">
        <f t="shared" si="1066"/>
        <v>#N/A</v>
      </c>
      <c r="BG859" s="616" t="e">
        <f t="shared" si="1066"/>
        <v>#N/A</v>
      </c>
      <c r="BH859" s="616" t="e">
        <f t="shared" si="1066"/>
        <v>#N/A</v>
      </c>
      <c r="BI859" s="616" t="e">
        <f t="shared" si="1066"/>
        <v>#N/A</v>
      </c>
      <c r="BJ859" s="616" t="e">
        <f t="shared" si="1066"/>
        <v>#N/A</v>
      </c>
      <c r="BK859" s="616" t="e">
        <f t="shared" si="1066"/>
        <v>#N/A</v>
      </c>
      <c r="BL859" s="616" t="e">
        <f t="shared" si="1066"/>
        <v>#N/A</v>
      </c>
      <c r="BM859" s="616" t="e">
        <f t="shared" si="1066"/>
        <v>#N/A</v>
      </c>
      <c r="BN859" s="616" t="e">
        <f t="shared" si="1066"/>
        <v>#N/A</v>
      </c>
      <c r="BO859" s="616" t="e">
        <f t="shared" si="1066"/>
        <v>#N/A</v>
      </c>
      <c r="BP859" s="616" t="e">
        <f t="shared" si="1066"/>
        <v>#N/A</v>
      </c>
      <c r="BQ859" s="616" t="e">
        <f t="shared" si="1066"/>
        <v>#N/A</v>
      </c>
      <c r="BR859" s="616" t="e">
        <f t="shared" si="1066"/>
        <v>#N/A</v>
      </c>
      <c r="BS859" s="616" t="e">
        <f t="shared" si="1066"/>
        <v>#N/A</v>
      </c>
      <c r="BT859" s="616" t="e">
        <f t="shared" si="1066"/>
        <v>#N/A</v>
      </c>
      <c r="BU859" s="616" t="e">
        <f t="shared" si="1066"/>
        <v>#N/A</v>
      </c>
      <c r="BV859" s="616" t="e">
        <f t="shared" si="1066"/>
        <v>#N/A</v>
      </c>
      <c r="BW859" s="616" t="e">
        <f t="shared" si="1066"/>
        <v>#N/A</v>
      </c>
      <c r="BX859" s="616" t="e">
        <f t="shared" si="1066"/>
        <v>#N/A</v>
      </c>
      <c r="BY859" s="616" t="e">
        <f t="shared" si="1066"/>
        <v>#N/A</v>
      </c>
      <c r="BZ859" s="616" t="e">
        <f t="shared" si="1066"/>
        <v>#N/A</v>
      </c>
      <c r="CA859" s="616" t="e">
        <f t="shared" si="1066"/>
        <v>#N/A</v>
      </c>
      <c r="CB859" s="616" t="e">
        <f t="shared" si="1066"/>
        <v>#N/A</v>
      </c>
      <c r="CC859" s="616" t="e">
        <f t="shared" si="1066"/>
        <v>#N/A</v>
      </c>
      <c r="CD859" s="616" t="e">
        <f t="shared" si="1066"/>
        <v>#N/A</v>
      </c>
      <c r="CE859" s="616" t="e">
        <f t="shared" si="1066"/>
        <v>#N/A</v>
      </c>
      <c r="CF859" s="616" t="e">
        <f t="shared" si="1066"/>
        <v>#N/A</v>
      </c>
      <c r="CG859" s="616" t="e">
        <f t="shared" ref="CG859:CN859" si="1067">MIN(CG856-CG858,$P$387)</f>
        <v>#N/A</v>
      </c>
      <c r="CH859" s="616" t="e">
        <f t="shared" si="1067"/>
        <v>#N/A</v>
      </c>
      <c r="CI859" s="616" t="e">
        <f t="shared" si="1067"/>
        <v>#N/A</v>
      </c>
      <c r="CJ859" s="616" t="e">
        <f t="shared" si="1067"/>
        <v>#N/A</v>
      </c>
      <c r="CK859" s="616" t="e">
        <f t="shared" si="1067"/>
        <v>#N/A</v>
      </c>
      <c r="CL859" s="616" t="e">
        <f t="shared" si="1067"/>
        <v>#N/A</v>
      </c>
      <c r="CM859" s="616" t="e">
        <f t="shared" si="1067"/>
        <v>#N/A</v>
      </c>
      <c r="CN859" s="616" t="e">
        <f t="shared" si="1067"/>
        <v>#N/A</v>
      </c>
    </row>
    <row r="860" spans="8:92">
      <c r="H860" s="602" t="s">
        <v>940</v>
      </c>
      <c r="L860" s="618" t="s">
        <v>1298</v>
      </c>
      <c r="M860" s="600" t="s">
        <v>1204</v>
      </c>
      <c r="N860" s="615" t="e">
        <f>SUM(U860:AF860)</f>
        <v>#N/A</v>
      </c>
      <c r="O860" s="615" t="e">
        <f>SUM(AG860:AR860)</f>
        <v>#N/A</v>
      </c>
      <c r="P860" s="615" t="e">
        <f>SUM(AS860:BD860)</f>
        <v>#N/A</v>
      </c>
      <c r="Q860" s="615" t="e">
        <f>SUM(BE860:BP860)</f>
        <v>#N/A</v>
      </c>
      <c r="R860" s="615" t="e">
        <f>SUM(BQ860:CB860)</f>
        <v>#N/A</v>
      </c>
      <c r="S860" s="615" t="e">
        <f>SUM(CC860:CN860)</f>
        <v>#N/A</v>
      </c>
      <c r="U860" s="616" t="e">
        <f t="shared" ref="U860:CF860" si="1068">MIN(U856-(U858+U859),$P$388)</f>
        <v>#N/A</v>
      </c>
      <c r="V860" s="616" t="e">
        <f t="shared" si="1068"/>
        <v>#N/A</v>
      </c>
      <c r="W860" s="616" t="e">
        <f t="shared" si="1068"/>
        <v>#N/A</v>
      </c>
      <c r="X860" s="616" t="e">
        <f t="shared" si="1068"/>
        <v>#N/A</v>
      </c>
      <c r="Y860" s="616" t="e">
        <f t="shared" si="1068"/>
        <v>#N/A</v>
      </c>
      <c r="Z860" s="616" t="e">
        <f t="shared" si="1068"/>
        <v>#N/A</v>
      </c>
      <c r="AA860" s="616" t="e">
        <f t="shared" si="1068"/>
        <v>#N/A</v>
      </c>
      <c r="AB860" s="616" t="e">
        <f t="shared" si="1068"/>
        <v>#N/A</v>
      </c>
      <c r="AC860" s="616" t="e">
        <f t="shared" si="1068"/>
        <v>#N/A</v>
      </c>
      <c r="AD860" s="616" t="e">
        <f t="shared" si="1068"/>
        <v>#N/A</v>
      </c>
      <c r="AE860" s="616" t="e">
        <f t="shared" si="1068"/>
        <v>#N/A</v>
      </c>
      <c r="AF860" s="616" t="e">
        <f t="shared" si="1068"/>
        <v>#N/A</v>
      </c>
      <c r="AG860" s="616" t="e">
        <f t="shared" si="1068"/>
        <v>#N/A</v>
      </c>
      <c r="AH860" s="616" t="e">
        <f t="shared" si="1068"/>
        <v>#N/A</v>
      </c>
      <c r="AI860" s="616" t="e">
        <f t="shared" si="1068"/>
        <v>#N/A</v>
      </c>
      <c r="AJ860" s="616" t="e">
        <f t="shared" si="1068"/>
        <v>#N/A</v>
      </c>
      <c r="AK860" s="616" t="e">
        <f t="shared" si="1068"/>
        <v>#N/A</v>
      </c>
      <c r="AL860" s="616" t="e">
        <f t="shared" si="1068"/>
        <v>#N/A</v>
      </c>
      <c r="AM860" s="616" t="e">
        <f t="shared" si="1068"/>
        <v>#N/A</v>
      </c>
      <c r="AN860" s="616" t="e">
        <f t="shared" si="1068"/>
        <v>#N/A</v>
      </c>
      <c r="AO860" s="616" t="e">
        <f t="shared" si="1068"/>
        <v>#N/A</v>
      </c>
      <c r="AP860" s="616" t="e">
        <f t="shared" si="1068"/>
        <v>#N/A</v>
      </c>
      <c r="AQ860" s="616" t="e">
        <f t="shared" si="1068"/>
        <v>#N/A</v>
      </c>
      <c r="AR860" s="616" t="e">
        <f t="shared" si="1068"/>
        <v>#N/A</v>
      </c>
      <c r="AS860" s="616" t="e">
        <f t="shared" si="1068"/>
        <v>#N/A</v>
      </c>
      <c r="AT860" s="616" t="e">
        <f t="shared" si="1068"/>
        <v>#N/A</v>
      </c>
      <c r="AU860" s="616" t="e">
        <f t="shared" si="1068"/>
        <v>#N/A</v>
      </c>
      <c r="AV860" s="616" t="e">
        <f t="shared" si="1068"/>
        <v>#N/A</v>
      </c>
      <c r="AW860" s="616" t="e">
        <f t="shared" si="1068"/>
        <v>#N/A</v>
      </c>
      <c r="AX860" s="616" t="e">
        <f t="shared" si="1068"/>
        <v>#N/A</v>
      </c>
      <c r="AY860" s="616" t="e">
        <f t="shared" si="1068"/>
        <v>#N/A</v>
      </c>
      <c r="AZ860" s="616" t="e">
        <f t="shared" si="1068"/>
        <v>#N/A</v>
      </c>
      <c r="BA860" s="616" t="e">
        <f t="shared" si="1068"/>
        <v>#N/A</v>
      </c>
      <c r="BB860" s="616" t="e">
        <f t="shared" si="1068"/>
        <v>#N/A</v>
      </c>
      <c r="BC860" s="616" t="e">
        <f t="shared" si="1068"/>
        <v>#N/A</v>
      </c>
      <c r="BD860" s="616" t="e">
        <f t="shared" si="1068"/>
        <v>#N/A</v>
      </c>
      <c r="BE860" s="616" t="e">
        <f t="shared" si="1068"/>
        <v>#N/A</v>
      </c>
      <c r="BF860" s="616" t="e">
        <f t="shared" si="1068"/>
        <v>#N/A</v>
      </c>
      <c r="BG860" s="616" t="e">
        <f t="shared" si="1068"/>
        <v>#N/A</v>
      </c>
      <c r="BH860" s="616" t="e">
        <f t="shared" si="1068"/>
        <v>#N/A</v>
      </c>
      <c r="BI860" s="616" t="e">
        <f t="shared" si="1068"/>
        <v>#N/A</v>
      </c>
      <c r="BJ860" s="616" t="e">
        <f t="shared" si="1068"/>
        <v>#N/A</v>
      </c>
      <c r="BK860" s="616" t="e">
        <f t="shared" si="1068"/>
        <v>#N/A</v>
      </c>
      <c r="BL860" s="616" t="e">
        <f t="shared" si="1068"/>
        <v>#N/A</v>
      </c>
      <c r="BM860" s="616" t="e">
        <f t="shared" si="1068"/>
        <v>#N/A</v>
      </c>
      <c r="BN860" s="616" t="e">
        <f t="shared" si="1068"/>
        <v>#N/A</v>
      </c>
      <c r="BO860" s="616" t="e">
        <f t="shared" si="1068"/>
        <v>#N/A</v>
      </c>
      <c r="BP860" s="616" t="e">
        <f t="shared" si="1068"/>
        <v>#N/A</v>
      </c>
      <c r="BQ860" s="616" t="e">
        <f t="shared" si="1068"/>
        <v>#N/A</v>
      </c>
      <c r="BR860" s="616" t="e">
        <f t="shared" si="1068"/>
        <v>#N/A</v>
      </c>
      <c r="BS860" s="616" t="e">
        <f t="shared" si="1068"/>
        <v>#N/A</v>
      </c>
      <c r="BT860" s="616" t="e">
        <f t="shared" si="1068"/>
        <v>#N/A</v>
      </c>
      <c r="BU860" s="616" t="e">
        <f t="shared" si="1068"/>
        <v>#N/A</v>
      </c>
      <c r="BV860" s="616" t="e">
        <f t="shared" si="1068"/>
        <v>#N/A</v>
      </c>
      <c r="BW860" s="616" t="e">
        <f t="shared" si="1068"/>
        <v>#N/A</v>
      </c>
      <c r="BX860" s="616" t="e">
        <f t="shared" si="1068"/>
        <v>#N/A</v>
      </c>
      <c r="BY860" s="616" t="e">
        <f t="shared" si="1068"/>
        <v>#N/A</v>
      </c>
      <c r="BZ860" s="616" t="e">
        <f t="shared" si="1068"/>
        <v>#N/A</v>
      </c>
      <c r="CA860" s="616" t="e">
        <f t="shared" si="1068"/>
        <v>#N/A</v>
      </c>
      <c r="CB860" s="616" t="e">
        <f t="shared" si="1068"/>
        <v>#N/A</v>
      </c>
      <c r="CC860" s="616" t="e">
        <f t="shared" si="1068"/>
        <v>#N/A</v>
      </c>
      <c r="CD860" s="616" t="e">
        <f t="shared" si="1068"/>
        <v>#N/A</v>
      </c>
      <c r="CE860" s="616" t="e">
        <f t="shared" si="1068"/>
        <v>#N/A</v>
      </c>
      <c r="CF860" s="616" t="e">
        <f t="shared" si="1068"/>
        <v>#N/A</v>
      </c>
      <c r="CG860" s="616" t="e">
        <f t="shared" ref="CG860:CN860" si="1069">MIN(CG856-(CG858+CG859),$P$388)</f>
        <v>#N/A</v>
      </c>
      <c r="CH860" s="616" t="e">
        <f t="shared" si="1069"/>
        <v>#N/A</v>
      </c>
      <c r="CI860" s="616" t="e">
        <f t="shared" si="1069"/>
        <v>#N/A</v>
      </c>
      <c r="CJ860" s="616" t="e">
        <f t="shared" si="1069"/>
        <v>#N/A</v>
      </c>
      <c r="CK860" s="616" t="e">
        <f t="shared" si="1069"/>
        <v>#N/A</v>
      </c>
      <c r="CL860" s="616" t="e">
        <f t="shared" si="1069"/>
        <v>#N/A</v>
      </c>
      <c r="CM860" s="616" t="e">
        <f t="shared" si="1069"/>
        <v>#N/A</v>
      </c>
      <c r="CN860" s="616" t="e">
        <f t="shared" si="1069"/>
        <v>#N/A</v>
      </c>
    </row>
    <row r="861" spans="8:92">
      <c r="H861" s="602" t="s">
        <v>940</v>
      </c>
      <c r="L861" s="618" t="s">
        <v>1299</v>
      </c>
      <c r="M861" s="600" t="s">
        <v>1204</v>
      </c>
      <c r="N861" s="615" t="e">
        <f>SUM(U861:AF861)</f>
        <v>#N/A</v>
      </c>
      <c r="O861" s="615" t="e">
        <f>SUM(AG861:AR861)</f>
        <v>#N/A</v>
      </c>
      <c r="P861" s="615" t="e">
        <f>SUM(AS861:BD861)</f>
        <v>#N/A</v>
      </c>
      <c r="Q861" s="615" t="e">
        <f>SUM(BE861:BP861)</f>
        <v>#N/A</v>
      </c>
      <c r="R861" s="615" t="e">
        <f>SUM(BQ861:CB861)</f>
        <v>#N/A</v>
      </c>
      <c r="S861" s="615" t="e">
        <f>SUM(CC861:CN861)</f>
        <v>#N/A</v>
      </c>
      <c r="U861" s="616" t="e">
        <f t="shared" ref="U861:CF861" si="1070">MIN(U856-(U858+U859+U860),$P$389)</f>
        <v>#N/A</v>
      </c>
      <c r="V861" s="616" t="e">
        <f t="shared" si="1070"/>
        <v>#N/A</v>
      </c>
      <c r="W861" s="616" t="e">
        <f t="shared" si="1070"/>
        <v>#N/A</v>
      </c>
      <c r="X861" s="616" t="e">
        <f t="shared" si="1070"/>
        <v>#N/A</v>
      </c>
      <c r="Y861" s="616" t="e">
        <f t="shared" si="1070"/>
        <v>#N/A</v>
      </c>
      <c r="Z861" s="616" t="e">
        <f t="shared" si="1070"/>
        <v>#N/A</v>
      </c>
      <c r="AA861" s="616" t="e">
        <f t="shared" si="1070"/>
        <v>#N/A</v>
      </c>
      <c r="AB861" s="616" t="e">
        <f t="shared" si="1070"/>
        <v>#N/A</v>
      </c>
      <c r="AC861" s="616" t="e">
        <f t="shared" si="1070"/>
        <v>#N/A</v>
      </c>
      <c r="AD861" s="616" t="e">
        <f t="shared" si="1070"/>
        <v>#N/A</v>
      </c>
      <c r="AE861" s="616" t="e">
        <f t="shared" si="1070"/>
        <v>#N/A</v>
      </c>
      <c r="AF861" s="616" t="e">
        <f t="shared" si="1070"/>
        <v>#N/A</v>
      </c>
      <c r="AG861" s="616" t="e">
        <f t="shared" si="1070"/>
        <v>#N/A</v>
      </c>
      <c r="AH861" s="616" t="e">
        <f t="shared" si="1070"/>
        <v>#N/A</v>
      </c>
      <c r="AI861" s="616" t="e">
        <f t="shared" si="1070"/>
        <v>#N/A</v>
      </c>
      <c r="AJ861" s="616" t="e">
        <f t="shared" si="1070"/>
        <v>#N/A</v>
      </c>
      <c r="AK861" s="616" t="e">
        <f t="shared" si="1070"/>
        <v>#N/A</v>
      </c>
      <c r="AL861" s="616" t="e">
        <f t="shared" si="1070"/>
        <v>#N/A</v>
      </c>
      <c r="AM861" s="616" t="e">
        <f t="shared" si="1070"/>
        <v>#N/A</v>
      </c>
      <c r="AN861" s="616" t="e">
        <f t="shared" si="1070"/>
        <v>#N/A</v>
      </c>
      <c r="AO861" s="616" t="e">
        <f t="shared" si="1070"/>
        <v>#N/A</v>
      </c>
      <c r="AP861" s="616" t="e">
        <f t="shared" si="1070"/>
        <v>#N/A</v>
      </c>
      <c r="AQ861" s="616" t="e">
        <f t="shared" si="1070"/>
        <v>#N/A</v>
      </c>
      <c r="AR861" s="616" t="e">
        <f t="shared" si="1070"/>
        <v>#N/A</v>
      </c>
      <c r="AS861" s="616" t="e">
        <f t="shared" si="1070"/>
        <v>#N/A</v>
      </c>
      <c r="AT861" s="616" t="e">
        <f t="shared" si="1070"/>
        <v>#N/A</v>
      </c>
      <c r="AU861" s="616" t="e">
        <f t="shared" si="1070"/>
        <v>#N/A</v>
      </c>
      <c r="AV861" s="616" t="e">
        <f t="shared" si="1070"/>
        <v>#N/A</v>
      </c>
      <c r="AW861" s="616" t="e">
        <f t="shared" si="1070"/>
        <v>#N/A</v>
      </c>
      <c r="AX861" s="616" t="e">
        <f t="shared" si="1070"/>
        <v>#N/A</v>
      </c>
      <c r="AY861" s="616" t="e">
        <f t="shared" si="1070"/>
        <v>#N/A</v>
      </c>
      <c r="AZ861" s="616" t="e">
        <f t="shared" si="1070"/>
        <v>#N/A</v>
      </c>
      <c r="BA861" s="616" t="e">
        <f t="shared" si="1070"/>
        <v>#N/A</v>
      </c>
      <c r="BB861" s="616" t="e">
        <f t="shared" si="1070"/>
        <v>#N/A</v>
      </c>
      <c r="BC861" s="616" t="e">
        <f t="shared" si="1070"/>
        <v>#N/A</v>
      </c>
      <c r="BD861" s="616" t="e">
        <f t="shared" si="1070"/>
        <v>#N/A</v>
      </c>
      <c r="BE861" s="616" t="e">
        <f t="shared" si="1070"/>
        <v>#N/A</v>
      </c>
      <c r="BF861" s="616" t="e">
        <f t="shared" si="1070"/>
        <v>#N/A</v>
      </c>
      <c r="BG861" s="616" t="e">
        <f t="shared" si="1070"/>
        <v>#N/A</v>
      </c>
      <c r="BH861" s="616" t="e">
        <f t="shared" si="1070"/>
        <v>#N/A</v>
      </c>
      <c r="BI861" s="616" t="e">
        <f t="shared" si="1070"/>
        <v>#N/A</v>
      </c>
      <c r="BJ861" s="616" t="e">
        <f t="shared" si="1070"/>
        <v>#N/A</v>
      </c>
      <c r="BK861" s="616" t="e">
        <f t="shared" si="1070"/>
        <v>#N/A</v>
      </c>
      <c r="BL861" s="616" t="e">
        <f t="shared" si="1070"/>
        <v>#N/A</v>
      </c>
      <c r="BM861" s="616" t="e">
        <f t="shared" si="1070"/>
        <v>#N/A</v>
      </c>
      <c r="BN861" s="616" t="e">
        <f t="shared" si="1070"/>
        <v>#N/A</v>
      </c>
      <c r="BO861" s="616" t="e">
        <f t="shared" si="1070"/>
        <v>#N/A</v>
      </c>
      <c r="BP861" s="616" t="e">
        <f t="shared" si="1070"/>
        <v>#N/A</v>
      </c>
      <c r="BQ861" s="616" t="e">
        <f t="shared" si="1070"/>
        <v>#N/A</v>
      </c>
      <c r="BR861" s="616" t="e">
        <f t="shared" si="1070"/>
        <v>#N/A</v>
      </c>
      <c r="BS861" s="616" t="e">
        <f t="shared" si="1070"/>
        <v>#N/A</v>
      </c>
      <c r="BT861" s="616" t="e">
        <f t="shared" si="1070"/>
        <v>#N/A</v>
      </c>
      <c r="BU861" s="616" t="e">
        <f t="shared" si="1070"/>
        <v>#N/A</v>
      </c>
      <c r="BV861" s="616" t="e">
        <f t="shared" si="1070"/>
        <v>#N/A</v>
      </c>
      <c r="BW861" s="616" t="e">
        <f t="shared" si="1070"/>
        <v>#N/A</v>
      </c>
      <c r="BX861" s="616" t="e">
        <f t="shared" si="1070"/>
        <v>#N/A</v>
      </c>
      <c r="BY861" s="616" t="e">
        <f t="shared" si="1070"/>
        <v>#N/A</v>
      </c>
      <c r="BZ861" s="616" t="e">
        <f t="shared" si="1070"/>
        <v>#N/A</v>
      </c>
      <c r="CA861" s="616" t="e">
        <f t="shared" si="1070"/>
        <v>#N/A</v>
      </c>
      <c r="CB861" s="616" t="e">
        <f t="shared" si="1070"/>
        <v>#N/A</v>
      </c>
      <c r="CC861" s="616" t="e">
        <f t="shared" si="1070"/>
        <v>#N/A</v>
      </c>
      <c r="CD861" s="616" t="e">
        <f t="shared" si="1070"/>
        <v>#N/A</v>
      </c>
      <c r="CE861" s="616" t="e">
        <f t="shared" si="1070"/>
        <v>#N/A</v>
      </c>
      <c r="CF861" s="616" t="e">
        <f t="shared" si="1070"/>
        <v>#N/A</v>
      </c>
      <c r="CG861" s="616" t="e">
        <f t="shared" ref="CG861:CN861" si="1071">MIN(CG856-(CG858+CG859+CG860),$P$389)</f>
        <v>#N/A</v>
      </c>
      <c r="CH861" s="616" t="e">
        <f t="shared" si="1071"/>
        <v>#N/A</v>
      </c>
      <c r="CI861" s="616" t="e">
        <f t="shared" si="1071"/>
        <v>#N/A</v>
      </c>
      <c r="CJ861" s="616" t="e">
        <f t="shared" si="1071"/>
        <v>#N/A</v>
      </c>
      <c r="CK861" s="616" t="e">
        <f t="shared" si="1071"/>
        <v>#N/A</v>
      </c>
      <c r="CL861" s="616" t="e">
        <f t="shared" si="1071"/>
        <v>#N/A</v>
      </c>
      <c r="CM861" s="616" t="e">
        <f t="shared" si="1071"/>
        <v>#N/A</v>
      </c>
      <c r="CN861" s="616" t="e">
        <f t="shared" si="1071"/>
        <v>#N/A</v>
      </c>
    </row>
    <row r="862" spans="8:92">
      <c r="H862" s="602" t="s">
        <v>940</v>
      </c>
      <c r="L862" s="618"/>
      <c r="M862" s="600"/>
      <c r="N862" s="615"/>
      <c r="O862" s="615"/>
      <c r="P862" s="615"/>
      <c r="Q862" s="615"/>
      <c r="R862" s="615"/>
      <c r="S862" s="615"/>
    </row>
    <row r="863" spans="8:92">
      <c r="H863" s="602" t="s">
        <v>940</v>
      </c>
      <c r="L863" s="618" t="s">
        <v>1300</v>
      </c>
      <c r="M863" s="600" t="s">
        <v>974</v>
      </c>
      <c r="N863" s="615" t="e">
        <f>SUM(U863:AF863)</f>
        <v>#N/A</v>
      </c>
      <c r="O863" s="615" t="e">
        <f>SUM(AG863:AR863)</f>
        <v>#N/A</v>
      </c>
      <c r="P863" s="615" t="e">
        <f>SUM(AS863:BD863)</f>
        <v>#N/A</v>
      </c>
      <c r="Q863" s="615" t="e">
        <f>SUM(BE863:BP863)</f>
        <v>#N/A</v>
      </c>
      <c r="R863" s="615" t="e">
        <f>SUM(BQ863:CB863)</f>
        <v>#N/A</v>
      </c>
      <c r="S863" s="615" t="e">
        <f>SUM(CC863:CN863)</f>
        <v>#N/A</v>
      </c>
      <c r="U863" s="616" t="e">
        <f>U858*$P$391</f>
        <v>#N/A</v>
      </c>
      <c r="V863" s="616" t="e">
        <f t="shared" ref="V863:CG863" si="1072">V858*$P$391</f>
        <v>#N/A</v>
      </c>
      <c r="W863" s="616" t="e">
        <f t="shared" si="1072"/>
        <v>#N/A</v>
      </c>
      <c r="X863" s="616" t="e">
        <f t="shared" si="1072"/>
        <v>#N/A</v>
      </c>
      <c r="Y863" s="616" t="e">
        <f t="shared" si="1072"/>
        <v>#N/A</v>
      </c>
      <c r="Z863" s="616" t="e">
        <f t="shared" si="1072"/>
        <v>#N/A</v>
      </c>
      <c r="AA863" s="616" t="e">
        <f t="shared" si="1072"/>
        <v>#N/A</v>
      </c>
      <c r="AB863" s="616" t="e">
        <f t="shared" si="1072"/>
        <v>#N/A</v>
      </c>
      <c r="AC863" s="616" t="e">
        <f t="shared" si="1072"/>
        <v>#N/A</v>
      </c>
      <c r="AD863" s="616" t="e">
        <f t="shared" si="1072"/>
        <v>#N/A</v>
      </c>
      <c r="AE863" s="616" t="e">
        <f t="shared" si="1072"/>
        <v>#N/A</v>
      </c>
      <c r="AF863" s="616" t="e">
        <f t="shared" si="1072"/>
        <v>#N/A</v>
      </c>
      <c r="AG863" s="616" t="e">
        <f t="shared" si="1072"/>
        <v>#N/A</v>
      </c>
      <c r="AH863" s="616" t="e">
        <f t="shared" si="1072"/>
        <v>#N/A</v>
      </c>
      <c r="AI863" s="616" t="e">
        <f t="shared" si="1072"/>
        <v>#N/A</v>
      </c>
      <c r="AJ863" s="616" t="e">
        <f t="shared" si="1072"/>
        <v>#N/A</v>
      </c>
      <c r="AK863" s="616" t="e">
        <f t="shared" si="1072"/>
        <v>#N/A</v>
      </c>
      <c r="AL863" s="616" t="e">
        <f t="shared" si="1072"/>
        <v>#N/A</v>
      </c>
      <c r="AM863" s="616" t="e">
        <f t="shared" si="1072"/>
        <v>#N/A</v>
      </c>
      <c r="AN863" s="616" t="e">
        <f t="shared" si="1072"/>
        <v>#N/A</v>
      </c>
      <c r="AO863" s="616" t="e">
        <f t="shared" si="1072"/>
        <v>#N/A</v>
      </c>
      <c r="AP863" s="616" t="e">
        <f t="shared" si="1072"/>
        <v>#N/A</v>
      </c>
      <c r="AQ863" s="616" t="e">
        <f t="shared" si="1072"/>
        <v>#N/A</v>
      </c>
      <c r="AR863" s="616" t="e">
        <f t="shared" si="1072"/>
        <v>#N/A</v>
      </c>
      <c r="AS863" s="616" t="e">
        <f t="shared" si="1072"/>
        <v>#N/A</v>
      </c>
      <c r="AT863" s="616" t="e">
        <f t="shared" si="1072"/>
        <v>#N/A</v>
      </c>
      <c r="AU863" s="616" t="e">
        <f t="shared" si="1072"/>
        <v>#N/A</v>
      </c>
      <c r="AV863" s="616" t="e">
        <f t="shared" si="1072"/>
        <v>#N/A</v>
      </c>
      <c r="AW863" s="616" t="e">
        <f t="shared" si="1072"/>
        <v>#N/A</v>
      </c>
      <c r="AX863" s="616" t="e">
        <f t="shared" si="1072"/>
        <v>#N/A</v>
      </c>
      <c r="AY863" s="616" t="e">
        <f t="shared" si="1072"/>
        <v>#N/A</v>
      </c>
      <c r="AZ863" s="616" t="e">
        <f t="shared" si="1072"/>
        <v>#N/A</v>
      </c>
      <c r="BA863" s="616" t="e">
        <f t="shared" si="1072"/>
        <v>#N/A</v>
      </c>
      <c r="BB863" s="616" t="e">
        <f t="shared" si="1072"/>
        <v>#N/A</v>
      </c>
      <c r="BC863" s="616" t="e">
        <f t="shared" si="1072"/>
        <v>#N/A</v>
      </c>
      <c r="BD863" s="616" t="e">
        <f t="shared" si="1072"/>
        <v>#N/A</v>
      </c>
      <c r="BE863" s="616" t="e">
        <f t="shared" si="1072"/>
        <v>#N/A</v>
      </c>
      <c r="BF863" s="616" t="e">
        <f t="shared" si="1072"/>
        <v>#N/A</v>
      </c>
      <c r="BG863" s="616" t="e">
        <f t="shared" si="1072"/>
        <v>#N/A</v>
      </c>
      <c r="BH863" s="616" t="e">
        <f t="shared" si="1072"/>
        <v>#N/A</v>
      </c>
      <c r="BI863" s="616" t="e">
        <f t="shared" si="1072"/>
        <v>#N/A</v>
      </c>
      <c r="BJ863" s="616" t="e">
        <f t="shared" si="1072"/>
        <v>#N/A</v>
      </c>
      <c r="BK863" s="616" t="e">
        <f t="shared" si="1072"/>
        <v>#N/A</v>
      </c>
      <c r="BL863" s="616" t="e">
        <f t="shared" si="1072"/>
        <v>#N/A</v>
      </c>
      <c r="BM863" s="616" t="e">
        <f t="shared" si="1072"/>
        <v>#N/A</v>
      </c>
      <c r="BN863" s="616" t="e">
        <f t="shared" si="1072"/>
        <v>#N/A</v>
      </c>
      <c r="BO863" s="616" t="e">
        <f t="shared" si="1072"/>
        <v>#N/A</v>
      </c>
      <c r="BP863" s="616" t="e">
        <f t="shared" si="1072"/>
        <v>#N/A</v>
      </c>
      <c r="BQ863" s="616" t="e">
        <f t="shared" si="1072"/>
        <v>#N/A</v>
      </c>
      <c r="BR863" s="616" t="e">
        <f t="shared" si="1072"/>
        <v>#N/A</v>
      </c>
      <c r="BS863" s="616" t="e">
        <f t="shared" si="1072"/>
        <v>#N/A</v>
      </c>
      <c r="BT863" s="616" t="e">
        <f t="shared" si="1072"/>
        <v>#N/A</v>
      </c>
      <c r="BU863" s="616" t="e">
        <f t="shared" si="1072"/>
        <v>#N/A</v>
      </c>
      <c r="BV863" s="616" t="e">
        <f t="shared" si="1072"/>
        <v>#N/A</v>
      </c>
      <c r="BW863" s="616" t="e">
        <f t="shared" si="1072"/>
        <v>#N/A</v>
      </c>
      <c r="BX863" s="616" t="e">
        <f t="shared" si="1072"/>
        <v>#N/A</v>
      </c>
      <c r="BY863" s="616" t="e">
        <f t="shared" si="1072"/>
        <v>#N/A</v>
      </c>
      <c r="BZ863" s="616" t="e">
        <f t="shared" si="1072"/>
        <v>#N/A</v>
      </c>
      <c r="CA863" s="616" t="e">
        <f t="shared" si="1072"/>
        <v>#N/A</v>
      </c>
      <c r="CB863" s="616" t="e">
        <f t="shared" si="1072"/>
        <v>#N/A</v>
      </c>
      <c r="CC863" s="616" t="e">
        <f t="shared" si="1072"/>
        <v>#N/A</v>
      </c>
      <c r="CD863" s="616" t="e">
        <f t="shared" si="1072"/>
        <v>#N/A</v>
      </c>
      <c r="CE863" s="616" t="e">
        <f t="shared" si="1072"/>
        <v>#N/A</v>
      </c>
      <c r="CF863" s="616" t="e">
        <f t="shared" si="1072"/>
        <v>#N/A</v>
      </c>
      <c r="CG863" s="616" t="e">
        <f t="shared" si="1072"/>
        <v>#N/A</v>
      </c>
      <c r="CH863" s="616" t="e">
        <f t="shared" ref="CH863:CN863" si="1073">CH858*$P$391</f>
        <v>#N/A</v>
      </c>
      <c r="CI863" s="616" t="e">
        <f t="shared" si="1073"/>
        <v>#N/A</v>
      </c>
      <c r="CJ863" s="616" t="e">
        <f t="shared" si="1073"/>
        <v>#N/A</v>
      </c>
      <c r="CK863" s="616" t="e">
        <f t="shared" si="1073"/>
        <v>#N/A</v>
      </c>
      <c r="CL863" s="616" t="e">
        <f t="shared" si="1073"/>
        <v>#N/A</v>
      </c>
      <c r="CM863" s="616" t="e">
        <f t="shared" si="1073"/>
        <v>#N/A</v>
      </c>
      <c r="CN863" s="616" t="e">
        <f t="shared" si="1073"/>
        <v>#N/A</v>
      </c>
    </row>
    <row r="864" spans="8:92">
      <c r="H864" s="602" t="s">
        <v>940</v>
      </c>
      <c r="L864" s="618" t="s">
        <v>1301</v>
      </c>
      <c r="M864" s="600" t="s">
        <v>974</v>
      </c>
      <c r="N864" s="615" t="e">
        <f>SUM(U864:AF864)</f>
        <v>#N/A</v>
      </c>
      <c r="O864" s="615" t="e">
        <f>SUM(AG864:AR864)</f>
        <v>#N/A</v>
      </c>
      <c r="P864" s="615" t="e">
        <f>SUM(AS864:BD864)</f>
        <v>#N/A</v>
      </c>
      <c r="Q864" s="615" t="e">
        <f>SUM(BE864:BP864)</f>
        <v>#N/A</v>
      </c>
      <c r="R864" s="615" t="e">
        <f>SUM(BQ864:CB864)</f>
        <v>#N/A</v>
      </c>
      <c r="S864" s="615" t="e">
        <f>SUM(CC864:CN864)</f>
        <v>#N/A</v>
      </c>
      <c r="U864" s="616" t="e">
        <f>U859*$P$392</f>
        <v>#N/A</v>
      </c>
      <c r="V864" s="616" t="e">
        <f t="shared" ref="V864:CG864" si="1074">V859*$P$392</f>
        <v>#N/A</v>
      </c>
      <c r="W864" s="616" t="e">
        <f t="shared" si="1074"/>
        <v>#N/A</v>
      </c>
      <c r="X864" s="616" t="e">
        <f t="shared" si="1074"/>
        <v>#N/A</v>
      </c>
      <c r="Y864" s="616" t="e">
        <f t="shared" si="1074"/>
        <v>#N/A</v>
      </c>
      <c r="Z864" s="616" t="e">
        <f t="shared" si="1074"/>
        <v>#N/A</v>
      </c>
      <c r="AA864" s="616" t="e">
        <f t="shared" si="1074"/>
        <v>#N/A</v>
      </c>
      <c r="AB864" s="616" t="e">
        <f t="shared" si="1074"/>
        <v>#N/A</v>
      </c>
      <c r="AC864" s="616" t="e">
        <f t="shared" si="1074"/>
        <v>#N/A</v>
      </c>
      <c r="AD864" s="616" t="e">
        <f t="shared" si="1074"/>
        <v>#N/A</v>
      </c>
      <c r="AE864" s="616" t="e">
        <f t="shared" si="1074"/>
        <v>#N/A</v>
      </c>
      <c r="AF864" s="616" t="e">
        <f t="shared" si="1074"/>
        <v>#N/A</v>
      </c>
      <c r="AG864" s="616" t="e">
        <f t="shared" si="1074"/>
        <v>#N/A</v>
      </c>
      <c r="AH864" s="616" t="e">
        <f t="shared" si="1074"/>
        <v>#N/A</v>
      </c>
      <c r="AI864" s="616" t="e">
        <f t="shared" si="1074"/>
        <v>#N/A</v>
      </c>
      <c r="AJ864" s="616" t="e">
        <f t="shared" si="1074"/>
        <v>#N/A</v>
      </c>
      <c r="AK864" s="616" t="e">
        <f t="shared" si="1074"/>
        <v>#N/A</v>
      </c>
      <c r="AL864" s="616" t="e">
        <f t="shared" si="1074"/>
        <v>#N/A</v>
      </c>
      <c r="AM864" s="616" t="e">
        <f t="shared" si="1074"/>
        <v>#N/A</v>
      </c>
      <c r="AN864" s="616" t="e">
        <f t="shared" si="1074"/>
        <v>#N/A</v>
      </c>
      <c r="AO864" s="616" t="e">
        <f t="shared" si="1074"/>
        <v>#N/A</v>
      </c>
      <c r="AP864" s="616" t="e">
        <f t="shared" si="1074"/>
        <v>#N/A</v>
      </c>
      <c r="AQ864" s="616" t="e">
        <f t="shared" si="1074"/>
        <v>#N/A</v>
      </c>
      <c r="AR864" s="616" t="e">
        <f t="shared" si="1074"/>
        <v>#N/A</v>
      </c>
      <c r="AS864" s="616" t="e">
        <f t="shared" si="1074"/>
        <v>#N/A</v>
      </c>
      <c r="AT864" s="616" t="e">
        <f t="shared" si="1074"/>
        <v>#N/A</v>
      </c>
      <c r="AU864" s="616" t="e">
        <f t="shared" si="1074"/>
        <v>#N/A</v>
      </c>
      <c r="AV864" s="616" t="e">
        <f t="shared" si="1074"/>
        <v>#N/A</v>
      </c>
      <c r="AW864" s="616" t="e">
        <f t="shared" si="1074"/>
        <v>#N/A</v>
      </c>
      <c r="AX864" s="616" t="e">
        <f t="shared" si="1074"/>
        <v>#N/A</v>
      </c>
      <c r="AY864" s="616" t="e">
        <f t="shared" si="1074"/>
        <v>#N/A</v>
      </c>
      <c r="AZ864" s="616" t="e">
        <f t="shared" si="1074"/>
        <v>#N/A</v>
      </c>
      <c r="BA864" s="616" t="e">
        <f t="shared" si="1074"/>
        <v>#N/A</v>
      </c>
      <c r="BB864" s="616" t="e">
        <f t="shared" si="1074"/>
        <v>#N/A</v>
      </c>
      <c r="BC864" s="616" t="e">
        <f t="shared" si="1074"/>
        <v>#N/A</v>
      </c>
      <c r="BD864" s="616" t="e">
        <f t="shared" si="1074"/>
        <v>#N/A</v>
      </c>
      <c r="BE864" s="616" t="e">
        <f t="shared" si="1074"/>
        <v>#N/A</v>
      </c>
      <c r="BF864" s="616" t="e">
        <f t="shared" si="1074"/>
        <v>#N/A</v>
      </c>
      <c r="BG864" s="616" t="e">
        <f t="shared" si="1074"/>
        <v>#N/A</v>
      </c>
      <c r="BH864" s="616" t="e">
        <f t="shared" si="1074"/>
        <v>#N/A</v>
      </c>
      <c r="BI864" s="616" t="e">
        <f t="shared" si="1074"/>
        <v>#N/A</v>
      </c>
      <c r="BJ864" s="616" t="e">
        <f t="shared" si="1074"/>
        <v>#N/A</v>
      </c>
      <c r="BK864" s="616" t="e">
        <f t="shared" si="1074"/>
        <v>#N/A</v>
      </c>
      <c r="BL864" s="616" t="e">
        <f t="shared" si="1074"/>
        <v>#N/A</v>
      </c>
      <c r="BM864" s="616" t="e">
        <f t="shared" si="1074"/>
        <v>#N/A</v>
      </c>
      <c r="BN864" s="616" t="e">
        <f t="shared" si="1074"/>
        <v>#N/A</v>
      </c>
      <c r="BO864" s="616" t="e">
        <f t="shared" si="1074"/>
        <v>#N/A</v>
      </c>
      <c r="BP864" s="616" t="e">
        <f t="shared" si="1074"/>
        <v>#N/A</v>
      </c>
      <c r="BQ864" s="616" t="e">
        <f t="shared" si="1074"/>
        <v>#N/A</v>
      </c>
      <c r="BR864" s="616" t="e">
        <f t="shared" si="1074"/>
        <v>#N/A</v>
      </c>
      <c r="BS864" s="616" t="e">
        <f t="shared" si="1074"/>
        <v>#N/A</v>
      </c>
      <c r="BT864" s="616" t="e">
        <f t="shared" si="1074"/>
        <v>#N/A</v>
      </c>
      <c r="BU864" s="616" t="e">
        <f t="shared" si="1074"/>
        <v>#N/A</v>
      </c>
      <c r="BV864" s="616" t="e">
        <f t="shared" si="1074"/>
        <v>#N/A</v>
      </c>
      <c r="BW864" s="616" t="e">
        <f t="shared" si="1074"/>
        <v>#N/A</v>
      </c>
      <c r="BX864" s="616" t="e">
        <f t="shared" si="1074"/>
        <v>#N/A</v>
      </c>
      <c r="BY864" s="616" t="e">
        <f t="shared" si="1074"/>
        <v>#N/A</v>
      </c>
      <c r="BZ864" s="616" t="e">
        <f t="shared" si="1074"/>
        <v>#N/A</v>
      </c>
      <c r="CA864" s="616" t="e">
        <f t="shared" si="1074"/>
        <v>#N/A</v>
      </c>
      <c r="CB864" s="616" t="e">
        <f t="shared" si="1074"/>
        <v>#N/A</v>
      </c>
      <c r="CC864" s="616" t="e">
        <f t="shared" si="1074"/>
        <v>#N/A</v>
      </c>
      <c r="CD864" s="616" t="e">
        <f t="shared" si="1074"/>
        <v>#N/A</v>
      </c>
      <c r="CE864" s="616" t="e">
        <f t="shared" si="1074"/>
        <v>#N/A</v>
      </c>
      <c r="CF864" s="616" t="e">
        <f t="shared" si="1074"/>
        <v>#N/A</v>
      </c>
      <c r="CG864" s="616" t="e">
        <f t="shared" si="1074"/>
        <v>#N/A</v>
      </c>
      <c r="CH864" s="616" t="e">
        <f t="shared" ref="CH864:CN864" si="1075">CH859*$P$392</f>
        <v>#N/A</v>
      </c>
      <c r="CI864" s="616" t="e">
        <f t="shared" si="1075"/>
        <v>#N/A</v>
      </c>
      <c r="CJ864" s="616" t="e">
        <f t="shared" si="1075"/>
        <v>#N/A</v>
      </c>
      <c r="CK864" s="616" t="e">
        <f t="shared" si="1075"/>
        <v>#N/A</v>
      </c>
      <c r="CL864" s="616" t="e">
        <f t="shared" si="1075"/>
        <v>#N/A</v>
      </c>
      <c r="CM864" s="616" t="e">
        <f t="shared" si="1075"/>
        <v>#N/A</v>
      </c>
      <c r="CN864" s="616" t="e">
        <f t="shared" si="1075"/>
        <v>#N/A</v>
      </c>
    </row>
    <row r="865" spans="8:93">
      <c r="H865" s="602" t="s">
        <v>940</v>
      </c>
      <c r="L865" s="618" t="s">
        <v>1302</v>
      </c>
      <c r="M865" s="600" t="s">
        <v>974</v>
      </c>
      <c r="N865" s="615" t="e">
        <f>SUM(U865:AF865)</f>
        <v>#N/A</v>
      </c>
      <c r="O865" s="615" t="e">
        <f>SUM(AG865:AR865)</f>
        <v>#N/A</v>
      </c>
      <c r="P865" s="615" t="e">
        <f>SUM(AS865:BD865)</f>
        <v>#N/A</v>
      </c>
      <c r="Q865" s="615" t="e">
        <f>SUM(BE865:BP865)</f>
        <v>#N/A</v>
      </c>
      <c r="R865" s="615" t="e">
        <f>SUM(BQ865:CB865)</f>
        <v>#N/A</v>
      </c>
      <c r="S865" s="615" t="e">
        <f>SUM(CC865:CN865)</f>
        <v>#N/A</v>
      </c>
      <c r="U865" s="616" t="e">
        <f>U860*$P$393</f>
        <v>#N/A</v>
      </c>
      <c r="V865" s="616" t="e">
        <f t="shared" ref="V865:CG865" si="1076">V860*$P$393</f>
        <v>#N/A</v>
      </c>
      <c r="W865" s="616" t="e">
        <f t="shared" si="1076"/>
        <v>#N/A</v>
      </c>
      <c r="X865" s="616" t="e">
        <f t="shared" si="1076"/>
        <v>#N/A</v>
      </c>
      <c r="Y865" s="616" t="e">
        <f t="shared" si="1076"/>
        <v>#N/A</v>
      </c>
      <c r="Z865" s="616" t="e">
        <f t="shared" si="1076"/>
        <v>#N/A</v>
      </c>
      <c r="AA865" s="616" t="e">
        <f t="shared" si="1076"/>
        <v>#N/A</v>
      </c>
      <c r="AB865" s="616" t="e">
        <f t="shared" si="1076"/>
        <v>#N/A</v>
      </c>
      <c r="AC865" s="616" t="e">
        <f t="shared" si="1076"/>
        <v>#N/A</v>
      </c>
      <c r="AD865" s="616" t="e">
        <f t="shared" si="1076"/>
        <v>#N/A</v>
      </c>
      <c r="AE865" s="616" t="e">
        <f t="shared" si="1076"/>
        <v>#N/A</v>
      </c>
      <c r="AF865" s="616" t="e">
        <f t="shared" si="1076"/>
        <v>#N/A</v>
      </c>
      <c r="AG865" s="616" t="e">
        <f t="shared" si="1076"/>
        <v>#N/A</v>
      </c>
      <c r="AH865" s="616" t="e">
        <f t="shared" si="1076"/>
        <v>#N/A</v>
      </c>
      <c r="AI865" s="616" t="e">
        <f t="shared" si="1076"/>
        <v>#N/A</v>
      </c>
      <c r="AJ865" s="616" t="e">
        <f t="shared" si="1076"/>
        <v>#N/A</v>
      </c>
      <c r="AK865" s="616" t="e">
        <f t="shared" si="1076"/>
        <v>#N/A</v>
      </c>
      <c r="AL865" s="616" t="e">
        <f t="shared" si="1076"/>
        <v>#N/A</v>
      </c>
      <c r="AM865" s="616" t="e">
        <f t="shared" si="1076"/>
        <v>#N/A</v>
      </c>
      <c r="AN865" s="616" t="e">
        <f t="shared" si="1076"/>
        <v>#N/A</v>
      </c>
      <c r="AO865" s="616" t="e">
        <f t="shared" si="1076"/>
        <v>#N/A</v>
      </c>
      <c r="AP865" s="616" t="e">
        <f t="shared" si="1076"/>
        <v>#N/A</v>
      </c>
      <c r="AQ865" s="616" t="e">
        <f t="shared" si="1076"/>
        <v>#N/A</v>
      </c>
      <c r="AR865" s="616" t="e">
        <f t="shared" si="1076"/>
        <v>#N/A</v>
      </c>
      <c r="AS865" s="616" t="e">
        <f t="shared" si="1076"/>
        <v>#N/A</v>
      </c>
      <c r="AT865" s="616" t="e">
        <f t="shared" si="1076"/>
        <v>#N/A</v>
      </c>
      <c r="AU865" s="616" t="e">
        <f t="shared" si="1076"/>
        <v>#N/A</v>
      </c>
      <c r="AV865" s="616" t="e">
        <f t="shared" si="1076"/>
        <v>#N/A</v>
      </c>
      <c r="AW865" s="616" t="e">
        <f t="shared" si="1076"/>
        <v>#N/A</v>
      </c>
      <c r="AX865" s="616" t="e">
        <f t="shared" si="1076"/>
        <v>#N/A</v>
      </c>
      <c r="AY865" s="616" t="e">
        <f t="shared" si="1076"/>
        <v>#N/A</v>
      </c>
      <c r="AZ865" s="616" t="e">
        <f t="shared" si="1076"/>
        <v>#N/A</v>
      </c>
      <c r="BA865" s="616" t="e">
        <f t="shared" si="1076"/>
        <v>#N/A</v>
      </c>
      <c r="BB865" s="616" t="e">
        <f t="shared" si="1076"/>
        <v>#N/A</v>
      </c>
      <c r="BC865" s="616" t="e">
        <f t="shared" si="1076"/>
        <v>#N/A</v>
      </c>
      <c r="BD865" s="616" t="e">
        <f t="shared" si="1076"/>
        <v>#N/A</v>
      </c>
      <c r="BE865" s="616" t="e">
        <f t="shared" si="1076"/>
        <v>#N/A</v>
      </c>
      <c r="BF865" s="616" t="e">
        <f t="shared" si="1076"/>
        <v>#N/A</v>
      </c>
      <c r="BG865" s="616" t="e">
        <f t="shared" si="1076"/>
        <v>#N/A</v>
      </c>
      <c r="BH865" s="616" t="e">
        <f t="shared" si="1076"/>
        <v>#N/A</v>
      </c>
      <c r="BI865" s="616" t="e">
        <f t="shared" si="1076"/>
        <v>#N/A</v>
      </c>
      <c r="BJ865" s="616" t="e">
        <f t="shared" si="1076"/>
        <v>#N/A</v>
      </c>
      <c r="BK865" s="616" t="e">
        <f t="shared" si="1076"/>
        <v>#N/A</v>
      </c>
      <c r="BL865" s="616" t="e">
        <f t="shared" si="1076"/>
        <v>#N/A</v>
      </c>
      <c r="BM865" s="616" t="e">
        <f t="shared" si="1076"/>
        <v>#N/A</v>
      </c>
      <c r="BN865" s="616" t="e">
        <f t="shared" si="1076"/>
        <v>#N/A</v>
      </c>
      <c r="BO865" s="616" t="e">
        <f t="shared" si="1076"/>
        <v>#N/A</v>
      </c>
      <c r="BP865" s="616" t="e">
        <f t="shared" si="1076"/>
        <v>#N/A</v>
      </c>
      <c r="BQ865" s="616" t="e">
        <f t="shared" si="1076"/>
        <v>#N/A</v>
      </c>
      <c r="BR865" s="616" t="e">
        <f t="shared" si="1076"/>
        <v>#N/A</v>
      </c>
      <c r="BS865" s="616" t="e">
        <f t="shared" si="1076"/>
        <v>#N/A</v>
      </c>
      <c r="BT865" s="616" t="e">
        <f t="shared" si="1076"/>
        <v>#N/A</v>
      </c>
      <c r="BU865" s="616" t="e">
        <f t="shared" si="1076"/>
        <v>#N/A</v>
      </c>
      <c r="BV865" s="616" t="e">
        <f t="shared" si="1076"/>
        <v>#N/A</v>
      </c>
      <c r="BW865" s="616" t="e">
        <f t="shared" si="1076"/>
        <v>#N/A</v>
      </c>
      <c r="BX865" s="616" t="e">
        <f t="shared" si="1076"/>
        <v>#N/A</v>
      </c>
      <c r="BY865" s="616" t="e">
        <f t="shared" si="1076"/>
        <v>#N/A</v>
      </c>
      <c r="BZ865" s="616" t="e">
        <f t="shared" si="1076"/>
        <v>#N/A</v>
      </c>
      <c r="CA865" s="616" t="e">
        <f t="shared" si="1076"/>
        <v>#N/A</v>
      </c>
      <c r="CB865" s="616" t="e">
        <f t="shared" si="1076"/>
        <v>#N/A</v>
      </c>
      <c r="CC865" s="616" t="e">
        <f t="shared" si="1076"/>
        <v>#N/A</v>
      </c>
      <c r="CD865" s="616" t="e">
        <f t="shared" si="1076"/>
        <v>#N/A</v>
      </c>
      <c r="CE865" s="616" t="e">
        <f t="shared" si="1076"/>
        <v>#N/A</v>
      </c>
      <c r="CF865" s="616" t="e">
        <f t="shared" si="1076"/>
        <v>#N/A</v>
      </c>
      <c r="CG865" s="616" t="e">
        <f t="shared" si="1076"/>
        <v>#N/A</v>
      </c>
      <c r="CH865" s="616" t="e">
        <f t="shared" ref="CH865:CN865" si="1077">CH860*$P$393</f>
        <v>#N/A</v>
      </c>
      <c r="CI865" s="616" t="e">
        <f t="shared" si="1077"/>
        <v>#N/A</v>
      </c>
      <c r="CJ865" s="616" t="e">
        <f t="shared" si="1077"/>
        <v>#N/A</v>
      </c>
      <c r="CK865" s="616" t="e">
        <f t="shared" si="1077"/>
        <v>#N/A</v>
      </c>
      <c r="CL865" s="616" t="e">
        <f t="shared" si="1077"/>
        <v>#N/A</v>
      </c>
      <c r="CM865" s="616" t="e">
        <f t="shared" si="1077"/>
        <v>#N/A</v>
      </c>
      <c r="CN865" s="616" t="e">
        <f t="shared" si="1077"/>
        <v>#N/A</v>
      </c>
    </row>
    <row r="866" spans="8:93">
      <c r="H866" s="602" t="s">
        <v>940</v>
      </c>
      <c r="L866" s="618" t="s">
        <v>1303</v>
      </c>
      <c r="M866" s="600" t="s">
        <v>974</v>
      </c>
      <c r="N866" s="615" t="e">
        <f>SUM(U866:AF866)</f>
        <v>#N/A</v>
      </c>
      <c r="O866" s="615" t="e">
        <f>SUM(AG866:AR866)</f>
        <v>#N/A</v>
      </c>
      <c r="P866" s="615" t="e">
        <f>SUM(AS866:BD866)</f>
        <v>#N/A</v>
      </c>
      <c r="Q866" s="615" t="e">
        <f>SUM(BE866:BP866)</f>
        <v>#N/A</v>
      </c>
      <c r="R866" s="615" t="e">
        <f>SUM(BQ866:CB866)</f>
        <v>#N/A</v>
      </c>
      <c r="S866" s="615" t="e">
        <f>SUM(CC866:CN866)</f>
        <v>#N/A</v>
      </c>
      <c r="U866" s="616" t="e">
        <f>U861*$P$394</f>
        <v>#N/A</v>
      </c>
      <c r="V866" s="616" t="e">
        <f t="shared" ref="V866:CG866" si="1078">V861*$P$394</f>
        <v>#N/A</v>
      </c>
      <c r="W866" s="616" t="e">
        <f t="shared" si="1078"/>
        <v>#N/A</v>
      </c>
      <c r="X866" s="616" t="e">
        <f t="shared" si="1078"/>
        <v>#N/A</v>
      </c>
      <c r="Y866" s="616" t="e">
        <f t="shared" si="1078"/>
        <v>#N/A</v>
      </c>
      <c r="Z866" s="616" t="e">
        <f t="shared" si="1078"/>
        <v>#N/A</v>
      </c>
      <c r="AA866" s="616" t="e">
        <f t="shared" si="1078"/>
        <v>#N/A</v>
      </c>
      <c r="AB866" s="616" t="e">
        <f t="shared" si="1078"/>
        <v>#N/A</v>
      </c>
      <c r="AC866" s="616" t="e">
        <f t="shared" si="1078"/>
        <v>#N/A</v>
      </c>
      <c r="AD866" s="616" t="e">
        <f t="shared" si="1078"/>
        <v>#N/A</v>
      </c>
      <c r="AE866" s="616" t="e">
        <f t="shared" si="1078"/>
        <v>#N/A</v>
      </c>
      <c r="AF866" s="616" t="e">
        <f t="shared" si="1078"/>
        <v>#N/A</v>
      </c>
      <c r="AG866" s="616" t="e">
        <f t="shared" si="1078"/>
        <v>#N/A</v>
      </c>
      <c r="AH866" s="616" t="e">
        <f t="shared" si="1078"/>
        <v>#N/A</v>
      </c>
      <c r="AI866" s="616" t="e">
        <f t="shared" si="1078"/>
        <v>#N/A</v>
      </c>
      <c r="AJ866" s="616" t="e">
        <f t="shared" si="1078"/>
        <v>#N/A</v>
      </c>
      <c r="AK866" s="616" t="e">
        <f t="shared" si="1078"/>
        <v>#N/A</v>
      </c>
      <c r="AL866" s="616" t="e">
        <f t="shared" si="1078"/>
        <v>#N/A</v>
      </c>
      <c r="AM866" s="616" t="e">
        <f t="shared" si="1078"/>
        <v>#N/A</v>
      </c>
      <c r="AN866" s="616" t="e">
        <f t="shared" si="1078"/>
        <v>#N/A</v>
      </c>
      <c r="AO866" s="616" t="e">
        <f t="shared" si="1078"/>
        <v>#N/A</v>
      </c>
      <c r="AP866" s="616" t="e">
        <f t="shared" si="1078"/>
        <v>#N/A</v>
      </c>
      <c r="AQ866" s="616" t="e">
        <f t="shared" si="1078"/>
        <v>#N/A</v>
      </c>
      <c r="AR866" s="616" t="e">
        <f t="shared" si="1078"/>
        <v>#N/A</v>
      </c>
      <c r="AS866" s="616" t="e">
        <f t="shared" si="1078"/>
        <v>#N/A</v>
      </c>
      <c r="AT866" s="616" t="e">
        <f t="shared" si="1078"/>
        <v>#N/A</v>
      </c>
      <c r="AU866" s="616" t="e">
        <f t="shared" si="1078"/>
        <v>#N/A</v>
      </c>
      <c r="AV866" s="616" t="e">
        <f t="shared" si="1078"/>
        <v>#N/A</v>
      </c>
      <c r="AW866" s="616" t="e">
        <f t="shared" si="1078"/>
        <v>#N/A</v>
      </c>
      <c r="AX866" s="616" t="e">
        <f t="shared" si="1078"/>
        <v>#N/A</v>
      </c>
      <c r="AY866" s="616" t="e">
        <f t="shared" si="1078"/>
        <v>#N/A</v>
      </c>
      <c r="AZ866" s="616" t="e">
        <f t="shared" si="1078"/>
        <v>#N/A</v>
      </c>
      <c r="BA866" s="616" t="e">
        <f t="shared" si="1078"/>
        <v>#N/A</v>
      </c>
      <c r="BB866" s="616" t="e">
        <f t="shared" si="1078"/>
        <v>#N/A</v>
      </c>
      <c r="BC866" s="616" t="e">
        <f t="shared" si="1078"/>
        <v>#N/A</v>
      </c>
      <c r="BD866" s="616" t="e">
        <f t="shared" si="1078"/>
        <v>#N/A</v>
      </c>
      <c r="BE866" s="616" t="e">
        <f t="shared" si="1078"/>
        <v>#N/A</v>
      </c>
      <c r="BF866" s="616" t="e">
        <f t="shared" si="1078"/>
        <v>#N/A</v>
      </c>
      <c r="BG866" s="616" t="e">
        <f t="shared" si="1078"/>
        <v>#N/A</v>
      </c>
      <c r="BH866" s="616" t="e">
        <f t="shared" si="1078"/>
        <v>#N/A</v>
      </c>
      <c r="BI866" s="616" t="e">
        <f t="shared" si="1078"/>
        <v>#N/A</v>
      </c>
      <c r="BJ866" s="616" t="e">
        <f t="shared" si="1078"/>
        <v>#N/A</v>
      </c>
      <c r="BK866" s="616" t="e">
        <f t="shared" si="1078"/>
        <v>#N/A</v>
      </c>
      <c r="BL866" s="616" t="e">
        <f t="shared" si="1078"/>
        <v>#N/A</v>
      </c>
      <c r="BM866" s="616" t="e">
        <f t="shared" si="1078"/>
        <v>#N/A</v>
      </c>
      <c r="BN866" s="616" t="e">
        <f t="shared" si="1078"/>
        <v>#N/A</v>
      </c>
      <c r="BO866" s="616" t="e">
        <f t="shared" si="1078"/>
        <v>#N/A</v>
      </c>
      <c r="BP866" s="616" t="e">
        <f t="shared" si="1078"/>
        <v>#N/A</v>
      </c>
      <c r="BQ866" s="616" t="e">
        <f t="shared" si="1078"/>
        <v>#N/A</v>
      </c>
      <c r="BR866" s="616" t="e">
        <f t="shared" si="1078"/>
        <v>#N/A</v>
      </c>
      <c r="BS866" s="616" t="e">
        <f t="shared" si="1078"/>
        <v>#N/A</v>
      </c>
      <c r="BT866" s="616" t="e">
        <f t="shared" si="1078"/>
        <v>#N/A</v>
      </c>
      <c r="BU866" s="616" t="e">
        <f t="shared" si="1078"/>
        <v>#N/A</v>
      </c>
      <c r="BV866" s="616" t="e">
        <f t="shared" si="1078"/>
        <v>#N/A</v>
      </c>
      <c r="BW866" s="616" t="e">
        <f t="shared" si="1078"/>
        <v>#N/A</v>
      </c>
      <c r="BX866" s="616" t="e">
        <f t="shared" si="1078"/>
        <v>#N/A</v>
      </c>
      <c r="BY866" s="616" t="e">
        <f t="shared" si="1078"/>
        <v>#N/A</v>
      </c>
      <c r="BZ866" s="616" t="e">
        <f t="shared" si="1078"/>
        <v>#N/A</v>
      </c>
      <c r="CA866" s="616" t="e">
        <f t="shared" si="1078"/>
        <v>#N/A</v>
      </c>
      <c r="CB866" s="616" t="e">
        <f t="shared" si="1078"/>
        <v>#N/A</v>
      </c>
      <c r="CC866" s="616" t="e">
        <f t="shared" si="1078"/>
        <v>#N/A</v>
      </c>
      <c r="CD866" s="616" t="e">
        <f t="shared" si="1078"/>
        <v>#N/A</v>
      </c>
      <c r="CE866" s="616" t="e">
        <f t="shared" si="1078"/>
        <v>#N/A</v>
      </c>
      <c r="CF866" s="616" t="e">
        <f t="shared" si="1078"/>
        <v>#N/A</v>
      </c>
      <c r="CG866" s="616" t="e">
        <f t="shared" si="1078"/>
        <v>#N/A</v>
      </c>
      <c r="CH866" s="616" t="e">
        <f t="shared" ref="CH866:CN866" si="1079">CH861*$P$394</f>
        <v>#N/A</v>
      </c>
      <c r="CI866" s="616" t="e">
        <f t="shared" si="1079"/>
        <v>#N/A</v>
      </c>
      <c r="CJ866" s="616" t="e">
        <f t="shared" si="1079"/>
        <v>#N/A</v>
      </c>
      <c r="CK866" s="616" t="e">
        <f t="shared" si="1079"/>
        <v>#N/A</v>
      </c>
      <c r="CL866" s="616" t="e">
        <f t="shared" si="1079"/>
        <v>#N/A</v>
      </c>
      <c r="CM866" s="616" t="e">
        <f t="shared" si="1079"/>
        <v>#N/A</v>
      </c>
      <c r="CN866" s="616" t="e">
        <f t="shared" si="1079"/>
        <v>#N/A</v>
      </c>
    </row>
    <row r="867" spans="8:93">
      <c r="H867" s="602" t="s">
        <v>940</v>
      </c>
      <c r="L867" s="618"/>
      <c r="M867" s="600"/>
      <c r="N867" s="615"/>
      <c r="O867" s="615"/>
      <c r="P867" s="615"/>
      <c r="Q867" s="615"/>
      <c r="R867" s="615"/>
      <c r="S867" s="615"/>
      <c r="U867" s="616"/>
      <c r="V867" s="616"/>
      <c r="W867" s="616"/>
      <c r="X867" s="616"/>
      <c r="Y867" s="616"/>
      <c r="Z867" s="616"/>
      <c r="AA867" s="616"/>
      <c r="AB867" s="616"/>
      <c r="AC867" s="616"/>
      <c r="AD867" s="616"/>
      <c r="AE867" s="616"/>
      <c r="AF867" s="616"/>
      <c r="AG867" s="616"/>
      <c r="AH867" s="616"/>
      <c r="AI867" s="616"/>
      <c r="AJ867" s="616"/>
      <c r="AK867" s="616"/>
      <c r="AL867" s="616"/>
      <c r="AM867" s="616"/>
      <c r="AN867" s="616"/>
      <c r="AO867" s="616"/>
      <c r="AP867" s="616"/>
      <c r="AQ867" s="616"/>
      <c r="AR867" s="616"/>
      <c r="AS867" s="616"/>
      <c r="AT867" s="616"/>
      <c r="AU867" s="616"/>
      <c r="AV867" s="616"/>
      <c r="AW867" s="616"/>
      <c r="AX867" s="616"/>
      <c r="AY867" s="616"/>
      <c r="AZ867" s="616"/>
      <c r="BA867" s="616"/>
      <c r="BB867" s="616"/>
      <c r="BC867" s="616"/>
      <c r="BD867" s="616"/>
      <c r="BE867" s="616"/>
      <c r="BF867" s="616"/>
      <c r="BG867" s="616"/>
      <c r="BH867" s="616"/>
      <c r="BI867" s="616"/>
      <c r="BJ867" s="616"/>
      <c r="BK867" s="616"/>
      <c r="BL867" s="616"/>
      <c r="BM867" s="616"/>
      <c r="BN867" s="616"/>
      <c r="BO867" s="616"/>
      <c r="BP867" s="616"/>
      <c r="BQ867" s="616"/>
      <c r="BR867" s="616"/>
      <c r="BS867" s="616"/>
      <c r="BT867" s="616"/>
      <c r="BU867" s="616"/>
      <c r="BV867" s="616"/>
      <c r="BW867" s="616"/>
      <c r="BX867" s="616"/>
      <c r="BY867" s="616"/>
      <c r="BZ867" s="616"/>
      <c r="CA867" s="616"/>
      <c r="CB867" s="616"/>
      <c r="CC867" s="616"/>
      <c r="CD867" s="616"/>
      <c r="CE867" s="616"/>
      <c r="CF867" s="616"/>
      <c r="CG867" s="616"/>
      <c r="CH867" s="616"/>
      <c r="CI867" s="616"/>
      <c r="CJ867" s="616"/>
      <c r="CK867" s="616"/>
      <c r="CL867" s="616"/>
      <c r="CM867" s="616"/>
      <c r="CN867" s="616"/>
    </row>
    <row r="868" spans="8:93">
      <c r="H868" s="602" t="s">
        <v>940</v>
      </c>
      <c r="L868" s="618" t="s">
        <v>1247</v>
      </c>
      <c r="M868" s="600" t="s">
        <v>974</v>
      </c>
      <c r="N868" s="615">
        <f>SUM(U868:AF868)</f>
        <v>0</v>
      </c>
      <c r="O868" s="615">
        <f>SUM(AG868:AR868)</f>
        <v>0</v>
      </c>
      <c r="P868" s="615">
        <f>SUM(AS868:BD868)</f>
        <v>0</v>
      </c>
      <c r="Q868" s="615">
        <f>SUM(BE868:BP868)</f>
        <v>0</v>
      </c>
      <c r="R868" s="615">
        <f>SUM(BQ868:CB868)</f>
        <v>0</v>
      </c>
      <c r="S868" s="615">
        <f>SUM(CC868:CN868)</f>
        <v>0</v>
      </c>
      <c r="U868" s="686"/>
      <c r="V868" s="686"/>
      <c r="W868" s="686"/>
      <c r="X868" s="686"/>
      <c r="Y868" s="686"/>
      <c r="Z868" s="686"/>
      <c r="AA868" s="686"/>
      <c r="AB868" s="686"/>
      <c r="AC868" s="686"/>
      <c r="AD868" s="686"/>
      <c r="AE868" s="686"/>
      <c r="AF868" s="686"/>
      <c r="AG868" s="686"/>
      <c r="AH868" s="686"/>
      <c r="AI868" s="686"/>
      <c r="AJ868" s="686"/>
      <c r="AK868" s="686"/>
      <c r="AL868" s="686"/>
      <c r="AM868" s="686"/>
      <c r="AN868" s="686"/>
      <c r="AO868" s="686"/>
      <c r="AP868" s="686"/>
      <c r="AQ868" s="686"/>
      <c r="AR868" s="686"/>
      <c r="AS868" s="686"/>
      <c r="AT868" s="686"/>
      <c r="AU868" s="686"/>
      <c r="AV868" s="686"/>
      <c r="AW868" s="686"/>
      <c r="AX868" s="686"/>
      <c r="AY868" s="686"/>
      <c r="AZ868" s="686"/>
      <c r="BA868" s="686"/>
      <c r="BB868" s="686"/>
      <c r="BC868" s="686"/>
      <c r="BD868" s="686"/>
      <c r="BE868" s="686"/>
      <c r="BF868" s="686"/>
      <c r="BG868" s="686"/>
      <c r="BH868" s="686"/>
      <c r="BI868" s="686"/>
      <c r="BJ868" s="686"/>
      <c r="BK868" s="686"/>
      <c r="BL868" s="686"/>
      <c r="BM868" s="686"/>
      <c r="BN868" s="686"/>
      <c r="BO868" s="686"/>
      <c r="BP868" s="686"/>
      <c r="BQ868" s="686"/>
      <c r="BR868" s="686"/>
      <c r="BS868" s="686"/>
      <c r="BT868" s="686"/>
      <c r="BU868" s="686"/>
      <c r="BV868" s="686"/>
      <c r="BW868" s="686"/>
      <c r="BX868" s="686"/>
      <c r="BY868" s="686"/>
      <c r="BZ868" s="686"/>
      <c r="CA868" s="686"/>
      <c r="CB868" s="686"/>
      <c r="CC868" s="686"/>
      <c r="CD868" s="686"/>
      <c r="CE868" s="686"/>
      <c r="CF868" s="686"/>
      <c r="CG868" s="686"/>
      <c r="CH868" s="686"/>
      <c r="CI868" s="686"/>
      <c r="CJ868" s="686"/>
      <c r="CK868" s="686"/>
      <c r="CL868" s="686"/>
      <c r="CM868" s="686"/>
      <c r="CN868" s="686"/>
      <c r="CO868" s="556" t="s">
        <v>1272</v>
      </c>
    </row>
    <row r="869" spans="8:93">
      <c r="H869" s="602" t="s">
        <v>940</v>
      </c>
      <c r="L869" s="618" t="s">
        <v>908</v>
      </c>
      <c r="M869" s="600" t="s">
        <v>974</v>
      </c>
      <c r="N869" s="615" t="e">
        <f>SUM(U869:AF869)</f>
        <v>#N/A</v>
      </c>
      <c r="O869" s="615" t="e">
        <f>SUM(AG869:AR869)</f>
        <v>#N/A</v>
      </c>
      <c r="P869" s="615" t="e">
        <f>SUM(AS869:BD869)</f>
        <v>#N/A</v>
      </c>
      <c r="Q869" s="615" t="e">
        <f>SUM(BE869:BP869)</f>
        <v>#N/A</v>
      </c>
      <c r="R869" s="615" t="e">
        <f>SUM(BQ869:CB869)</f>
        <v>#N/A</v>
      </c>
      <c r="S869" s="615" t="e">
        <f>SUM(CC869:CN869)</f>
        <v>#N/A</v>
      </c>
      <c r="U869" s="616" t="e">
        <f>U856*$P$373</f>
        <v>#N/A</v>
      </c>
      <c r="V869" s="616" t="e">
        <f t="shared" ref="V869:CG869" si="1080">V856*$P$373</f>
        <v>#N/A</v>
      </c>
      <c r="W869" s="616" t="e">
        <f t="shared" si="1080"/>
        <v>#N/A</v>
      </c>
      <c r="X869" s="616" t="e">
        <f t="shared" si="1080"/>
        <v>#N/A</v>
      </c>
      <c r="Y869" s="616" t="e">
        <f t="shared" si="1080"/>
        <v>#N/A</v>
      </c>
      <c r="Z869" s="616" t="e">
        <f t="shared" si="1080"/>
        <v>#N/A</v>
      </c>
      <c r="AA869" s="616" t="e">
        <f t="shared" si="1080"/>
        <v>#N/A</v>
      </c>
      <c r="AB869" s="616" t="e">
        <f t="shared" si="1080"/>
        <v>#N/A</v>
      </c>
      <c r="AC869" s="616" t="e">
        <f t="shared" si="1080"/>
        <v>#N/A</v>
      </c>
      <c r="AD869" s="616" t="e">
        <f t="shared" si="1080"/>
        <v>#N/A</v>
      </c>
      <c r="AE869" s="616" t="e">
        <f t="shared" si="1080"/>
        <v>#N/A</v>
      </c>
      <c r="AF869" s="616" t="e">
        <f t="shared" si="1080"/>
        <v>#N/A</v>
      </c>
      <c r="AG869" s="616" t="e">
        <f t="shared" si="1080"/>
        <v>#N/A</v>
      </c>
      <c r="AH869" s="616" t="e">
        <f t="shared" si="1080"/>
        <v>#N/A</v>
      </c>
      <c r="AI869" s="616" t="e">
        <f t="shared" si="1080"/>
        <v>#N/A</v>
      </c>
      <c r="AJ869" s="616" t="e">
        <f t="shared" si="1080"/>
        <v>#N/A</v>
      </c>
      <c r="AK869" s="616" t="e">
        <f t="shared" si="1080"/>
        <v>#N/A</v>
      </c>
      <c r="AL869" s="616" t="e">
        <f t="shared" si="1080"/>
        <v>#N/A</v>
      </c>
      <c r="AM869" s="616" t="e">
        <f t="shared" si="1080"/>
        <v>#N/A</v>
      </c>
      <c r="AN869" s="616" t="e">
        <f t="shared" si="1080"/>
        <v>#N/A</v>
      </c>
      <c r="AO869" s="616" t="e">
        <f t="shared" si="1080"/>
        <v>#N/A</v>
      </c>
      <c r="AP869" s="616" t="e">
        <f t="shared" si="1080"/>
        <v>#N/A</v>
      </c>
      <c r="AQ869" s="616" t="e">
        <f t="shared" si="1080"/>
        <v>#N/A</v>
      </c>
      <c r="AR869" s="616" t="e">
        <f t="shared" si="1080"/>
        <v>#N/A</v>
      </c>
      <c r="AS869" s="616" t="e">
        <f t="shared" si="1080"/>
        <v>#N/A</v>
      </c>
      <c r="AT869" s="616" t="e">
        <f t="shared" si="1080"/>
        <v>#N/A</v>
      </c>
      <c r="AU869" s="616" t="e">
        <f t="shared" si="1080"/>
        <v>#N/A</v>
      </c>
      <c r="AV869" s="616" t="e">
        <f t="shared" si="1080"/>
        <v>#N/A</v>
      </c>
      <c r="AW869" s="616" t="e">
        <f t="shared" si="1080"/>
        <v>#N/A</v>
      </c>
      <c r="AX869" s="616" t="e">
        <f t="shared" si="1080"/>
        <v>#N/A</v>
      </c>
      <c r="AY869" s="616" t="e">
        <f t="shared" si="1080"/>
        <v>#N/A</v>
      </c>
      <c r="AZ869" s="616" t="e">
        <f t="shared" si="1080"/>
        <v>#N/A</v>
      </c>
      <c r="BA869" s="616" t="e">
        <f t="shared" si="1080"/>
        <v>#N/A</v>
      </c>
      <c r="BB869" s="616" t="e">
        <f t="shared" si="1080"/>
        <v>#N/A</v>
      </c>
      <c r="BC869" s="616" t="e">
        <f t="shared" si="1080"/>
        <v>#N/A</v>
      </c>
      <c r="BD869" s="616" t="e">
        <f t="shared" si="1080"/>
        <v>#N/A</v>
      </c>
      <c r="BE869" s="616" t="e">
        <f t="shared" si="1080"/>
        <v>#N/A</v>
      </c>
      <c r="BF869" s="616" t="e">
        <f t="shared" si="1080"/>
        <v>#N/A</v>
      </c>
      <c r="BG869" s="616" t="e">
        <f t="shared" si="1080"/>
        <v>#N/A</v>
      </c>
      <c r="BH869" s="616" t="e">
        <f t="shared" si="1080"/>
        <v>#N/A</v>
      </c>
      <c r="BI869" s="616" t="e">
        <f t="shared" si="1080"/>
        <v>#N/A</v>
      </c>
      <c r="BJ869" s="616" t="e">
        <f t="shared" si="1080"/>
        <v>#N/A</v>
      </c>
      <c r="BK869" s="616" t="e">
        <f t="shared" si="1080"/>
        <v>#N/A</v>
      </c>
      <c r="BL869" s="616" t="e">
        <f t="shared" si="1080"/>
        <v>#N/A</v>
      </c>
      <c r="BM869" s="616" t="e">
        <f t="shared" si="1080"/>
        <v>#N/A</v>
      </c>
      <c r="BN869" s="616" t="e">
        <f t="shared" si="1080"/>
        <v>#N/A</v>
      </c>
      <c r="BO869" s="616" t="e">
        <f t="shared" si="1080"/>
        <v>#N/A</v>
      </c>
      <c r="BP869" s="616" t="e">
        <f t="shared" si="1080"/>
        <v>#N/A</v>
      </c>
      <c r="BQ869" s="616" t="e">
        <f t="shared" si="1080"/>
        <v>#N/A</v>
      </c>
      <c r="BR869" s="616" t="e">
        <f t="shared" si="1080"/>
        <v>#N/A</v>
      </c>
      <c r="BS869" s="616" t="e">
        <f t="shared" si="1080"/>
        <v>#N/A</v>
      </c>
      <c r="BT869" s="616" t="e">
        <f t="shared" si="1080"/>
        <v>#N/A</v>
      </c>
      <c r="BU869" s="616" t="e">
        <f t="shared" si="1080"/>
        <v>#N/A</v>
      </c>
      <c r="BV869" s="616" t="e">
        <f t="shared" si="1080"/>
        <v>#N/A</v>
      </c>
      <c r="BW869" s="616" t="e">
        <f t="shared" si="1080"/>
        <v>#N/A</v>
      </c>
      <c r="BX869" s="616" t="e">
        <f t="shared" si="1080"/>
        <v>#N/A</v>
      </c>
      <c r="BY869" s="616" t="e">
        <f t="shared" si="1080"/>
        <v>#N/A</v>
      </c>
      <c r="BZ869" s="616" t="e">
        <f t="shared" si="1080"/>
        <v>#N/A</v>
      </c>
      <c r="CA869" s="616" t="e">
        <f t="shared" si="1080"/>
        <v>#N/A</v>
      </c>
      <c r="CB869" s="616" t="e">
        <f t="shared" si="1080"/>
        <v>#N/A</v>
      </c>
      <c r="CC869" s="616" t="e">
        <f t="shared" si="1080"/>
        <v>#N/A</v>
      </c>
      <c r="CD869" s="616" t="e">
        <f t="shared" si="1080"/>
        <v>#N/A</v>
      </c>
      <c r="CE869" s="616" t="e">
        <f t="shared" si="1080"/>
        <v>#N/A</v>
      </c>
      <c r="CF869" s="616" t="e">
        <f t="shared" si="1080"/>
        <v>#N/A</v>
      </c>
      <c r="CG869" s="616" t="e">
        <f t="shared" si="1080"/>
        <v>#N/A</v>
      </c>
      <c r="CH869" s="616" t="e">
        <f t="shared" ref="CH869:CN869" si="1081">CH856*$P$373</f>
        <v>#N/A</v>
      </c>
      <c r="CI869" s="616" t="e">
        <f t="shared" si="1081"/>
        <v>#N/A</v>
      </c>
      <c r="CJ869" s="616" t="e">
        <f t="shared" si="1081"/>
        <v>#N/A</v>
      </c>
      <c r="CK869" s="616" t="e">
        <f t="shared" si="1081"/>
        <v>#N/A</v>
      </c>
      <c r="CL869" s="616" t="e">
        <f t="shared" si="1081"/>
        <v>#N/A</v>
      </c>
      <c r="CM869" s="616" t="e">
        <f t="shared" si="1081"/>
        <v>#N/A</v>
      </c>
      <c r="CN869" s="616" t="e">
        <f t="shared" si="1081"/>
        <v>#N/A</v>
      </c>
    </row>
    <row r="870" spans="8:93">
      <c r="H870" s="602" t="s">
        <v>940</v>
      </c>
      <c r="L870" s="618" t="s">
        <v>1304</v>
      </c>
      <c r="M870" s="600" t="s">
        <v>974</v>
      </c>
      <c r="N870" s="615" t="e">
        <f>SUM(U870:AF870)</f>
        <v>#N/A</v>
      </c>
      <c r="O870" s="615" t="e">
        <f>SUM(AG870:AR870)</f>
        <v>#N/A</v>
      </c>
      <c r="P870" s="615" t="e">
        <f>SUM(AS870:BD870)</f>
        <v>#N/A</v>
      </c>
      <c r="Q870" s="615" t="e">
        <f>SUM(BE870:BP870)</f>
        <v>#N/A</v>
      </c>
      <c r="R870" s="615" t="e">
        <f>SUM(BQ870:CB870)</f>
        <v>#N/A</v>
      </c>
      <c r="S870" s="615" t="e">
        <f>SUM(CC870:CN870)</f>
        <v>#N/A</v>
      </c>
      <c r="U870" s="616" t="e">
        <f t="shared" ref="U870:CF870" si="1082">SUM(U863:U866,U868:U869)</f>
        <v>#N/A</v>
      </c>
      <c r="V870" s="616" t="e">
        <f t="shared" si="1082"/>
        <v>#N/A</v>
      </c>
      <c r="W870" s="616" t="e">
        <f t="shared" si="1082"/>
        <v>#N/A</v>
      </c>
      <c r="X870" s="616" t="e">
        <f t="shared" si="1082"/>
        <v>#N/A</v>
      </c>
      <c r="Y870" s="616" t="e">
        <f t="shared" si="1082"/>
        <v>#N/A</v>
      </c>
      <c r="Z870" s="616" t="e">
        <f t="shared" si="1082"/>
        <v>#N/A</v>
      </c>
      <c r="AA870" s="616" t="e">
        <f t="shared" si="1082"/>
        <v>#N/A</v>
      </c>
      <c r="AB870" s="616" t="e">
        <f t="shared" si="1082"/>
        <v>#N/A</v>
      </c>
      <c r="AC870" s="616" t="e">
        <f t="shared" si="1082"/>
        <v>#N/A</v>
      </c>
      <c r="AD870" s="616" t="e">
        <f t="shared" si="1082"/>
        <v>#N/A</v>
      </c>
      <c r="AE870" s="616" t="e">
        <f t="shared" si="1082"/>
        <v>#N/A</v>
      </c>
      <c r="AF870" s="616" t="e">
        <f t="shared" si="1082"/>
        <v>#N/A</v>
      </c>
      <c r="AG870" s="616" t="e">
        <f t="shared" si="1082"/>
        <v>#N/A</v>
      </c>
      <c r="AH870" s="616" t="e">
        <f t="shared" si="1082"/>
        <v>#N/A</v>
      </c>
      <c r="AI870" s="616" t="e">
        <f t="shared" si="1082"/>
        <v>#N/A</v>
      </c>
      <c r="AJ870" s="616" t="e">
        <f t="shared" si="1082"/>
        <v>#N/A</v>
      </c>
      <c r="AK870" s="616" t="e">
        <f t="shared" si="1082"/>
        <v>#N/A</v>
      </c>
      <c r="AL870" s="616" t="e">
        <f t="shared" si="1082"/>
        <v>#N/A</v>
      </c>
      <c r="AM870" s="616" t="e">
        <f t="shared" si="1082"/>
        <v>#N/A</v>
      </c>
      <c r="AN870" s="616" t="e">
        <f t="shared" si="1082"/>
        <v>#N/A</v>
      </c>
      <c r="AO870" s="616" t="e">
        <f t="shared" si="1082"/>
        <v>#N/A</v>
      </c>
      <c r="AP870" s="616" t="e">
        <f t="shared" si="1082"/>
        <v>#N/A</v>
      </c>
      <c r="AQ870" s="616" t="e">
        <f t="shared" si="1082"/>
        <v>#N/A</v>
      </c>
      <c r="AR870" s="616" t="e">
        <f t="shared" si="1082"/>
        <v>#N/A</v>
      </c>
      <c r="AS870" s="616" t="e">
        <f t="shared" si="1082"/>
        <v>#N/A</v>
      </c>
      <c r="AT870" s="616" t="e">
        <f t="shared" si="1082"/>
        <v>#N/A</v>
      </c>
      <c r="AU870" s="616" t="e">
        <f t="shared" si="1082"/>
        <v>#N/A</v>
      </c>
      <c r="AV870" s="616" t="e">
        <f t="shared" si="1082"/>
        <v>#N/A</v>
      </c>
      <c r="AW870" s="616" t="e">
        <f t="shared" si="1082"/>
        <v>#N/A</v>
      </c>
      <c r="AX870" s="616" t="e">
        <f t="shared" si="1082"/>
        <v>#N/A</v>
      </c>
      <c r="AY870" s="616" t="e">
        <f t="shared" si="1082"/>
        <v>#N/A</v>
      </c>
      <c r="AZ870" s="616" t="e">
        <f t="shared" si="1082"/>
        <v>#N/A</v>
      </c>
      <c r="BA870" s="616" t="e">
        <f t="shared" si="1082"/>
        <v>#N/A</v>
      </c>
      <c r="BB870" s="616" t="e">
        <f t="shared" si="1082"/>
        <v>#N/A</v>
      </c>
      <c r="BC870" s="616" t="e">
        <f t="shared" si="1082"/>
        <v>#N/A</v>
      </c>
      <c r="BD870" s="616" t="e">
        <f t="shared" si="1082"/>
        <v>#N/A</v>
      </c>
      <c r="BE870" s="616" t="e">
        <f t="shared" si="1082"/>
        <v>#N/A</v>
      </c>
      <c r="BF870" s="616" t="e">
        <f t="shared" si="1082"/>
        <v>#N/A</v>
      </c>
      <c r="BG870" s="616" t="e">
        <f t="shared" si="1082"/>
        <v>#N/A</v>
      </c>
      <c r="BH870" s="616" t="e">
        <f t="shared" si="1082"/>
        <v>#N/A</v>
      </c>
      <c r="BI870" s="616" t="e">
        <f t="shared" si="1082"/>
        <v>#N/A</v>
      </c>
      <c r="BJ870" s="616" t="e">
        <f t="shared" si="1082"/>
        <v>#N/A</v>
      </c>
      <c r="BK870" s="616" t="e">
        <f t="shared" si="1082"/>
        <v>#N/A</v>
      </c>
      <c r="BL870" s="616" t="e">
        <f t="shared" si="1082"/>
        <v>#N/A</v>
      </c>
      <c r="BM870" s="616" t="e">
        <f t="shared" si="1082"/>
        <v>#N/A</v>
      </c>
      <c r="BN870" s="616" t="e">
        <f t="shared" si="1082"/>
        <v>#N/A</v>
      </c>
      <c r="BO870" s="616" t="e">
        <f t="shared" si="1082"/>
        <v>#N/A</v>
      </c>
      <c r="BP870" s="616" t="e">
        <f t="shared" si="1082"/>
        <v>#N/A</v>
      </c>
      <c r="BQ870" s="616" t="e">
        <f t="shared" si="1082"/>
        <v>#N/A</v>
      </c>
      <c r="BR870" s="616" t="e">
        <f t="shared" si="1082"/>
        <v>#N/A</v>
      </c>
      <c r="BS870" s="616" t="e">
        <f t="shared" si="1082"/>
        <v>#N/A</v>
      </c>
      <c r="BT870" s="616" t="e">
        <f t="shared" si="1082"/>
        <v>#N/A</v>
      </c>
      <c r="BU870" s="616" t="e">
        <f t="shared" si="1082"/>
        <v>#N/A</v>
      </c>
      <c r="BV870" s="616" t="e">
        <f t="shared" si="1082"/>
        <v>#N/A</v>
      </c>
      <c r="BW870" s="616" t="e">
        <f t="shared" si="1082"/>
        <v>#N/A</v>
      </c>
      <c r="BX870" s="616" t="e">
        <f t="shared" si="1082"/>
        <v>#N/A</v>
      </c>
      <c r="BY870" s="616" t="e">
        <f t="shared" si="1082"/>
        <v>#N/A</v>
      </c>
      <c r="BZ870" s="616" t="e">
        <f t="shared" si="1082"/>
        <v>#N/A</v>
      </c>
      <c r="CA870" s="616" t="e">
        <f t="shared" si="1082"/>
        <v>#N/A</v>
      </c>
      <c r="CB870" s="616" t="e">
        <f t="shared" si="1082"/>
        <v>#N/A</v>
      </c>
      <c r="CC870" s="616" t="e">
        <f t="shared" si="1082"/>
        <v>#N/A</v>
      </c>
      <c r="CD870" s="616" t="e">
        <f t="shared" si="1082"/>
        <v>#N/A</v>
      </c>
      <c r="CE870" s="616" t="e">
        <f t="shared" si="1082"/>
        <v>#N/A</v>
      </c>
      <c r="CF870" s="616" t="e">
        <f t="shared" si="1082"/>
        <v>#N/A</v>
      </c>
      <c r="CG870" s="616" t="e">
        <f t="shared" ref="CG870:CN870" si="1083">SUM(CG863:CG866,CG868:CG869)</f>
        <v>#N/A</v>
      </c>
      <c r="CH870" s="616" t="e">
        <f t="shared" si="1083"/>
        <v>#N/A</v>
      </c>
      <c r="CI870" s="616" t="e">
        <f t="shared" si="1083"/>
        <v>#N/A</v>
      </c>
      <c r="CJ870" s="616" t="e">
        <f t="shared" si="1083"/>
        <v>#N/A</v>
      </c>
      <c r="CK870" s="616" t="e">
        <f t="shared" si="1083"/>
        <v>#N/A</v>
      </c>
      <c r="CL870" s="616" t="e">
        <f t="shared" si="1083"/>
        <v>#N/A</v>
      </c>
      <c r="CM870" s="616" t="e">
        <f t="shared" si="1083"/>
        <v>#N/A</v>
      </c>
      <c r="CN870" s="616" t="e">
        <f t="shared" si="1083"/>
        <v>#N/A</v>
      </c>
    </row>
    <row r="871" spans="8:93">
      <c r="H871" s="602" t="s">
        <v>940</v>
      </c>
      <c r="L871" s="618" t="s">
        <v>909</v>
      </c>
      <c r="M871" s="600" t="s">
        <v>974</v>
      </c>
      <c r="N871" s="615" t="e">
        <f>SUM(U871:AF871)</f>
        <v>#N/A</v>
      </c>
      <c r="O871" s="615" t="e">
        <f>SUM(AG871:AR871)</f>
        <v>#N/A</v>
      </c>
      <c r="P871" s="615" t="e">
        <f>SUM(AS871:BD871)</f>
        <v>#N/A</v>
      </c>
      <c r="Q871" s="615" t="e">
        <f>SUM(BE871:BP871)</f>
        <v>#N/A</v>
      </c>
      <c r="R871" s="615" t="e">
        <f>SUM(BQ871:CB871)</f>
        <v>#N/A</v>
      </c>
      <c r="S871" s="615" t="e">
        <f>SUM(CC871:CN871)</f>
        <v>#N/A</v>
      </c>
      <c r="U871" s="616" t="e">
        <f t="shared" ref="U871:CF871" si="1084">U870*$P$374/100</f>
        <v>#N/A</v>
      </c>
      <c r="V871" s="616" t="e">
        <f t="shared" si="1084"/>
        <v>#N/A</v>
      </c>
      <c r="W871" s="616" t="e">
        <f t="shared" si="1084"/>
        <v>#N/A</v>
      </c>
      <c r="X871" s="616" t="e">
        <f t="shared" si="1084"/>
        <v>#N/A</v>
      </c>
      <c r="Y871" s="616" t="e">
        <f t="shared" si="1084"/>
        <v>#N/A</v>
      </c>
      <c r="Z871" s="616" t="e">
        <f t="shared" si="1084"/>
        <v>#N/A</v>
      </c>
      <c r="AA871" s="616" t="e">
        <f t="shared" si="1084"/>
        <v>#N/A</v>
      </c>
      <c r="AB871" s="616" t="e">
        <f t="shared" si="1084"/>
        <v>#N/A</v>
      </c>
      <c r="AC871" s="616" t="e">
        <f t="shared" si="1084"/>
        <v>#N/A</v>
      </c>
      <c r="AD871" s="616" t="e">
        <f t="shared" si="1084"/>
        <v>#N/A</v>
      </c>
      <c r="AE871" s="616" t="e">
        <f t="shared" si="1084"/>
        <v>#N/A</v>
      </c>
      <c r="AF871" s="616" t="e">
        <f t="shared" si="1084"/>
        <v>#N/A</v>
      </c>
      <c r="AG871" s="616" t="e">
        <f t="shared" si="1084"/>
        <v>#N/A</v>
      </c>
      <c r="AH871" s="616" t="e">
        <f t="shared" si="1084"/>
        <v>#N/A</v>
      </c>
      <c r="AI871" s="616" t="e">
        <f t="shared" si="1084"/>
        <v>#N/A</v>
      </c>
      <c r="AJ871" s="616" t="e">
        <f t="shared" si="1084"/>
        <v>#N/A</v>
      </c>
      <c r="AK871" s="616" t="e">
        <f t="shared" si="1084"/>
        <v>#N/A</v>
      </c>
      <c r="AL871" s="616" t="e">
        <f t="shared" si="1084"/>
        <v>#N/A</v>
      </c>
      <c r="AM871" s="616" t="e">
        <f t="shared" si="1084"/>
        <v>#N/A</v>
      </c>
      <c r="AN871" s="616" t="e">
        <f t="shared" si="1084"/>
        <v>#N/A</v>
      </c>
      <c r="AO871" s="616" t="e">
        <f t="shared" si="1084"/>
        <v>#N/A</v>
      </c>
      <c r="AP871" s="616" t="e">
        <f t="shared" si="1084"/>
        <v>#N/A</v>
      </c>
      <c r="AQ871" s="616" t="e">
        <f t="shared" si="1084"/>
        <v>#N/A</v>
      </c>
      <c r="AR871" s="616" t="e">
        <f t="shared" si="1084"/>
        <v>#N/A</v>
      </c>
      <c r="AS871" s="616" t="e">
        <f t="shared" si="1084"/>
        <v>#N/A</v>
      </c>
      <c r="AT871" s="616" t="e">
        <f t="shared" si="1084"/>
        <v>#N/A</v>
      </c>
      <c r="AU871" s="616" t="e">
        <f t="shared" si="1084"/>
        <v>#N/A</v>
      </c>
      <c r="AV871" s="616" t="e">
        <f t="shared" si="1084"/>
        <v>#N/A</v>
      </c>
      <c r="AW871" s="616" t="e">
        <f t="shared" si="1084"/>
        <v>#N/A</v>
      </c>
      <c r="AX871" s="616" t="e">
        <f t="shared" si="1084"/>
        <v>#N/A</v>
      </c>
      <c r="AY871" s="616" t="e">
        <f t="shared" si="1084"/>
        <v>#N/A</v>
      </c>
      <c r="AZ871" s="616" t="e">
        <f t="shared" si="1084"/>
        <v>#N/A</v>
      </c>
      <c r="BA871" s="616" t="e">
        <f t="shared" si="1084"/>
        <v>#N/A</v>
      </c>
      <c r="BB871" s="616" t="e">
        <f t="shared" si="1084"/>
        <v>#N/A</v>
      </c>
      <c r="BC871" s="616" t="e">
        <f t="shared" si="1084"/>
        <v>#N/A</v>
      </c>
      <c r="BD871" s="616" t="e">
        <f t="shared" si="1084"/>
        <v>#N/A</v>
      </c>
      <c r="BE871" s="616" t="e">
        <f t="shared" si="1084"/>
        <v>#N/A</v>
      </c>
      <c r="BF871" s="616" t="e">
        <f t="shared" si="1084"/>
        <v>#N/A</v>
      </c>
      <c r="BG871" s="616" t="e">
        <f t="shared" si="1084"/>
        <v>#N/A</v>
      </c>
      <c r="BH871" s="616" t="e">
        <f t="shared" si="1084"/>
        <v>#N/A</v>
      </c>
      <c r="BI871" s="616" t="e">
        <f t="shared" si="1084"/>
        <v>#N/A</v>
      </c>
      <c r="BJ871" s="616" t="e">
        <f t="shared" si="1084"/>
        <v>#N/A</v>
      </c>
      <c r="BK871" s="616" t="e">
        <f t="shared" si="1084"/>
        <v>#N/A</v>
      </c>
      <c r="BL871" s="616" t="e">
        <f t="shared" si="1084"/>
        <v>#N/A</v>
      </c>
      <c r="BM871" s="616" t="e">
        <f t="shared" si="1084"/>
        <v>#N/A</v>
      </c>
      <c r="BN871" s="616" t="e">
        <f t="shared" si="1084"/>
        <v>#N/A</v>
      </c>
      <c r="BO871" s="616" t="e">
        <f t="shared" si="1084"/>
        <v>#N/A</v>
      </c>
      <c r="BP871" s="616" t="e">
        <f t="shared" si="1084"/>
        <v>#N/A</v>
      </c>
      <c r="BQ871" s="616" t="e">
        <f t="shared" si="1084"/>
        <v>#N/A</v>
      </c>
      <c r="BR871" s="616" t="e">
        <f t="shared" si="1084"/>
        <v>#N/A</v>
      </c>
      <c r="BS871" s="616" t="e">
        <f t="shared" si="1084"/>
        <v>#N/A</v>
      </c>
      <c r="BT871" s="616" t="e">
        <f t="shared" si="1084"/>
        <v>#N/A</v>
      </c>
      <c r="BU871" s="616" t="e">
        <f t="shared" si="1084"/>
        <v>#N/A</v>
      </c>
      <c r="BV871" s="616" t="e">
        <f t="shared" si="1084"/>
        <v>#N/A</v>
      </c>
      <c r="BW871" s="616" t="e">
        <f t="shared" si="1084"/>
        <v>#N/A</v>
      </c>
      <c r="BX871" s="616" t="e">
        <f t="shared" si="1084"/>
        <v>#N/A</v>
      </c>
      <c r="BY871" s="616" t="e">
        <f t="shared" si="1084"/>
        <v>#N/A</v>
      </c>
      <c r="BZ871" s="616" t="e">
        <f t="shared" si="1084"/>
        <v>#N/A</v>
      </c>
      <c r="CA871" s="616" t="e">
        <f t="shared" si="1084"/>
        <v>#N/A</v>
      </c>
      <c r="CB871" s="616" t="e">
        <f t="shared" si="1084"/>
        <v>#N/A</v>
      </c>
      <c r="CC871" s="616" t="e">
        <f t="shared" si="1084"/>
        <v>#N/A</v>
      </c>
      <c r="CD871" s="616" t="e">
        <f t="shared" si="1084"/>
        <v>#N/A</v>
      </c>
      <c r="CE871" s="616" t="e">
        <f t="shared" si="1084"/>
        <v>#N/A</v>
      </c>
      <c r="CF871" s="616" t="e">
        <f t="shared" si="1084"/>
        <v>#N/A</v>
      </c>
      <c r="CG871" s="616" t="e">
        <f t="shared" ref="CG871:CN871" si="1085">CG870*$P$374/100</f>
        <v>#N/A</v>
      </c>
      <c r="CH871" s="616" t="e">
        <f t="shared" si="1085"/>
        <v>#N/A</v>
      </c>
      <c r="CI871" s="616" t="e">
        <f t="shared" si="1085"/>
        <v>#N/A</v>
      </c>
      <c r="CJ871" s="616" t="e">
        <f t="shared" si="1085"/>
        <v>#N/A</v>
      </c>
      <c r="CK871" s="616" t="e">
        <f t="shared" si="1085"/>
        <v>#N/A</v>
      </c>
      <c r="CL871" s="616" t="e">
        <f t="shared" si="1085"/>
        <v>#N/A</v>
      </c>
      <c r="CM871" s="616" t="e">
        <f t="shared" si="1085"/>
        <v>#N/A</v>
      </c>
      <c r="CN871" s="616" t="e">
        <f t="shared" si="1085"/>
        <v>#N/A</v>
      </c>
    </row>
    <row r="872" spans="8:93">
      <c r="H872" s="602" t="s">
        <v>940</v>
      </c>
      <c r="L872" s="618"/>
      <c r="M872" s="600"/>
      <c r="N872" s="615"/>
      <c r="O872" s="615"/>
      <c r="P872" s="615"/>
      <c r="Q872" s="615"/>
      <c r="R872" s="615"/>
      <c r="S872" s="615"/>
      <c r="U872" s="616"/>
      <c r="V872" s="616"/>
      <c r="W872" s="616"/>
      <c r="X872" s="616"/>
      <c r="Y872" s="616"/>
      <c r="Z872" s="616"/>
      <c r="AA872" s="616"/>
      <c r="AB872" s="616"/>
      <c r="AC872" s="616"/>
      <c r="AD872" s="616"/>
      <c r="AE872" s="616"/>
      <c r="AF872" s="616"/>
      <c r="AG872" s="616"/>
      <c r="AH872" s="616"/>
      <c r="AI872" s="616"/>
      <c r="AJ872" s="616"/>
      <c r="AK872" s="616"/>
      <c r="AL872" s="616"/>
      <c r="AM872" s="616"/>
      <c r="AN872" s="616"/>
      <c r="AO872" s="616"/>
      <c r="AP872" s="616"/>
      <c r="AQ872" s="616"/>
      <c r="AR872" s="616"/>
      <c r="AS872" s="616"/>
      <c r="AT872" s="616"/>
      <c r="AU872" s="616"/>
      <c r="AV872" s="616"/>
      <c r="AW872" s="616"/>
      <c r="AX872" s="616"/>
      <c r="AY872" s="616"/>
      <c r="AZ872" s="616"/>
      <c r="BA872" s="616"/>
      <c r="BB872" s="616"/>
      <c r="BC872" s="616"/>
      <c r="BD872" s="616"/>
      <c r="BE872" s="616"/>
      <c r="BF872" s="616"/>
      <c r="BG872" s="616"/>
      <c r="BH872" s="616"/>
      <c r="BI872" s="616"/>
      <c r="BJ872" s="616"/>
      <c r="BK872" s="616"/>
      <c r="BL872" s="616"/>
      <c r="BM872" s="616"/>
      <c r="BN872" s="616"/>
      <c r="BO872" s="616"/>
      <c r="BP872" s="616"/>
      <c r="BQ872" s="616"/>
      <c r="BR872" s="616"/>
      <c r="BS872" s="616"/>
      <c r="BT872" s="616"/>
      <c r="BU872" s="616"/>
      <c r="BV872" s="616"/>
      <c r="BW872" s="616"/>
      <c r="BX872" s="616"/>
      <c r="BY872" s="616"/>
      <c r="BZ872" s="616"/>
      <c r="CA872" s="616"/>
      <c r="CB872" s="616"/>
      <c r="CC872" s="616"/>
      <c r="CD872" s="616"/>
      <c r="CE872" s="616"/>
      <c r="CF872" s="616"/>
      <c r="CG872" s="616"/>
      <c r="CH872" s="616"/>
      <c r="CI872" s="616"/>
      <c r="CJ872" s="616"/>
      <c r="CK872" s="616"/>
      <c r="CL872" s="616"/>
      <c r="CM872" s="616"/>
      <c r="CN872" s="616"/>
    </row>
    <row r="873" spans="8:93">
      <c r="H873" s="602" t="s">
        <v>940</v>
      </c>
      <c r="L873" s="618" t="s">
        <v>1305</v>
      </c>
      <c r="M873" s="600" t="s">
        <v>974</v>
      </c>
      <c r="N873" s="615" t="e">
        <f>SUM(U873:AF873)</f>
        <v>#N/A</v>
      </c>
      <c r="O873" s="615" t="e">
        <f>SUM(AG873:AR873)</f>
        <v>#N/A</v>
      </c>
      <c r="P873" s="615" t="e">
        <f>SUM(AS873:BD873)</f>
        <v>#N/A</v>
      </c>
      <c r="Q873" s="615" t="e">
        <f>SUM(BE873:BP873)</f>
        <v>#N/A</v>
      </c>
      <c r="R873" s="615" t="e">
        <f>SUM(BQ873:CB873)</f>
        <v>#N/A</v>
      </c>
      <c r="S873" s="615" t="e">
        <f>SUM(CC873:CN873)</f>
        <v>#N/A</v>
      </c>
      <c r="U873" s="616" t="e">
        <f>SUM(U870:U871)</f>
        <v>#N/A</v>
      </c>
      <c r="V873" s="616" t="e">
        <f t="shared" ref="V873:CG873" si="1086">SUM(V870:V871)</f>
        <v>#N/A</v>
      </c>
      <c r="W873" s="616" t="e">
        <f t="shared" si="1086"/>
        <v>#N/A</v>
      </c>
      <c r="X873" s="616" t="e">
        <f t="shared" si="1086"/>
        <v>#N/A</v>
      </c>
      <c r="Y873" s="616" t="e">
        <f t="shared" si="1086"/>
        <v>#N/A</v>
      </c>
      <c r="Z873" s="616" t="e">
        <f t="shared" si="1086"/>
        <v>#N/A</v>
      </c>
      <c r="AA873" s="616" t="e">
        <f t="shared" si="1086"/>
        <v>#N/A</v>
      </c>
      <c r="AB873" s="616" t="e">
        <f t="shared" si="1086"/>
        <v>#N/A</v>
      </c>
      <c r="AC873" s="616" t="e">
        <f t="shared" si="1086"/>
        <v>#N/A</v>
      </c>
      <c r="AD873" s="616" t="e">
        <f t="shared" si="1086"/>
        <v>#N/A</v>
      </c>
      <c r="AE873" s="616" t="e">
        <f t="shared" si="1086"/>
        <v>#N/A</v>
      </c>
      <c r="AF873" s="616" t="e">
        <f t="shared" si="1086"/>
        <v>#N/A</v>
      </c>
      <c r="AG873" s="616" t="e">
        <f t="shared" si="1086"/>
        <v>#N/A</v>
      </c>
      <c r="AH873" s="616" t="e">
        <f t="shared" si="1086"/>
        <v>#N/A</v>
      </c>
      <c r="AI873" s="616" t="e">
        <f t="shared" si="1086"/>
        <v>#N/A</v>
      </c>
      <c r="AJ873" s="616" t="e">
        <f t="shared" si="1086"/>
        <v>#N/A</v>
      </c>
      <c r="AK873" s="616" t="e">
        <f t="shared" si="1086"/>
        <v>#N/A</v>
      </c>
      <c r="AL873" s="616" t="e">
        <f t="shared" si="1086"/>
        <v>#N/A</v>
      </c>
      <c r="AM873" s="616" t="e">
        <f t="shared" si="1086"/>
        <v>#N/A</v>
      </c>
      <c r="AN873" s="616" t="e">
        <f t="shared" si="1086"/>
        <v>#N/A</v>
      </c>
      <c r="AO873" s="616" t="e">
        <f t="shared" si="1086"/>
        <v>#N/A</v>
      </c>
      <c r="AP873" s="616" t="e">
        <f t="shared" si="1086"/>
        <v>#N/A</v>
      </c>
      <c r="AQ873" s="616" t="e">
        <f t="shared" si="1086"/>
        <v>#N/A</v>
      </c>
      <c r="AR873" s="616" t="e">
        <f t="shared" si="1086"/>
        <v>#N/A</v>
      </c>
      <c r="AS873" s="616" t="e">
        <f t="shared" si="1086"/>
        <v>#N/A</v>
      </c>
      <c r="AT873" s="616" t="e">
        <f t="shared" si="1086"/>
        <v>#N/A</v>
      </c>
      <c r="AU873" s="616" t="e">
        <f t="shared" si="1086"/>
        <v>#N/A</v>
      </c>
      <c r="AV873" s="616" t="e">
        <f t="shared" si="1086"/>
        <v>#N/A</v>
      </c>
      <c r="AW873" s="616" t="e">
        <f t="shared" si="1086"/>
        <v>#N/A</v>
      </c>
      <c r="AX873" s="616" t="e">
        <f t="shared" si="1086"/>
        <v>#N/A</v>
      </c>
      <c r="AY873" s="616" t="e">
        <f t="shared" si="1086"/>
        <v>#N/A</v>
      </c>
      <c r="AZ873" s="616" t="e">
        <f t="shared" si="1086"/>
        <v>#N/A</v>
      </c>
      <c r="BA873" s="616" t="e">
        <f t="shared" si="1086"/>
        <v>#N/A</v>
      </c>
      <c r="BB873" s="616" t="e">
        <f t="shared" si="1086"/>
        <v>#N/A</v>
      </c>
      <c r="BC873" s="616" t="e">
        <f t="shared" si="1086"/>
        <v>#N/A</v>
      </c>
      <c r="BD873" s="616" t="e">
        <f t="shared" si="1086"/>
        <v>#N/A</v>
      </c>
      <c r="BE873" s="616" t="e">
        <f t="shared" si="1086"/>
        <v>#N/A</v>
      </c>
      <c r="BF873" s="616" t="e">
        <f t="shared" si="1086"/>
        <v>#N/A</v>
      </c>
      <c r="BG873" s="616" t="e">
        <f t="shared" si="1086"/>
        <v>#N/A</v>
      </c>
      <c r="BH873" s="616" t="e">
        <f t="shared" si="1086"/>
        <v>#N/A</v>
      </c>
      <c r="BI873" s="616" t="e">
        <f t="shared" si="1086"/>
        <v>#N/A</v>
      </c>
      <c r="BJ873" s="616" t="e">
        <f t="shared" si="1086"/>
        <v>#N/A</v>
      </c>
      <c r="BK873" s="616" t="e">
        <f t="shared" si="1086"/>
        <v>#N/A</v>
      </c>
      <c r="BL873" s="616" t="e">
        <f t="shared" si="1086"/>
        <v>#N/A</v>
      </c>
      <c r="BM873" s="616" t="e">
        <f t="shared" si="1086"/>
        <v>#N/A</v>
      </c>
      <c r="BN873" s="616" t="e">
        <f t="shared" si="1086"/>
        <v>#N/A</v>
      </c>
      <c r="BO873" s="616" t="e">
        <f t="shared" si="1086"/>
        <v>#N/A</v>
      </c>
      <c r="BP873" s="616" t="e">
        <f t="shared" si="1086"/>
        <v>#N/A</v>
      </c>
      <c r="BQ873" s="616" t="e">
        <f t="shared" si="1086"/>
        <v>#N/A</v>
      </c>
      <c r="BR873" s="616" t="e">
        <f t="shared" si="1086"/>
        <v>#N/A</v>
      </c>
      <c r="BS873" s="616" t="e">
        <f t="shared" si="1086"/>
        <v>#N/A</v>
      </c>
      <c r="BT873" s="616" t="e">
        <f t="shared" si="1086"/>
        <v>#N/A</v>
      </c>
      <c r="BU873" s="616" t="e">
        <f t="shared" si="1086"/>
        <v>#N/A</v>
      </c>
      <c r="BV873" s="616" t="e">
        <f t="shared" si="1086"/>
        <v>#N/A</v>
      </c>
      <c r="BW873" s="616" t="e">
        <f t="shared" si="1086"/>
        <v>#N/A</v>
      </c>
      <c r="BX873" s="616" t="e">
        <f t="shared" si="1086"/>
        <v>#N/A</v>
      </c>
      <c r="BY873" s="616" t="e">
        <f t="shared" si="1086"/>
        <v>#N/A</v>
      </c>
      <c r="BZ873" s="616" t="e">
        <f t="shared" si="1086"/>
        <v>#N/A</v>
      </c>
      <c r="CA873" s="616" t="e">
        <f t="shared" si="1086"/>
        <v>#N/A</v>
      </c>
      <c r="CB873" s="616" t="e">
        <f t="shared" si="1086"/>
        <v>#N/A</v>
      </c>
      <c r="CC873" s="616" t="e">
        <f t="shared" si="1086"/>
        <v>#N/A</v>
      </c>
      <c r="CD873" s="616" t="e">
        <f t="shared" si="1086"/>
        <v>#N/A</v>
      </c>
      <c r="CE873" s="616" t="e">
        <f t="shared" si="1086"/>
        <v>#N/A</v>
      </c>
      <c r="CF873" s="616" t="e">
        <f t="shared" si="1086"/>
        <v>#N/A</v>
      </c>
      <c r="CG873" s="616" t="e">
        <f t="shared" si="1086"/>
        <v>#N/A</v>
      </c>
      <c r="CH873" s="616" t="e">
        <f t="shared" ref="CH873:CN873" si="1087">SUM(CH870:CH871)</f>
        <v>#N/A</v>
      </c>
      <c r="CI873" s="616" t="e">
        <f t="shared" si="1087"/>
        <v>#N/A</v>
      </c>
      <c r="CJ873" s="616" t="e">
        <f t="shared" si="1087"/>
        <v>#N/A</v>
      </c>
      <c r="CK873" s="616" t="e">
        <f t="shared" si="1087"/>
        <v>#N/A</v>
      </c>
      <c r="CL873" s="616" t="e">
        <f t="shared" si="1087"/>
        <v>#N/A</v>
      </c>
      <c r="CM873" s="616" t="e">
        <f t="shared" si="1087"/>
        <v>#N/A</v>
      </c>
      <c r="CN873" s="616" t="e">
        <f t="shared" si="1087"/>
        <v>#N/A</v>
      </c>
    </row>
    <row r="874" spans="8:93">
      <c r="H874" s="602" t="s">
        <v>940</v>
      </c>
      <c r="L874" s="618" t="s">
        <v>1307</v>
      </c>
      <c r="M874" s="600" t="s">
        <v>974</v>
      </c>
      <c r="N874" s="615" t="e">
        <f>SUM(U874:AF874)</f>
        <v>#N/A</v>
      </c>
      <c r="O874" s="615" t="e">
        <f>SUM(AG874:AR874)</f>
        <v>#N/A</v>
      </c>
      <c r="P874" s="615" t="e">
        <f>SUM(AS874:BD874)</f>
        <v>#N/A</v>
      </c>
      <c r="Q874" s="615" t="e">
        <f>SUM(BE874:BP874)</f>
        <v>#N/A</v>
      </c>
      <c r="R874" s="615" t="e">
        <f>SUM(BQ874:CB874)</f>
        <v>#N/A</v>
      </c>
      <c r="S874" s="615" t="e">
        <f>SUM(CC874:CN874)</f>
        <v>#N/A</v>
      </c>
      <c r="U874" s="616" t="e">
        <f t="shared" ref="U874:CF874" si="1088">U873-U850</f>
        <v>#N/A</v>
      </c>
      <c r="V874" s="616" t="e">
        <f t="shared" si="1088"/>
        <v>#N/A</v>
      </c>
      <c r="W874" s="616" t="e">
        <f t="shared" si="1088"/>
        <v>#N/A</v>
      </c>
      <c r="X874" s="616" t="e">
        <f t="shared" si="1088"/>
        <v>#N/A</v>
      </c>
      <c r="Y874" s="616" t="e">
        <f t="shared" si="1088"/>
        <v>#N/A</v>
      </c>
      <c r="Z874" s="616" t="e">
        <f t="shared" si="1088"/>
        <v>#N/A</v>
      </c>
      <c r="AA874" s="616" t="e">
        <f t="shared" si="1088"/>
        <v>#N/A</v>
      </c>
      <c r="AB874" s="616" t="e">
        <f t="shared" si="1088"/>
        <v>#N/A</v>
      </c>
      <c r="AC874" s="616" t="e">
        <f t="shared" si="1088"/>
        <v>#N/A</v>
      </c>
      <c r="AD874" s="616" t="e">
        <f t="shared" si="1088"/>
        <v>#N/A</v>
      </c>
      <c r="AE874" s="616" t="e">
        <f t="shared" si="1088"/>
        <v>#N/A</v>
      </c>
      <c r="AF874" s="616" t="e">
        <f t="shared" si="1088"/>
        <v>#N/A</v>
      </c>
      <c r="AG874" s="616" t="e">
        <f t="shared" si="1088"/>
        <v>#N/A</v>
      </c>
      <c r="AH874" s="616" t="e">
        <f t="shared" si="1088"/>
        <v>#N/A</v>
      </c>
      <c r="AI874" s="616" t="e">
        <f t="shared" si="1088"/>
        <v>#N/A</v>
      </c>
      <c r="AJ874" s="616" t="e">
        <f t="shared" si="1088"/>
        <v>#N/A</v>
      </c>
      <c r="AK874" s="616" t="e">
        <f t="shared" si="1088"/>
        <v>#N/A</v>
      </c>
      <c r="AL874" s="616" t="e">
        <f t="shared" si="1088"/>
        <v>#N/A</v>
      </c>
      <c r="AM874" s="616" t="e">
        <f t="shared" si="1088"/>
        <v>#N/A</v>
      </c>
      <c r="AN874" s="616" t="e">
        <f t="shared" si="1088"/>
        <v>#N/A</v>
      </c>
      <c r="AO874" s="616" t="e">
        <f t="shared" si="1088"/>
        <v>#N/A</v>
      </c>
      <c r="AP874" s="616" t="e">
        <f t="shared" si="1088"/>
        <v>#N/A</v>
      </c>
      <c r="AQ874" s="616" t="e">
        <f t="shared" si="1088"/>
        <v>#N/A</v>
      </c>
      <c r="AR874" s="616" t="e">
        <f t="shared" si="1088"/>
        <v>#N/A</v>
      </c>
      <c r="AS874" s="616" t="e">
        <f t="shared" si="1088"/>
        <v>#N/A</v>
      </c>
      <c r="AT874" s="616" t="e">
        <f t="shared" si="1088"/>
        <v>#N/A</v>
      </c>
      <c r="AU874" s="616" t="e">
        <f t="shared" si="1088"/>
        <v>#N/A</v>
      </c>
      <c r="AV874" s="616" t="e">
        <f t="shared" si="1088"/>
        <v>#N/A</v>
      </c>
      <c r="AW874" s="616" t="e">
        <f t="shared" si="1088"/>
        <v>#N/A</v>
      </c>
      <c r="AX874" s="616" t="e">
        <f t="shared" si="1088"/>
        <v>#N/A</v>
      </c>
      <c r="AY874" s="616" t="e">
        <f t="shared" si="1088"/>
        <v>#N/A</v>
      </c>
      <c r="AZ874" s="616" t="e">
        <f t="shared" si="1088"/>
        <v>#N/A</v>
      </c>
      <c r="BA874" s="616" t="e">
        <f t="shared" si="1088"/>
        <v>#N/A</v>
      </c>
      <c r="BB874" s="616" t="e">
        <f t="shared" si="1088"/>
        <v>#N/A</v>
      </c>
      <c r="BC874" s="616" t="e">
        <f t="shared" si="1088"/>
        <v>#N/A</v>
      </c>
      <c r="BD874" s="616" t="e">
        <f t="shared" si="1088"/>
        <v>#N/A</v>
      </c>
      <c r="BE874" s="616" t="e">
        <f t="shared" si="1088"/>
        <v>#N/A</v>
      </c>
      <c r="BF874" s="616" t="e">
        <f t="shared" si="1088"/>
        <v>#N/A</v>
      </c>
      <c r="BG874" s="616" t="e">
        <f t="shared" si="1088"/>
        <v>#N/A</v>
      </c>
      <c r="BH874" s="616" t="e">
        <f t="shared" si="1088"/>
        <v>#N/A</v>
      </c>
      <c r="BI874" s="616" t="e">
        <f t="shared" si="1088"/>
        <v>#N/A</v>
      </c>
      <c r="BJ874" s="616" t="e">
        <f t="shared" si="1088"/>
        <v>#N/A</v>
      </c>
      <c r="BK874" s="616" t="e">
        <f t="shared" si="1088"/>
        <v>#N/A</v>
      </c>
      <c r="BL874" s="616" t="e">
        <f t="shared" si="1088"/>
        <v>#N/A</v>
      </c>
      <c r="BM874" s="616" t="e">
        <f t="shared" si="1088"/>
        <v>#N/A</v>
      </c>
      <c r="BN874" s="616" t="e">
        <f t="shared" si="1088"/>
        <v>#N/A</v>
      </c>
      <c r="BO874" s="616" t="e">
        <f t="shared" si="1088"/>
        <v>#N/A</v>
      </c>
      <c r="BP874" s="616" t="e">
        <f t="shared" si="1088"/>
        <v>#N/A</v>
      </c>
      <c r="BQ874" s="616" t="e">
        <f t="shared" si="1088"/>
        <v>#N/A</v>
      </c>
      <c r="BR874" s="616" t="e">
        <f t="shared" si="1088"/>
        <v>#N/A</v>
      </c>
      <c r="BS874" s="616" t="e">
        <f t="shared" si="1088"/>
        <v>#N/A</v>
      </c>
      <c r="BT874" s="616" t="e">
        <f t="shared" si="1088"/>
        <v>#N/A</v>
      </c>
      <c r="BU874" s="616" t="e">
        <f t="shared" si="1088"/>
        <v>#N/A</v>
      </c>
      <c r="BV874" s="616" t="e">
        <f t="shared" si="1088"/>
        <v>#N/A</v>
      </c>
      <c r="BW874" s="616" t="e">
        <f t="shared" si="1088"/>
        <v>#N/A</v>
      </c>
      <c r="BX874" s="616" t="e">
        <f t="shared" si="1088"/>
        <v>#N/A</v>
      </c>
      <c r="BY874" s="616" t="e">
        <f t="shared" si="1088"/>
        <v>#N/A</v>
      </c>
      <c r="BZ874" s="616" t="e">
        <f t="shared" si="1088"/>
        <v>#N/A</v>
      </c>
      <c r="CA874" s="616" t="e">
        <f t="shared" si="1088"/>
        <v>#N/A</v>
      </c>
      <c r="CB874" s="616" t="e">
        <f t="shared" si="1088"/>
        <v>#N/A</v>
      </c>
      <c r="CC874" s="616" t="e">
        <f t="shared" si="1088"/>
        <v>#N/A</v>
      </c>
      <c r="CD874" s="616" t="e">
        <f t="shared" si="1088"/>
        <v>#N/A</v>
      </c>
      <c r="CE874" s="616" t="e">
        <f t="shared" si="1088"/>
        <v>#N/A</v>
      </c>
      <c r="CF874" s="616" t="e">
        <f t="shared" si="1088"/>
        <v>#N/A</v>
      </c>
      <c r="CG874" s="616" t="e">
        <f t="shared" ref="CG874:CN874" si="1089">CG873-CG850</f>
        <v>#N/A</v>
      </c>
      <c r="CH874" s="616" t="e">
        <f t="shared" si="1089"/>
        <v>#N/A</v>
      </c>
      <c r="CI874" s="616" t="e">
        <f t="shared" si="1089"/>
        <v>#N/A</v>
      </c>
      <c r="CJ874" s="616" t="e">
        <f t="shared" si="1089"/>
        <v>#N/A</v>
      </c>
      <c r="CK874" s="616" t="e">
        <f t="shared" si="1089"/>
        <v>#N/A</v>
      </c>
      <c r="CL874" s="616" t="e">
        <f t="shared" si="1089"/>
        <v>#N/A</v>
      </c>
      <c r="CM874" s="616" t="e">
        <f t="shared" si="1089"/>
        <v>#N/A</v>
      </c>
      <c r="CN874" s="616" t="e">
        <f t="shared" si="1089"/>
        <v>#N/A</v>
      </c>
    </row>
    <row r="875" spans="8:93">
      <c r="H875" s="602" t="s">
        <v>940</v>
      </c>
    </row>
    <row r="876" spans="8:93" ht="18">
      <c r="H876" s="602" t="s">
        <v>940</v>
      </c>
      <c r="L876" s="652" t="s">
        <v>1321</v>
      </c>
      <c r="M876" s="551"/>
      <c r="N876" s="751"/>
      <c r="O876" s="751"/>
      <c r="P876" s="751"/>
      <c r="Q876" s="751"/>
      <c r="R876" s="751"/>
      <c r="S876" s="751"/>
      <c r="T876" s="551"/>
      <c r="U876" s="551"/>
      <c r="V876" s="551"/>
      <c r="W876" s="551"/>
      <c r="X876" s="551"/>
      <c r="Y876" s="551"/>
      <c r="Z876" s="551"/>
      <c r="AA876" s="551"/>
      <c r="AB876" s="551"/>
      <c r="AC876" s="551"/>
      <c r="AD876" s="551"/>
      <c r="AE876" s="551"/>
      <c r="AF876" s="551"/>
      <c r="AG876" s="551"/>
      <c r="AH876" s="551"/>
      <c r="AI876" s="551"/>
      <c r="AJ876" s="551"/>
      <c r="AK876" s="551"/>
      <c r="AL876" s="551"/>
      <c r="AM876" s="551"/>
      <c r="AN876" s="551"/>
      <c r="AO876" s="551"/>
      <c r="AP876" s="551"/>
      <c r="AQ876" s="551"/>
      <c r="AR876" s="551"/>
      <c r="AS876" s="551"/>
      <c r="AT876" s="551"/>
      <c r="AU876" s="551"/>
      <c r="AV876" s="551"/>
      <c r="AW876" s="551"/>
      <c r="AX876" s="551"/>
      <c r="AY876" s="551"/>
      <c r="AZ876" s="551"/>
      <c r="BA876" s="551"/>
      <c r="BB876" s="551"/>
      <c r="BC876" s="551"/>
      <c r="BD876" s="551"/>
      <c r="BE876" s="551"/>
      <c r="BF876" s="551"/>
      <c r="BG876" s="551"/>
      <c r="BH876" s="551"/>
      <c r="BI876" s="551"/>
      <c r="BJ876" s="551"/>
      <c r="BK876" s="551"/>
      <c r="BL876" s="551"/>
      <c r="BM876" s="551"/>
      <c r="BN876" s="551"/>
      <c r="BO876" s="551"/>
      <c r="BP876" s="551"/>
      <c r="BQ876" s="551"/>
      <c r="BR876" s="551"/>
      <c r="BS876" s="551"/>
      <c r="BT876" s="551"/>
      <c r="BU876" s="551"/>
      <c r="BV876" s="551"/>
      <c r="BW876" s="551"/>
      <c r="BX876" s="551"/>
      <c r="BY876" s="551"/>
      <c r="BZ876" s="551"/>
      <c r="CA876" s="551"/>
      <c r="CB876" s="551"/>
      <c r="CC876" s="551"/>
      <c r="CD876" s="551"/>
      <c r="CE876" s="551"/>
      <c r="CF876" s="551"/>
      <c r="CG876" s="551"/>
      <c r="CH876" s="551"/>
      <c r="CI876" s="551"/>
      <c r="CJ876" s="551"/>
      <c r="CK876" s="551"/>
      <c r="CL876" s="551"/>
      <c r="CM876" s="551"/>
      <c r="CN876" s="551"/>
    </row>
    <row r="877" spans="8:93">
      <c r="H877" s="602" t="s">
        <v>940</v>
      </c>
    </row>
    <row r="878" spans="8:93">
      <c r="H878" s="602" t="s">
        <v>940</v>
      </c>
      <c r="L878" s="609"/>
      <c r="M878" s="609" t="s">
        <v>359</v>
      </c>
      <c r="N878" s="704" t="s">
        <v>929</v>
      </c>
      <c r="O878" s="704" t="s">
        <v>1193</v>
      </c>
      <c r="P878" s="704" t="s">
        <v>1194</v>
      </c>
      <c r="Q878" s="704" t="s">
        <v>1195</v>
      </c>
      <c r="R878" s="704" t="s">
        <v>1196</v>
      </c>
      <c r="S878" s="704" t="s">
        <v>1197</v>
      </c>
      <c r="T878" s="753"/>
      <c r="U878" s="692" t="s">
        <v>929</v>
      </c>
      <c r="AF878" s="753"/>
      <c r="AG878" s="704" t="s">
        <v>1193</v>
      </c>
      <c r="AR878" s="753"/>
      <c r="AS878" s="704" t="s">
        <v>1194</v>
      </c>
      <c r="BD878" s="753"/>
      <c r="BE878" s="704" t="s">
        <v>1195</v>
      </c>
      <c r="BP878" s="753"/>
      <c r="BQ878" s="704" t="s">
        <v>1196</v>
      </c>
      <c r="CB878" s="753"/>
      <c r="CC878" s="704" t="s">
        <v>1197</v>
      </c>
    </row>
    <row r="879" spans="8:93">
      <c r="H879" s="602" t="s">
        <v>940</v>
      </c>
      <c r="L879" s="611"/>
      <c r="M879" s="611"/>
      <c r="N879" s="754" t="s">
        <v>405</v>
      </c>
      <c r="O879" s="754" t="s">
        <v>405</v>
      </c>
      <c r="P879" s="754" t="s">
        <v>405</v>
      </c>
      <c r="Q879" s="754" t="s">
        <v>405</v>
      </c>
      <c r="R879" s="754" t="s">
        <v>405</v>
      </c>
      <c r="S879" s="754" t="s">
        <v>405</v>
      </c>
      <c r="T879" s="755"/>
      <c r="U879" s="754" t="s">
        <v>1259</v>
      </c>
      <c r="V879" s="754" t="s">
        <v>1260</v>
      </c>
      <c r="W879" s="754" t="s">
        <v>1261</v>
      </c>
      <c r="X879" s="754" t="s">
        <v>1262</v>
      </c>
      <c r="Y879" s="754" t="s">
        <v>947</v>
      </c>
      <c r="Z879" s="754" t="s">
        <v>1263</v>
      </c>
      <c r="AA879" s="754" t="s">
        <v>1264</v>
      </c>
      <c r="AB879" s="754" t="s">
        <v>1265</v>
      </c>
      <c r="AC879" s="754" t="s">
        <v>1266</v>
      </c>
      <c r="AD879" s="754" t="s">
        <v>1267</v>
      </c>
      <c r="AE879" s="754" t="s">
        <v>1268</v>
      </c>
      <c r="AF879" s="756" t="s">
        <v>1269</v>
      </c>
      <c r="AG879" s="754" t="s">
        <v>1259</v>
      </c>
      <c r="AH879" s="754" t="s">
        <v>1260</v>
      </c>
      <c r="AI879" s="754" t="s">
        <v>1261</v>
      </c>
      <c r="AJ879" s="754" t="s">
        <v>1262</v>
      </c>
      <c r="AK879" s="754" t="s">
        <v>947</v>
      </c>
      <c r="AL879" s="754" t="s">
        <v>1263</v>
      </c>
      <c r="AM879" s="754" t="s">
        <v>1264</v>
      </c>
      <c r="AN879" s="754" t="s">
        <v>1265</v>
      </c>
      <c r="AO879" s="754" t="s">
        <v>1266</v>
      </c>
      <c r="AP879" s="754" t="s">
        <v>1267</v>
      </c>
      <c r="AQ879" s="754" t="s">
        <v>1268</v>
      </c>
      <c r="AR879" s="756" t="s">
        <v>1269</v>
      </c>
      <c r="AS879" s="754" t="s">
        <v>1259</v>
      </c>
      <c r="AT879" s="754" t="s">
        <v>1260</v>
      </c>
      <c r="AU879" s="754" t="s">
        <v>1261</v>
      </c>
      <c r="AV879" s="754" t="s">
        <v>1262</v>
      </c>
      <c r="AW879" s="754" t="s">
        <v>947</v>
      </c>
      <c r="AX879" s="754" t="s">
        <v>1263</v>
      </c>
      <c r="AY879" s="754" t="s">
        <v>1264</v>
      </c>
      <c r="AZ879" s="754" t="s">
        <v>1265</v>
      </c>
      <c r="BA879" s="754" t="s">
        <v>1266</v>
      </c>
      <c r="BB879" s="754" t="s">
        <v>1267</v>
      </c>
      <c r="BC879" s="754" t="s">
        <v>1268</v>
      </c>
      <c r="BD879" s="756" t="s">
        <v>1269</v>
      </c>
      <c r="BE879" s="754" t="s">
        <v>1259</v>
      </c>
      <c r="BF879" s="754" t="s">
        <v>1260</v>
      </c>
      <c r="BG879" s="754" t="s">
        <v>1261</v>
      </c>
      <c r="BH879" s="754" t="s">
        <v>1262</v>
      </c>
      <c r="BI879" s="754" t="s">
        <v>947</v>
      </c>
      <c r="BJ879" s="754" t="s">
        <v>1263</v>
      </c>
      <c r="BK879" s="754" t="s">
        <v>1264</v>
      </c>
      <c r="BL879" s="754" t="s">
        <v>1265</v>
      </c>
      <c r="BM879" s="754" t="s">
        <v>1266</v>
      </c>
      <c r="BN879" s="754" t="s">
        <v>1267</v>
      </c>
      <c r="BO879" s="754" t="s">
        <v>1268</v>
      </c>
      <c r="BP879" s="756" t="s">
        <v>1269</v>
      </c>
      <c r="BQ879" s="754" t="s">
        <v>1259</v>
      </c>
      <c r="BR879" s="754" t="s">
        <v>1260</v>
      </c>
      <c r="BS879" s="754" t="s">
        <v>1261</v>
      </c>
      <c r="BT879" s="754" t="s">
        <v>1262</v>
      </c>
      <c r="BU879" s="754" t="s">
        <v>947</v>
      </c>
      <c r="BV879" s="754" t="s">
        <v>1263</v>
      </c>
      <c r="BW879" s="754" t="s">
        <v>1264</v>
      </c>
      <c r="BX879" s="754" t="s">
        <v>1265</v>
      </c>
      <c r="BY879" s="754" t="s">
        <v>1266</v>
      </c>
      <c r="BZ879" s="754" t="s">
        <v>1267</v>
      </c>
      <c r="CA879" s="754" t="s">
        <v>1268</v>
      </c>
      <c r="CB879" s="756" t="s">
        <v>1269</v>
      </c>
      <c r="CC879" s="754" t="s">
        <v>1259</v>
      </c>
      <c r="CD879" s="754" t="s">
        <v>1260</v>
      </c>
      <c r="CE879" s="754" t="s">
        <v>1261</v>
      </c>
      <c r="CF879" s="754" t="s">
        <v>1262</v>
      </c>
      <c r="CG879" s="754" t="s">
        <v>947</v>
      </c>
      <c r="CH879" s="754" t="s">
        <v>1263</v>
      </c>
      <c r="CI879" s="754" t="s">
        <v>1264</v>
      </c>
      <c r="CJ879" s="754" t="s">
        <v>1265</v>
      </c>
      <c r="CK879" s="754" t="s">
        <v>1266</v>
      </c>
      <c r="CL879" s="754" t="s">
        <v>1267</v>
      </c>
      <c r="CM879" s="754" t="s">
        <v>1268</v>
      </c>
      <c r="CN879" s="754" t="s">
        <v>1269</v>
      </c>
    </row>
    <row r="880" spans="8:93">
      <c r="H880" s="602" t="s">
        <v>940</v>
      </c>
      <c r="L880" s="609"/>
    </row>
    <row r="881" spans="8:92">
      <c r="H881" s="602" t="s">
        <v>940</v>
      </c>
      <c r="L881" s="618" t="s">
        <v>1290</v>
      </c>
      <c r="M881" s="600" t="s">
        <v>1204</v>
      </c>
      <c r="N881" s="615" t="e">
        <f>SUM(U881:AF881)</f>
        <v>#N/A</v>
      </c>
      <c r="O881" s="615" t="e">
        <f>SUM(AG881:AR881)</f>
        <v>#N/A</v>
      </c>
      <c r="P881" s="615" t="e">
        <f>SUM(AS881:BD881)</f>
        <v>#N/A</v>
      </c>
      <c r="Q881" s="615" t="e">
        <f>SUM(BE881:BP881)</f>
        <v>#N/A</v>
      </c>
      <c r="R881" s="615" t="e">
        <f>SUM(BQ881:CB881)</f>
        <v>#N/A</v>
      </c>
      <c r="S881" s="615" t="e">
        <f>SUM(CC881:CN881)</f>
        <v>#N/A</v>
      </c>
      <c r="U881" s="616" t="e">
        <f>U509</f>
        <v>#N/A</v>
      </c>
      <c r="V881" s="616" t="e">
        <f t="shared" ref="V881:CG881" si="1090">V509</f>
        <v>#N/A</v>
      </c>
      <c r="W881" s="616" t="e">
        <f t="shared" si="1090"/>
        <v>#N/A</v>
      </c>
      <c r="X881" s="616" t="e">
        <f t="shared" si="1090"/>
        <v>#N/A</v>
      </c>
      <c r="Y881" s="616" t="e">
        <f t="shared" si="1090"/>
        <v>#N/A</v>
      </c>
      <c r="Z881" s="616" t="e">
        <f t="shared" si="1090"/>
        <v>#N/A</v>
      </c>
      <c r="AA881" s="616" t="e">
        <f t="shared" si="1090"/>
        <v>#N/A</v>
      </c>
      <c r="AB881" s="616" t="e">
        <f t="shared" si="1090"/>
        <v>#N/A</v>
      </c>
      <c r="AC881" s="616" t="e">
        <f t="shared" si="1090"/>
        <v>#N/A</v>
      </c>
      <c r="AD881" s="616" t="e">
        <f t="shared" si="1090"/>
        <v>#N/A</v>
      </c>
      <c r="AE881" s="616" t="e">
        <f t="shared" si="1090"/>
        <v>#N/A</v>
      </c>
      <c r="AF881" s="616" t="e">
        <f t="shared" si="1090"/>
        <v>#N/A</v>
      </c>
      <c r="AG881" s="616" t="e">
        <f t="shared" si="1090"/>
        <v>#N/A</v>
      </c>
      <c r="AH881" s="616" t="e">
        <f t="shared" si="1090"/>
        <v>#N/A</v>
      </c>
      <c r="AI881" s="616" t="e">
        <f t="shared" si="1090"/>
        <v>#N/A</v>
      </c>
      <c r="AJ881" s="616" t="e">
        <f t="shared" si="1090"/>
        <v>#N/A</v>
      </c>
      <c r="AK881" s="616" t="e">
        <f t="shared" si="1090"/>
        <v>#N/A</v>
      </c>
      <c r="AL881" s="616" t="e">
        <f t="shared" si="1090"/>
        <v>#N/A</v>
      </c>
      <c r="AM881" s="616" t="e">
        <f t="shared" si="1090"/>
        <v>#N/A</v>
      </c>
      <c r="AN881" s="616" t="e">
        <f t="shared" si="1090"/>
        <v>#N/A</v>
      </c>
      <c r="AO881" s="616" t="e">
        <f t="shared" si="1090"/>
        <v>#N/A</v>
      </c>
      <c r="AP881" s="616" t="e">
        <f t="shared" si="1090"/>
        <v>#N/A</v>
      </c>
      <c r="AQ881" s="616" t="e">
        <f t="shared" si="1090"/>
        <v>#N/A</v>
      </c>
      <c r="AR881" s="616" t="e">
        <f t="shared" si="1090"/>
        <v>#N/A</v>
      </c>
      <c r="AS881" s="616" t="e">
        <f t="shared" si="1090"/>
        <v>#N/A</v>
      </c>
      <c r="AT881" s="616" t="e">
        <f t="shared" si="1090"/>
        <v>#N/A</v>
      </c>
      <c r="AU881" s="616" t="e">
        <f t="shared" si="1090"/>
        <v>#N/A</v>
      </c>
      <c r="AV881" s="616" t="e">
        <f t="shared" si="1090"/>
        <v>#N/A</v>
      </c>
      <c r="AW881" s="616" t="e">
        <f t="shared" si="1090"/>
        <v>#N/A</v>
      </c>
      <c r="AX881" s="616" t="e">
        <f t="shared" si="1090"/>
        <v>#N/A</v>
      </c>
      <c r="AY881" s="616" t="e">
        <f t="shared" si="1090"/>
        <v>#N/A</v>
      </c>
      <c r="AZ881" s="616" t="e">
        <f t="shared" si="1090"/>
        <v>#N/A</v>
      </c>
      <c r="BA881" s="616" t="e">
        <f t="shared" si="1090"/>
        <v>#N/A</v>
      </c>
      <c r="BB881" s="616" t="e">
        <f t="shared" si="1090"/>
        <v>#N/A</v>
      </c>
      <c r="BC881" s="616" t="e">
        <f t="shared" si="1090"/>
        <v>#N/A</v>
      </c>
      <c r="BD881" s="616" t="e">
        <f t="shared" si="1090"/>
        <v>#N/A</v>
      </c>
      <c r="BE881" s="616" t="e">
        <f t="shared" si="1090"/>
        <v>#N/A</v>
      </c>
      <c r="BF881" s="616" t="e">
        <f t="shared" si="1090"/>
        <v>#N/A</v>
      </c>
      <c r="BG881" s="616" t="e">
        <f t="shared" si="1090"/>
        <v>#N/A</v>
      </c>
      <c r="BH881" s="616" t="e">
        <f t="shared" si="1090"/>
        <v>#N/A</v>
      </c>
      <c r="BI881" s="616" t="e">
        <f t="shared" si="1090"/>
        <v>#N/A</v>
      </c>
      <c r="BJ881" s="616" t="e">
        <f t="shared" si="1090"/>
        <v>#N/A</v>
      </c>
      <c r="BK881" s="616" t="e">
        <f t="shared" si="1090"/>
        <v>#N/A</v>
      </c>
      <c r="BL881" s="616" t="e">
        <f t="shared" si="1090"/>
        <v>#N/A</v>
      </c>
      <c r="BM881" s="616" t="e">
        <f t="shared" si="1090"/>
        <v>#N/A</v>
      </c>
      <c r="BN881" s="616" t="e">
        <f t="shared" si="1090"/>
        <v>#N/A</v>
      </c>
      <c r="BO881" s="616" t="e">
        <f t="shared" si="1090"/>
        <v>#N/A</v>
      </c>
      <c r="BP881" s="616" t="e">
        <f t="shared" si="1090"/>
        <v>#N/A</v>
      </c>
      <c r="BQ881" s="616" t="e">
        <f t="shared" si="1090"/>
        <v>#N/A</v>
      </c>
      <c r="BR881" s="616" t="e">
        <f t="shared" si="1090"/>
        <v>#N/A</v>
      </c>
      <c r="BS881" s="616" t="e">
        <f t="shared" si="1090"/>
        <v>#N/A</v>
      </c>
      <c r="BT881" s="616" t="e">
        <f t="shared" si="1090"/>
        <v>#N/A</v>
      </c>
      <c r="BU881" s="616" t="e">
        <f t="shared" si="1090"/>
        <v>#N/A</v>
      </c>
      <c r="BV881" s="616" t="e">
        <f t="shared" si="1090"/>
        <v>#N/A</v>
      </c>
      <c r="BW881" s="616" t="e">
        <f t="shared" si="1090"/>
        <v>#N/A</v>
      </c>
      <c r="BX881" s="616" t="e">
        <f t="shared" si="1090"/>
        <v>#N/A</v>
      </c>
      <c r="BY881" s="616" t="e">
        <f t="shared" si="1090"/>
        <v>#N/A</v>
      </c>
      <c r="BZ881" s="616" t="e">
        <f t="shared" si="1090"/>
        <v>#N/A</v>
      </c>
      <c r="CA881" s="616" t="e">
        <f t="shared" si="1090"/>
        <v>#N/A</v>
      </c>
      <c r="CB881" s="616" t="e">
        <f t="shared" si="1090"/>
        <v>#N/A</v>
      </c>
      <c r="CC881" s="616" t="e">
        <f t="shared" si="1090"/>
        <v>#N/A</v>
      </c>
      <c r="CD881" s="616" t="e">
        <f t="shared" si="1090"/>
        <v>#N/A</v>
      </c>
      <c r="CE881" s="616" t="e">
        <f t="shared" si="1090"/>
        <v>#N/A</v>
      </c>
      <c r="CF881" s="616" t="e">
        <f t="shared" si="1090"/>
        <v>#N/A</v>
      </c>
      <c r="CG881" s="616" t="e">
        <f t="shared" si="1090"/>
        <v>#N/A</v>
      </c>
      <c r="CH881" s="616" t="e">
        <f t="shared" ref="CH881:CN881" si="1091">CH509</f>
        <v>#N/A</v>
      </c>
      <c r="CI881" s="616" t="e">
        <f t="shared" si="1091"/>
        <v>#N/A</v>
      </c>
      <c r="CJ881" s="616" t="e">
        <f t="shared" si="1091"/>
        <v>#N/A</v>
      </c>
      <c r="CK881" s="616" t="e">
        <f t="shared" si="1091"/>
        <v>#N/A</v>
      </c>
      <c r="CL881" s="616" t="e">
        <f t="shared" si="1091"/>
        <v>#N/A</v>
      </c>
      <c r="CM881" s="616" t="e">
        <f t="shared" si="1091"/>
        <v>#N/A</v>
      </c>
      <c r="CN881" s="616" t="e">
        <f t="shared" si="1091"/>
        <v>#N/A</v>
      </c>
    </row>
    <row r="882" spans="8:92">
      <c r="H882" s="602" t="s">
        <v>940</v>
      </c>
      <c r="L882" s="609"/>
      <c r="N882" s="615"/>
      <c r="O882" s="615"/>
      <c r="P882" s="615"/>
      <c r="Q882" s="615"/>
      <c r="R882" s="615"/>
      <c r="S882" s="615"/>
    </row>
    <row r="883" spans="8:92">
      <c r="H883" s="602" t="s">
        <v>940</v>
      </c>
      <c r="L883" s="618" t="s">
        <v>1296</v>
      </c>
      <c r="M883" s="600" t="s">
        <v>1204</v>
      </c>
      <c r="N883" s="615" t="e">
        <f>SUM(U883:AF883)</f>
        <v>#N/A</v>
      </c>
      <c r="O883" s="615" t="e">
        <f>SUM(AG883:AR883)</f>
        <v>#N/A</v>
      </c>
      <c r="P883" s="615" t="e">
        <f>SUM(AS883:BD883)</f>
        <v>#N/A</v>
      </c>
      <c r="Q883" s="615" t="e">
        <f>SUM(BE883:BP883)</f>
        <v>#N/A</v>
      </c>
      <c r="R883" s="615" t="e">
        <f>SUM(BQ883:CB883)</f>
        <v>#N/A</v>
      </c>
      <c r="S883" s="615" t="e">
        <f>SUM(CC883:CN883)</f>
        <v>#N/A</v>
      </c>
      <c r="U883" s="616" t="e">
        <f>MIN(U881,$R$386)</f>
        <v>#N/A</v>
      </c>
      <c r="V883" s="616" t="e">
        <f t="shared" ref="V883:CG883" si="1092">MIN(V881,$R$386)</f>
        <v>#N/A</v>
      </c>
      <c r="W883" s="616" t="e">
        <f t="shared" si="1092"/>
        <v>#N/A</v>
      </c>
      <c r="X883" s="616" t="e">
        <f t="shared" si="1092"/>
        <v>#N/A</v>
      </c>
      <c r="Y883" s="616" t="e">
        <f t="shared" si="1092"/>
        <v>#N/A</v>
      </c>
      <c r="Z883" s="616" t="e">
        <f t="shared" si="1092"/>
        <v>#N/A</v>
      </c>
      <c r="AA883" s="616" t="e">
        <f t="shared" si="1092"/>
        <v>#N/A</v>
      </c>
      <c r="AB883" s="616" t="e">
        <f t="shared" si="1092"/>
        <v>#N/A</v>
      </c>
      <c r="AC883" s="616" t="e">
        <f t="shared" si="1092"/>
        <v>#N/A</v>
      </c>
      <c r="AD883" s="616" t="e">
        <f t="shared" si="1092"/>
        <v>#N/A</v>
      </c>
      <c r="AE883" s="616" t="e">
        <f t="shared" si="1092"/>
        <v>#N/A</v>
      </c>
      <c r="AF883" s="616" t="e">
        <f t="shared" si="1092"/>
        <v>#N/A</v>
      </c>
      <c r="AG883" s="616" t="e">
        <f t="shared" si="1092"/>
        <v>#N/A</v>
      </c>
      <c r="AH883" s="616" t="e">
        <f t="shared" si="1092"/>
        <v>#N/A</v>
      </c>
      <c r="AI883" s="616" t="e">
        <f t="shared" si="1092"/>
        <v>#N/A</v>
      </c>
      <c r="AJ883" s="616" t="e">
        <f t="shared" si="1092"/>
        <v>#N/A</v>
      </c>
      <c r="AK883" s="616" t="e">
        <f t="shared" si="1092"/>
        <v>#N/A</v>
      </c>
      <c r="AL883" s="616" t="e">
        <f t="shared" si="1092"/>
        <v>#N/A</v>
      </c>
      <c r="AM883" s="616" t="e">
        <f t="shared" si="1092"/>
        <v>#N/A</v>
      </c>
      <c r="AN883" s="616" t="e">
        <f t="shared" si="1092"/>
        <v>#N/A</v>
      </c>
      <c r="AO883" s="616" t="e">
        <f t="shared" si="1092"/>
        <v>#N/A</v>
      </c>
      <c r="AP883" s="616" t="e">
        <f t="shared" si="1092"/>
        <v>#N/A</v>
      </c>
      <c r="AQ883" s="616" t="e">
        <f t="shared" si="1092"/>
        <v>#N/A</v>
      </c>
      <c r="AR883" s="616" t="e">
        <f t="shared" si="1092"/>
        <v>#N/A</v>
      </c>
      <c r="AS883" s="616" t="e">
        <f t="shared" si="1092"/>
        <v>#N/A</v>
      </c>
      <c r="AT883" s="616" t="e">
        <f t="shared" si="1092"/>
        <v>#N/A</v>
      </c>
      <c r="AU883" s="616" t="e">
        <f t="shared" si="1092"/>
        <v>#N/A</v>
      </c>
      <c r="AV883" s="616" t="e">
        <f t="shared" si="1092"/>
        <v>#N/A</v>
      </c>
      <c r="AW883" s="616" t="e">
        <f t="shared" si="1092"/>
        <v>#N/A</v>
      </c>
      <c r="AX883" s="616" t="e">
        <f t="shared" si="1092"/>
        <v>#N/A</v>
      </c>
      <c r="AY883" s="616" t="e">
        <f t="shared" si="1092"/>
        <v>#N/A</v>
      </c>
      <c r="AZ883" s="616" t="e">
        <f t="shared" si="1092"/>
        <v>#N/A</v>
      </c>
      <c r="BA883" s="616" t="e">
        <f t="shared" si="1092"/>
        <v>#N/A</v>
      </c>
      <c r="BB883" s="616" t="e">
        <f t="shared" si="1092"/>
        <v>#N/A</v>
      </c>
      <c r="BC883" s="616" t="e">
        <f t="shared" si="1092"/>
        <v>#N/A</v>
      </c>
      <c r="BD883" s="616" t="e">
        <f t="shared" si="1092"/>
        <v>#N/A</v>
      </c>
      <c r="BE883" s="616" t="e">
        <f t="shared" si="1092"/>
        <v>#N/A</v>
      </c>
      <c r="BF883" s="616" t="e">
        <f t="shared" si="1092"/>
        <v>#N/A</v>
      </c>
      <c r="BG883" s="616" t="e">
        <f t="shared" si="1092"/>
        <v>#N/A</v>
      </c>
      <c r="BH883" s="616" t="e">
        <f t="shared" si="1092"/>
        <v>#N/A</v>
      </c>
      <c r="BI883" s="616" t="e">
        <f t="shared" si="1092"/>
        <v>#N/A</v>
      </c>
      <c r="BJ883" s="616" t="e">
        <f t="shared" si="1092"/>
        <v>#N/A</v>
      </c>
      <c r="BK883" s="616" t="e">
        <f t="shared" si="1092"/>
        <v>#N/A</v>
      </c>
      <c r="BL883" s="616" t="e">
        <f t="shared" si="1092"/>
        <v>#N/A</v>
      </c>
      <c r="BM883" s="616" t="e">
        <f t="shared" si="1092"/>
        <v>#N/A</v>
      </c>
      <c r="BN883" s="616" t="e">
        <f t="shared" si="1092"/>
        <v>#N/A</v>
      </c>
      <c r="BO883" s="616" t="e">
        <f t="shared" si="1092"/>
        <v>#N/A</v>
      </c>
      <c r="BP883" s="616" t="e">
        <f t="shared" si="1092"/>
        <v>#N/A</v>
      </c>
      <c r="BQ883" s="616" t="e">
        <f t="shared" si="1092"/>
        <v>#N/A</v>
      </c>
      <c r="BR883" s="616" t="e">
        <f t="shared" si="1092"/>
        <v>#N/A</v>
      </c>
      <c r="BS883" s="616" t="e">
        <f t="shared" si="1092"/>
        <v>#N/A</v>
      </c>
      <c r="BT883" s="616" t="e">
        <f t="shared" si="1092"/>
        <v>#N/A</v>
      </c>
      <c r="BU883" s="616" t="e">
        <f t="shared" si="1092"/>
        <v>#N/A</v>
      </c>
      <c r="BV883" s="616" t="e">
        <f t="shared" si="1092"/>
        <v>#N/A</v>
      </c>
      <c r="BW883" s="616" t="e">
        <f t="shared" si="1092"/>
        <v>#N/A</v>
      </c>
      <c r="BX883" s="616" t="e">
        <f t="shared" si="1092"/>
        <v>#N/A</v>
      </c>
      <c r="BY883" s="616" t="e">
        <f t="shared" si="1092"/>
        <v>#N/A</v>
      </c>
      <c r="BZ883" s="616" t="e">
        <f t="shared" si="1092"/>
        <v>#N/A</v>
      </c>
      <c r="CA883" s="616" t="e">
        <f t="shared" si="1092"/>
        <v>#N/A</v>
      </c>
      <c r="CB883" s="616" t="e">
        <f t="shared" si="1092"/>
        <v>#N/A</v>
      </c>
      <c r="CC883" s="616" t="e">
        <f t="shared" si="1092"/>
        <v>#N/A</v>
      </c>
      <c r="CD883" s="616" t="e">
        <f t="shared" si="1092"/>
        <v>#N/A</v>
      </c>
      <c r="CE883" s="616" t="e">
        <f t="shared" si="1092"/>
        <v>#N/A</v>
      </c>
      <c r="CF883" s="616" t="e">
        <f t="shared" si="1092"/>
        <v>#N/A</v>
      </c>
      <c r="CG883" s="616" t="e">
        <f t="shared" si="1092"/>
        <v>#N/A</v>
      </c>
      <c r="CH883" s="616" t="e">
        <f t="shared" ref="CH883:CN883" si="1093">MIN(CH881,$R$386)</f>
        <v>#N/A</v>
      </c>
      <c r="CI883" s="616" t="e">
        <f t="shared" si="1093"/>
        <v>#N/A</v>
      </c>
      <c r="CJ883" s="616" t="e">
        <f t="shared" si="1093"/>
        <v>#N/A</v>
      </c>
      <c r="CK883" s="616" t="e">
        <f t="shared" si="1093"/>
        <v>#N/A</v>
      </c>
      <c r="CL883" s="616" t="e">
        <f t="shared" si="1093"/>
        <v>#N/A</v>
      </c>
      <c r="CM883" s="616" t="e">
        <f t="shared" si="1093"/>
        <v>#N/A</v>
      </c>
      <c r="CN883" s="616" t="e">
        <f t="shared" si="1093"/>
        <v>#N/A</v>
      </c>
    </row>
    <row r="884" spans="8:92">
      <c r="H884" s="602" t="s">
        <v>940</v>
      </c>
      <c r="L884" s="618" t="s">
        <v>1297</v>
      </c>
      <c r="M884" s="600" t="s">
        <v>1204</v>
      </c>
      <c r="N884" s="615" t="e">
        <f>SUM(U884:AF884)</f>
        <v>#N/A</v>
      </c>
      <c r="O884" s="615" t="e">
        <f>SUM(AG884:AR884)</f>
        <v>#N/A</v>
      </c>
      <c r="P884" s="615" t="e">
        <f>SUM(AS884:BD884)</f>
        <v>#N/A</v>
      </c>
      <c r="Q884" s="615" t="e">
        <f>SUM(BE884:BP884)</f>
        <v>#N/A</v>
      </c>
      <c r="R884" s="615" t="e">
        <f>SUM(BQ884:CB884)</f>
        <v>#N/A</v>
      </c>
      <c r="S884" s="615" t="e">
        <f>SUM(CC884:CN884)</f>
        <v>#N/A</v>
      </c>
      <c r="U884" s="616" t="e">
        <f>MIN(U881-U883,$R$387)</f>
        <v>#N/A</v>
      </c>
      <c r="V884" s="616" t="e">
        <f t="shared" ref="V884:CG884" si="1094">MIN(V881-V883,$R$387)</f>
        <v>#N/A</v>
      </c>
      <c r="W884" s="616" t="e">
        <f t="shared" si="1094"/>
        <v>#N/A</v>
      </c>
      <c r="X884" s="616" t="e">
        <f t="shared" si="1094"/>
        <v>#N/A</v>
      </c>
      <c r="Y884" s="616" t="e">
        <f t="shared" si="1094"/>
        <v>#N/A</v>
      </c>
      <c r="Z884" s="616" t="e">
        <f t="shared" si="1094"/>
        <v>#N/A</v>
      </c>
      <c r="AA884" s="616" t="e">
        <f t="shared" si="1094"/>
        <v>#N/A</v>
      </c>
      <c r="AB884" s="616" t="e">
        <f t="shared" si="1094"/>
        <v>#N/A</v>
      </c>
      <c r="AC884" s="616" t="e">
        <f t="shared" si="1094"/>
        <v>#N/A</v>
      </c>
      <c r="AD884" s="616" t="e">
        <f t="shared" si="1094"/>
        <v>#N/A</v>
      </c>
      <c r="AE884" s="616" t="e">
        <f t="shared" si="1094"/>
        <v>#N/A</v>
      </c>
      <c r="AF884" s="616" t="e">
        <f t="shared" si="1094"/>
        <v>#N/A</v>
      </c>
      <c r="AG884" s="616" t="e">
        <f t="shared" si="1094"/>
        <v>#N/A</v>
      </c>
      <c r="AH884" s="616" t="e">
        <f t="shared" si="1094"/>
        <v>#N/A</v>
      </c>
      <c r="AI884" s="616" t="e">
        <f t="shared" si="1094"/>
        <v>#N/A</v>
      </c>
      <c r="AJ884" s="616" t="e">
        <f t="shared" si="1094"/>
        <v>#N/A</v>
      </c>
      <c r="AK884" s="616" t="e">
        <f t="shared" si="1094"/>
        <v>#N/A</v>
      </c>
      <c r="AL884" s="616" t="e">
        <f t="shared" si="1094"/>
        <v>#N/A</v>
      </c>
      <c r="AM884" s="616" t="e">
        <f t="shared" si="1094"/>
        <v>#N/A</v>
      </c>
      <c r="AN884" s="616" t="e">
        <f t="shared" si="1094"/>
        <v>#N/A</v>
      </c>
      <c r="AO884" s="616" t="e">
        <f t="shared" si="1094"/>
        <v>#N/A</v>
      </c>
      <c r="AP884" s="616" t="e">
        <f t="shared" si="1094"/>
        <v>#N/A</v>
      </c>
      <c r="AQ884" s="616" t="e">
        <f t="shared" si="1094"/>
        <v>#N/A</v>
      </c>
      <c r="AR884" s="616" t="e">
        <f t="shared" si="1094"/>
        <v>#N/A</v>
      </c>
      <c r="AS884" s="616" t="e">
        <f t="shared" si="1094"/>
        <v>#N/A</v>
      </c>
      <c r="AT884" s="616" t="e">
        <f t="shared" si="1094"/>
        <v>#N/A</v>
      </c>
      <c r="AU884" s="616" t="e">
        <f t="shared" si="1094"/>
        <v>#N/A</v>
      </c>
      <c r="AV884" s="616" t="e">
        <f t="shared" si="1094"/>
        <v>#N/A</v>
      </c>
      <c r="AW884" s="616" t="e">
        <f t="shared" si="1094"/>
        <v>#N/A</v>
      </c>
      <c r="AX884" s="616" t="e">
        <f t="shared" si="1094"/>
        <v>#N/A</v>
      </c>
      <c r="AY884" s="616" t="e">
        <f t="shared" si="1094"/>
        <v>#N/A</v>
      </c>
      <c r="AZ884" s="616" t="e">
        <f t="shared" si="1094"/>
        <v>#N/A</v>
      </c>
      <c r="BA884" s="616" t="e">
        <f t="shared" si="1094"/>
        <v>#N/A</v>
      </c>
      <c r="BB884" s="616" t="e">
        <f t="shared" si="1094"/>
        <v>#N/A</v>
      </c>
      <c r="BC884" s="616" t="e">
        <f t="shared" si="1094"/>
        <v>#N/A</v>
      </c>
      <c r="BD884" s="616" t="e">
        <f t="shared" si="1094"/>
        <v>#N/A</v>
      </c>
      <c r="BE884" s="616" t="e">
        <f t="shared" si="1094"/>
        <v>#N/A</v>
      </c>
      <c r="BF884" s="616" t="e">
        <f t="shared" si="1094"/>
        <v>#N/A</v>
      </c>
      <c r="BG884" s="616" t="e">
        <f t="shared" si="1094"/>
        <v>#N/A</v>
      </c>
      <c r="BH884" s="616" t="e">
        <f t="shared" si="1094"/>
        <v>#N/A</v>
      </c>
      <c r="BI884" s="616" t="e">
        <f t="shared" si="1094"/>
        <v>#N/A</v>
      </c>
      <c r="BJ884" s="616" t="e">
        <f t="shared" si="1094"/>
        <v>#N/A</v>
      </c>
      <c r="BK884" s="616" t="e">
        <f t="shared" si="1094"/>
        <v>#N/A</v>
      </c>
      <c r="BL884" s="616" t="e">
        <f t="shared" si="1094"/>
        <v>#N/A</v>
      </c>
      <c r="BM884" s="616" t="e">
        <f t="shared" si="1094"/>
        <v>#N/A</v>
      </c>
      <c r="BN884" s="616" t="e">
        <f t="shared" si="1094"/>
        <v>#N/A</v>
      </c>
      <c r="BO884" s="616" t="e">
        <f t="shared" si="1094"/>
        <v>#N/A</v>
      </c>
      <c r="BP884" s="616" t="e">
        <f t="shared" si="1094"/>
        <v>#N/A</v>
      </c>
      <c r="BQ884" s="616" t="e">
        <f t="shared" si="1094"/>
        <v>#N/A</v>
      </c>
      <c r="BR884" s="616" t="e">
        <f t="shared" si="1094"/>
        <v>#N/A</v>
      </c>
      <c r="BS884" s="616" t="e">
        <f t="shared" si="1094"/>
        <v>#N/A</v>
      </c>
      <c r="BT884" s="616" t="e">
        <f t="shared" si="1094"/>
        <v>#N/A</v>
      </c>
      <c r="BU884" s="616" t="e">
        <f t="shared" si="1094"/>
        <v>#N/A</v>
      </c>
      <c r="BV884" s="616" t="e">
        <f t="shared" si="1094"/>
        <v>#N/A</v>
      </c>
      <c r="BW884" s="616" t="e">
        <f t="shared" si="1094"/>
        <v>#N/A</v>
      </c>
      <c r="BX884" s="616" t="e">
        <f t="shared" si="1094"/>
        <v>#N/A</v>
      </c>
      <c r="BY884" s="616" t="e">
        <f t="shared" si="1094"/>
        <v>#N/A</v>
      </c>
      <c r="BZ884" s="616" t="e">
        <f t="shared" si="1094"/>
        <v>#N/A</v>
      </c>
      <c r="CA884" s="616" t="e">
        <f t="shared" si="1094"/>
        <v>#N/A</v>
      </c>
      <c r="CB884" s="616" t="e">
        <f t="shared" si="1094"/>
        <v>#N/A</v>
      </c>
      <c r="CC884" s="616" t="e">
        <f t="shared" si="1094"/>
        <v>#N/A</v>
      </c>
      <c r="CD884" s="616" t="e">
        <f t="shared" si="1094"/>
        <v>#N/A</v>
      </c>
      <c r="CE884" s="616" t="e">
        <f t="shared" si="1094"/>
        <v>#N/A</v>
      </c>
      <c r="CF884" s="616" t="e">
        <f t="shared" si="1094"/>
        <v>#N/A</v>
      </c>
      <c r="CG884" s="616" t="e">
        <f t="shared" si="1094"/>
        <v>#N/A</v>
      </c>
      <c r="CH884" s="616" t="e">
        <f t="shared" ref="CH884:CN884" si="1095">MIN(CH881-CH883,$R$387)</f>
        <v>#N/A</v>
      </c>
      <c r="CI884" s="616" t="e">
        <f t="shared" si="1095"/>
        <v>#N/A</v>
      </c>
      <c r="CJ884" s="616" t="e">
        <f t="shared" si="1095"/>
        <v>#N/A</v>
      </c>
      <c r="CK884" s="616" t="e">
        <f t="shared" si="1095"/>
        <v>#N/A</v>
      </c>
      <c r="CL884" s="616" t="e">
        <f t="shared" si="1095"/>
        <v>#N/A</v>
      </c>
      <c r="CM884" s="616" t="e">
        <f t="shared" si="1095"/>
        <v>#N/A</v>
      </c>
      <c r="CN884" s="616" t="e">
        <f t="shared" si="1095"/>
        <v>#N/A</v>
      </c>
    </row>
    <row r="885" spans="8:92">
      <c r="H885" s="602" t="s">
        <v>940</v>
      </c>
      <c r="L885" s="618" t="s">
        <v>1298</v>
      </c>
      <c r="M885" s="600" t="s">
        <v>1204</v>
      </c>
      <c r="N885" s="615" t="e">
        <f>SUM(U885:AF885)</f>
        <v>#N/A</v>
      </c>
      <c r="O885" s="615" t="e">
        <f>SUM(AG885:AR885)</f>
        <v>#N/A</v>
      </c>
      <c r="P885" s="615" t="e">
        <f>SUM(AS885:BD885)</f>
        <v>#N/A</v>
      </c>
      <c r="Q885" s="615" t="e">
        <f>SUM(BE885:BP885)</f>
        <v>#N/A</v>
      </c>
      <c r="R885" s="615" t="e">
        <f>SUM(BQ885:CB885)</f>
        <v>#N/A</v>
      </c>
      <c r="S885" s="615" t="e">
        <f>SUM(CC885:CN885)</f>
        <v>#N/A</v>
      </c>
      <c r="U885" s="616" t="e">
        <f>MIN(U881-(U883+U884),$R$388)</f>
        <v>#N/A</v>
      </c>
      <c r="V885" s="616" t="e">
        <f t="shared" ref="V885:CG885" si="1096">MIN(V881-(V883+V884),$R$388)</f>
        <v>#N/A</v>
      </c>
      <c r="W885" s="616" t="e">
        <f t="shared" si="1096"/>
        <v>#N/A</v>
      </c>
      <c r="X885" s="616" t="e">
        <f t="shared" si="1096"/>
        <v>#N/A</v>
      </c>
      <c r="Y885" s="616" t="e">
        <f t="shared" si="1096"/>
        <v>#N/A</v>
      </c>
      <c r="Z885" s="616" t="e">
        <f t="shared" si="1096"/>
        <v>#N/A</v>
      </c>
      <c r="AA885" s="616" t="e">
        <f t="shared" si="1096"/>
        <v>#N/A</v>
      </c>
      <c r="AB885" s="616" t="e">
        <f t="shared" si="1096"/>
        <v>#N/A</v>
      </c>
      <c r="AC885" s="616" t="e">
        <f t="shared" si="1096"/>
        <v>#N/A</v>
      </c>
      <c r="AD885" s="616" t="e">
        <f t="shared" si="1096"/>
        <v>#N/A</v>
      </c>
      <c r="AE885" s="616" t="e">
        <f t="shared" si="1096"/>
        <v>#N/A</v>
      </c>
      <c r="AF885" s="616" t="e">
        <f t="shared" si="1096"/>
        <v>#N/A</v>
      </c>
      <c r="AG885" s="616" t="e">
        <f t="shared" si="1096"/>
        <v>#N/A</v>
      </c>
      <c r="AH885" s="616" t="e">
        <f t="shared" si="1096"/>
        <v>#N/A</v>
      </c>
      <c r="AI885" s="616" t="e">
        <f t="shared" si="1096"/>
        <v>#N/A</v>
      </c>
      <c r="AJ885" s="616" t="e">
        <f t="shared" si="1096"/>
        <v>#N/A</v>
      </c>
      <c r="AK885" s="616" t="e">
        <f t="shared" si="1096"/>
        <v>#N/A</v>
      </c>
      <c r="AL885" s="616" t="e">
        <f t="shared" si="1096"/>
        <v>#N/A</v>
      </c>
      <c r="AM885" s="616" t="e">
        <f t="shared" si="1096"/>
        <v>#N/A</v>
      </c>
      <c r="AN885" s="616" t="e">
        <f t="shared" si="1096"/>
        <v>#N/A</v>
      </c>
      <c r="AO885" s="616" t="e">
        <f t="shared" si="1096"/>
        <v>#N/A</v>
      </c>
      <c r="AP885" s="616" t="e">
        <f t="shared" si="1096"/>
        <v>#N/A</v>
      </c>
      <c r="AQ885" s="616" t="e">
        <f t="shared" si="1096"/>
        <v>#N/A</v>
      </c>
      <c r="AR885" s="616" t="e">
        <f t="shared" si="1096"/>
        <v>#N/A</v>
      </c>
      <c r="AS885" s="616" t="e">
        <f t="shared" si="1096"/>
        <v>#N/A</v>
      </c>
      <c r="AT885" s="616" t="e">
        <f t="shared" si="1096"/>
        <v>#N/A</v>
      </c>
      <c r="AU885" s="616" t="e">
        <f t="shared" si="1096"/>
        <v>#N/A</v>
      </c>
      <c r="AV885" s="616" t="e">
        <f t="shared" si="1096"/>
        <v>#N/A</v>
      </c>
      <c r="AW885" s="616" t="e">
        <f t="shared" si="1096"/>
        <v>#N/A</v>
      </c>
      <c r="AX885" s="616" t="e">
        <f t="shared" si="1096"/>
        <v>#N/A</v>
      </c>
      <c r="AY885" s="616" t="e">
        <f t="shared" si="1096"/>
        <v>#N/A</v>
      </c>
      <c r="AZ885" s="616" t="e">
        <f t="shared" si="1096"/>
        <v>#N/A</v>
      </c>
      <c r="BA885" s="616" t="e">
        <f t="shared" si="1096"/>
        <v>#N/A</v>
      </c>
      <c r="BB885" s="616" t="e">
        <f t="shared" si="1096"/>
        <v>#N/A</v>
      </c>
      <c r="BC885" s="616" t="e">
        <f t="shared" si="1096"/>
        <v>#N/A</v>
      </c>
      <c r="BD885" s="616" t="e">
        <f t="shared" si="1096"/>
        <v>#N/A</v>
      </c>
      <c r="BE885" s="616" t="e">
        <f t="shared" si="1096"/>
        <v>#N/A</v>
      </c>
      <c r="BF885" s="616" t="e">
        <f t="shared" si="1096"/>
        <v>#N/A</v>
      </c>
      <c r="BG885" s="616" t="e">
        <f t="shared" si="1096"/>
        <v>#N/A</v>
      </c>
      <c r="BH885" s="616" t="e">
        <f t="shared" si="1096"/>
        <v>#N/A</v>
      </c>
      <c r="BI885" s="616" t="e">
        <f t="shared" si="1096"/>
        <v>#N/A</v>
      </c>
      <c r="BJ885" s="616" t="e">
        <f t="shared" si="1096"/>
        <v>#N/A</v>
      </c>
      <c r="BK885" s="616" t="e">
        <f t="shared" si="1096"/>
        <v>#N/A</v>
      </c>
      <c r="BL885" s="616" t="e">
        <f t="shared" si="1096"/>
        <v>#N/A</v>
      </c>
      <c r="BM885" s="616" t="e">
        <f t="shared" si="1096"/>
        <v>#N/A</v>
      </c>
      <c r="BN885" s="616" t="e">
        <f t="shared" si="1096"/>
        <v>#N/A</v>
      </c>
      <c r="BO885" s="616" t="e">
        <f t="shared" si="1096"/>
        <v>#N/A</v>
      </c>
      <c r="BP885" s="616" t="e">
        <f t="shared" si="1096"/>
        <v>#N/A</v>
      </c>
      <c r="BQ885" s="616" t="e">
        <f t="shared" si="1096"/>
        <v>#N/A</v>
      </c>
      <c r="BR885" s="616" t="e">
        <f t="shared" si="1096"/>
        <v>#N/A</v>
      </c>
      <c r="BS885" s="616" t="e">
        <f t="shared" si="1096"/>
        <v>#N/A</v>
      </c>
      <c r="BT885" s="616" t="e">
        <f t="shared" si="1096"/>
        <v>#N/A</v>
      </c>
      <c r="BU885" s="616" t="e">
        <f t="shared" si="1096"/>
        <v>#N/A</v>
      </c>
      <c r="BV885" s="616" t="e">
        <f t="shared" si="1096"/>
        <v>#N/A</v>
      </c>
      <c r="BW885" s="616" t="e">
        <f t="shared" si="1096"/>
        <v>#N/A</v>
      </c>
      <c r="BX885" s="616" t="e">
        <f t="shared" si="1096"/>
        <v>#N/A</v>
      </c>
      <c r="BY885" s="616" t="e">
        <f t="shared" si="1096"/>
        <v>#N/A</v>
      </c>
      <c r="BZ885" s="616" t="e">
        <f t="shared" si="1096"/>
        <v>#N/A</v>
      </c>
      <c r="CA885" s="616" t="e">
        <f t="shared" si="1096"/>
        <v>#N/A</v>
      </c>
      <c r="CB885" s="616" t="e">
        <f t="shared" si="1096"/>
        <v>#N/A</v>
      </c>
      <c r="CC885" s="616" t="e">
        <f t="shared" si="1096"/>
        <v>#N/A</v>
      </c>
      <c r="CD885" s="616" t="e">
        <f t="shared" si="1096"/>
        <v>#N/A</v>
      </c>
      <c r="CE885" s="616" t="e">
        <f t="shared" si="1096"/>
        <v>#N/A</v>
      </c>
      <c r="CF885" s="616" t="e">
        <f t="shared" si="1096"/>
        <v>#N/A</v>
      </c>
      <c r="CG885" s="616" t="e">
        <f t="shared" si="1096"/>
        <v>#N/A</v>
      </c>
      <c r="CH885" s="616" t="e">
        <f t="shared" ref="CH885:CN885" si="1097">MIN(CH881-(CH883+CH884),$R$388)</f>
        <v>#N/A</v>
      </c>
      <c r="CI885" s="616" t="e">
        <f t="shared" si="1097"/>
        <v>#N/A</v>
      </c>
      <c r="CJ885" s="616" t="e">
        <f t="shared" si="1097"/>
        <v>#N/A</v>
      </c>
      <c r="CK885" s="616" t="e">
        <f t="shared" si="1097"/>
        <v>#N/A</v>
      </c>
      <c r="CL885" s="616" t="e">
        <f t="shared" si="1097"/>
        <v>#N/A</v>
      </c>
      <c r="CM885" s="616" t="e">
        <f t="shared" si="1097"/>
        <v>#N/A</v>
      </c>
      <c r="CN885" s="616" t="e">
        <f t="shared" si="1097"/>
        <v>#N/A</v>
      </c>
    </row>
    <row r="886" spans="8:92">
      <c r="H886" s="602" t="s">
        <v>940</v>
      </c>
      <c r="L886" s="618" t="s">
        <v>1299</v>
      </c>
      <c r="M886" s="600" t="s">
        <v>1204</v>
      </c>
      <c r="N886" s="615" t="e">
        <f>SUM(U886:AF886)</f>
        <v>#N/A</v>
      </c>
      <c r="O886" s="615" t="e">
        <f>SUM(AG886:AR886)</f>
        <v>#N/A</v>
      </c>
      <c r="P886" s="615" t="e">
        <f>SUM(AS886:BD886)</f>
        <v>#N/A</v>
      </c>
      <c r="Q886" s="615" t="e">
        <f>SUM(BE886:BP886)</f>
        <v>#N/A</v>
      </c>
      <c r="R886" s="615" t="e">
        <f>SUM(BQ886:CB886)</f>
        <v>#N/A</v>
      </c>
      <c r="S886" s="615" t="e">
        <f>SUM(CC886:CN886)</f>
        <v>#N/A</v>
      </c>
      <c r="U886" s="616" t="e">
        <f>MIN(U881-(U883+U884+U885),$R$389)</f>
        <v>#N/A</v>
      </c>
      <c r="V886" s="616" t="e">
        <f t="shared" ref="V886:CG886" si="1098">MIN(V881-(V883+V884+V885),$R$389)</f>
        <v>#N/A</v>
      </c>
      <c r="W886" s="616" t="e">
        <f t="shared" si="1098"/>
        <v>#N/A</v>
      </c>
      <c r="X886" s="616" t="e">
        <f t="shared" si="1098"/>
        <v>#N/A</v>
      </c>
      <c r="Y886" s="616" t="e">
        <f t="shared" si="1098"/>
        <v>#N/A</v>
      </c>
      <c r="Z886" s="616" t="e">
        <f t="shared" si="1098"/>
        <v>#N/A</v>
      </c>
      <c r="AA886" s="616" t="e">
        <f t="shared" si="1098"/>
        <v>#N/A</v>
      </c>
      <c r="AB886" s="616" t="e">
        <f t="shared" si="1098"/>
        <v>#N/A</v>
      </c>
      <c r="AC886" s="616" t="e">
        <f t="shared" si="1098"/>
        <v>#N/A</v>
      </c>
      <c r="AD886" s="616" t="e">
        <f t="shared" si="1098"/>
        <v>#N/A</v>
      </c>
      <c r="AE886" s="616" t="e">
        <f t="shared" si="1098"/>
        <v>#N/A</v>
      </c>
      <c r="AF886" s="616" t="e">
        <f t="shared" si="1098"/>
        <v>#N/A</v>
      </c>
      <c r="AG886" s="616" t="e">
        <f t="shared" si="1098"/>
        <v>#N/A</v>
      </c>
      <c r="AH886" s="616" t="e">
        <f t="shared" si="1098"/>
        <v>#N/A</v>
      </c>
      <c r="AI886" s="616" t="e">
        <f t="shared" si="1098"/>
        <v>#N/A</v>
      </c>
      <c r="AJ886" s="616" t="e">
        <f t="shared" si="1098"/>
        <v>#N/A</v>
      </c>
      <c r="AK886" s="616" t="e">
        <f t="shared" si="1098"/>
        <v>#N/A</v>
      </c>
      <c r="AL886" s="616" t="e">
        <f t="shared" si="1098"/>
        <v>#N/A</v>
      </c>
      <c r="AM886" s="616" t="e">
        <f t="shared" si="1098"/>
        <v>#N/A</v>
      </c>
      <c r="AN886" s="616" t="e">
        <f t="shared" si="1098"/>
        <v>#N/A</v>
      </c>
      <c r="AO886" s="616" t="e">
        <f t="shared" si="1098"/>
        <v>#N/A</v>
      </c>
      <c r="AP886" s="616" t="e">
        <f t="shared" si="1098"/>
        <v>#N/A</v>
      </c>
      <c r="AQ886" s="616" t="e">
        <f t="shared" si="1098"/>
        <v>#N/A</v>
      </c>
      <c r="AR886" s="616" t="e">
        <f t="shared" si="1098"/>
        <v>#N/A</v>
      </c>
      <c r="AS886" s="616" t="e">
        <f t="shared" si="1098"/>
        <v>#N/A</v>
      </c>
      <c r="AT886" s="616" t="e">
        <f t="shared" si="1098"/>
        <v>#N/A</v>
      </c>
      <c r="AU886" s="616" t="e">
        <f t="shared" si="1098"/>
        <v>#N/A</v>
      </c>
      <c r="AV886" s="616" t="e">
        <f t="shared" si="1098"/>
        <v>#N/A</v>
      </c>
      <c r="AW886" s="616" t="e">
        <f t="shared" si="1098"/>
        <v>#N/A</v>
      </c>
      <c r="AX886" s="616" t="e">
        <f t="shared" si="1098"/>
        <v>#N/A</v>
      </c>
      <c r="AY886" s="616" t="e">
        <f t="shared" si="1098"/>
        <v>#N/A</v>
      </c>
      <c r="AZ886" s="616" t="e">
        <f t="shared" si="1098"/>
        <v>#N/A</v>
      </c>
      <c r="BA886" s="616" t="e">
        <f t="shared" si="1098"/>
        <v>#N/A</v>
      </c>
      <c r="BB886" s="616" t="e">
        <f t="shared" si="1098"/>
        <v>#N/A</v>
      </c>
      <c r="BC886" s="616" t="e">
        <f t="shared" si="1098"/>
        <v>#N/A</v>
      </c>
      <c r="BD886" s="616" t="e">
        <f t="shared" si="1098"/>
        <v>#N/A</v>
      </c>
      <c r="BE886" s="616" t="e">
        <f t="shared" si="1098"/>
        <v>#N/A</v>
      </c>
      <c r="BF886" s="616" t="e">
        <f t="shared" si="1098"/>
        <v>#N/A</v>
      </c>
      <c r="BG886" s="616" t="e">
        <f t="shared" si="1098"/>
        <v>#N/A</v>
      </c>
      <c r="BH886" s="616" t="e">
        <f t="shared" si="1098"/>
        <v>#N/A</v>
      </c>
      <c r="BI886" s="616" t="e">
        <f t="shared" si="1098"/>
        <v>#N/A</v>
      </c>
      <c r="BJ886" s="616" t="e">
        <f t="shared" si="1098"/>
        <v>#N/A</v>
      </c>
      <c r="BK886" s="616" t="e">
        <f t="shared" si="1098"/>
        <v>#N/A</v>
      </c>
      <c r="BL886" s="616" t="e">
        <f t="shared" si="1098"/>
        <v>#N/A</v>
      </c>
      <c r="BM886" s="616" t="e">
        <f t="shared" si="1098"/>
        <v>#N/A</v>
      </c>
      <c r="BN886" s="616" t="e">
        <f t="shared" si="1098"/>
        <v>#N/A</v>
      </c>
      <c r="BO886" s="616" t="e">
        <f t="shared" si="1098"/>
        <v>#N/A</v>
      </c>
      <c r="BP886" s="616" t="e">
        <f t="shared" si="1098"/>
        <v>#N/A</v>
      </c>
      <c r="BQ886" s="616" t="e">
        <f t="shared" si="1098"/>
        <v>#N/A</v>
      </c>
      <c r="BR886" s="616" t="e">
        <f t="shared" si="1098"/>
        <v>#N/A</v>
      </c>
      <c r="BS886" s="616" t="e">
        <f t="shared" si="1098"/>
        <v>#N/A</v>
      </c>
      <c r="BT886" s="616" t="e">
        <f t="shared" si="1098"/>
        <v>#N/A</v>
      </c>
      <c r="BU886" s="616" t="e">
        <f t="shared" si="1098"/>
        <v>#N/A</v>
      </c>
      <c r="BV886" s="616" t="e">
        <f t="shared" si="1098"/>
        <v>#N/A</v>
      </c>
      <c r="BW886" s="616" t="e">
        <f t="shared" si="1098"/>
        <v>#N/A</v>
      </c>
      <c r="BX886" s="616" t="e">
        <f t="shared" si="1098"/>
        <v>#N/A</v>
      </c>
      <c r="BY886" s="616" t="e">
        <f t="shared" si="1098"/>
        <v>#N/A</v>
      </c>
      <c r="BZ886" s="616" t="e">
        <f t="shared" si="1098"/>
        <v>#N/A</v>
      </c>
      <c r="CA886" s="616" t="e">
        <f t="shared" si="1098"/>
        <v>#N/A</v>
      </c>
      <c r="CB886" s="616" t="e">
        <f t="shared" si="1098"/>
        <v>#N/A</v>
      </c>
      <c r="CC886" s="616" t="e">
        <f t="shared" si="1098"/>
        <v>#N/A</v>
      </c>
      <c r="CD886" s="616" t="e">
        <f t="shared" si="1098"/>
        <v>#N/A</v>
      </c>
      <c r="CE886" s="616" t="e">
        <f t="shared" si="1098"/>
        <v>#N/A</v>
      </c>
      <c r="CF886" s="616" t="e">
        <f t="shared" si="1098"/>
        <v>#N/A</v>
      </c>
      <c r="CG886" s="616" t="e">
        <f t="shared" si="1098"/>
        <v>#N/A</v>
      </c>
      <c r="CH886" s="616" t="e">
        <f t="shared" ref="CH886:CN886" si="1099">MIN(CH881-(CH883+CH884+CH885),$R$389)</f>
        <v>#N/A</v>
      </c>
      <c r="CI886" s="616" t="e">
        <f t="shared" si="1099"/>
        <v>#N/A</v>
      </c>
      <c r="CJ886" s="616" t="e">
        <f t="shared" si="1099"/>
        <v>#N/A</v>
      </c>
      <c r="CK886" s="616" t="e">
        <f t="shared" si="1099"/>
        <v>#N/A</v>
      </c>
      <c r="CL886" s="616" t="e">
        <f t="shared" si="1099"/>
        <v>#N/A</v>
      </c>
      <c r="CM886" s="616" t="e">
        <f t="shared" si="1099"/>
        <v>#N/A</v>
      </c>
      <c r="CN886" s="616" t="e">
        <f t="shared" si="1099"/>
        <v>#N/A</v>
      </c>
    </row>
    <row r="887" spans="8:92">
      <c r="H887" s="602" t="s">
        <v>940</v>
      </c>
      <c r="L887" s="618"/>
      <c r="M887" s="600"/>
      <c r="N887" s="615"/>
      <c r="O887" s="615"/>
      <c r="P887" s="615"/>
      <c r="Q887" s="615"/>
      <c r="R887" s="615"/>
      <c r="S887" s="615"/>
    </row>
    <row r="888" spans="8:92">
      <c r="H888" s="602" t="s">
        <v>940</v>
      </c>
      <c r="L888" s="618" t="s">
        <v>1300</v>
      </c>
      <c r="M888" s="600" t="s">
        <v>974</v>
      </c>
      <c r="N888" s="615" t="e">
        <f>SUM(U888:AF888)</f>
        <v>#N/A</v>
      </c>
      <c r="O888" s="615" t="e">
        <f>SUM(AG888:AR888)</f>
        <v>#N/A</v>
      </c>
      <c r="P888" s="615" t="e">
        <f>SUM(AS888:BD888)</f>
        <v>#N/A</v>
      </c>
      <c r="Q888" s="615" t="e">
        <f>SUM(BE888:BP888)</f>
        <v>#N/A</v>
      </c>
      <c r="R888" s="615" t="e">
        <f>SUM(BQ888:CB888)</f>
        <v>#N/A</v>
      </c>
      <c r="S888" s="615" t="e">
        <f>SUM(CC888:CN888)</f>
        <v>#N/A</v>
      </c>
      <c r="U888" s="616" t="e">
        <f>U883*$R$391</f>
        <v>#N/A</v>
      </c>
      <c r="V888" s="616" t="e">
        <f t="shared" ref="V888:CG888" si="1100">V883*$R$391</f>
        <v>#N/A</v>
      </c>
      <c r="W888" s="616" t="e">
        <f t="shared" si="1100"/>
        <v>#N/A</v>
      </c>
      <c r="X888" s="616" t="e">
        <f t="shared" si="1100"/>
        <v>#N/A</v>
      </c>
      <c r="Y888" s="616" t="e">
        <f t="shared" si="1100"/>
        <v>#N/A</v>
      </c>
      <c r="Z888" s="616" t="e">
        <f t="shared" si="1100"/>
        <v>#N/A</v>
      </c>
      <c r="AA888" s="616" t="e">
        <f t="shared" si="1100"/>
        <v>#N/A</v>
      </c>
      <c r="AB888" s="616" t="e">
        <f t="shared" si="1100"/>
        <v>#N/A</v>
      </c>
      <c r="AC888" s="616" t="e">
        <f t="shared" si="1100"/>
        <v>#N/A</v>
      </c>
      <c r="AD888" s="616" t="e">
        <f t="shared" si="1100"/>
        <v>#N/A</v>
      </c>
      <c r="AE888" s="616" t="e">
        <f t="shared" si="1100"/>
        <v>#N/A</v>
      </c>
      <c r="AF888" s="616" t="e">
        <f t="shared" si="1100"/>
        <v>#N/A</v>
      </c>
      <c r="AG888" s="616" t="e">
        <f t="shared" si="1100"/>
        <v>#N/A</v>
      </c>
      <c r="AH888" s="616" t="e">
        <f t="shared" si="1100"/>
        <v>#N/A</v>
      </c>
      <c r="AI888" s="616" t="e">
        <f t="shared" si="1100"/>
        <v>#N/A</v>
      </c>
      <c r="AJ888" s="616" t="e">
        <f t="shared" si="1100"/>
        <v>#N/A</v>
      </c>
      <c r="AK888" s="616" t="e">
        <f t="shared" si="1100"/>
        <v>#N/A</v>
      </c>
      <c r="AL888" s="616" t="e">
        <f t="shared" si="1100"/>
        <v>#N/A</v>
      </c>
      <c r="AM888" s="616" t="e">
        <f t="shared" si="1100"/>
        <v>#N/A</v>
      </c>
      <c r="AN888" s="616" t="e">
        <f t="shared" si="1100"/>
        <v>#N/A</v>
      </c>
      <c r="AO888" s="616" t="e">
        <f t="shared" si="1100"/>
        <v>#N/A</v>
      </c>
      <c r="AP888" s="616" t="e">
        <f t="shared" si="1100"/>
        <v>#N/A</v>
      </c>
      <c r="AQ888" s="616" t="e">
        <f t="shared" si="1100"/>
        <v>#N/A</v>
      </c>
      <c r="AR888" s="616" t="e">
        <f t="shared" si="1100"/>
        <v>#N/A</v>
      </c>
      <c r="AS888" s="616" t="e">
        <f t="shared" si="1100"/>
        <v>#N/A</v>
      </c>
      <c r="AT888" s="616" t="e">
        <f t="shared" si="1100"/>
        <v>#N/A</v>
      </c>
      <c r="AU888" s="616" t="e">
        <f t="shared" si="1100"/>
        <v>#N/A</v>
      </c>
      <c r="AV888" s="616" t="e">
        <f t="shared" si="1100"/>
        <v>#N/A</v>
      </c>
      <c r="AW888" s="616" t="e">
        <f t="shared" si="1100"/>
        <v>#N/A</v>
      </c>
      <c r="AX888" s="616" t="e">
        <f t="shared" si="1100"/>
        <v>#N/A</v>
      </c>
      <c r="AY888" s="616" t="e">
        <f t="shared" si="1100"/>
        <v>#N/A</v>
      </c>
      <c r="AZ888" s="616" t="e">
        <f t="shared" si="1100"/>
        <v>#N/A</v>
      </c>
      <c r="BA888" s="616" t="e">
        <f t="shared" si="1100"/>
        <v>#N/A</v>
      </c>
      <c r="BB888" s="616" t="e">
        <f t="shared" si="1100"/>
        <v>#N/A</v>
      </c>
      <c r="BC888" s="616" t="e">
        <f t="shared" si="1100"/>
        <v>#N/A</v>
      </c>
      <c r="BD888" s="616" t="e">
        <f t="shared" si="1100"/>
        <v>#N/A</v>
      </c>
      <c r="BE888" s="616" t="e">
        <f t="shared" si="1100"/>
        <v>#N/A</v>
      </c>
      <c r="BF888" s="616" t="e">
        <f t="shared" si="1100"/>
        <v>#N/A</v>
      </c>
      <c r="BG888" s="616" t="e">
        <f t="shared" si="1100"/>
        <v>#N/A</v>
      </c>
      <c r="BH888" s="616" t="e">
        <f t="shared" si="1100"/>
        <v>#N/A</v>
      </c>
      <c r="BI888" s="616" t="e">
        <f t="shared" si="1100"/>
        <v>#N/A</v>
      </c>
      <c r="BJ888" s="616" t="e">
        <f t="shared" si="1100"/>
        <v>#N/A</v>
      </c>
      <c r="BK888" s="616" t="e">
        <f t="shared" si="1100"/>
        <v>#N/A</v>
      </c>
      <c r="BL888" s="616" t="e">
        <f t="shared" si="1100"/>
        <v>#N/A</v>
      </c>
      <c r="BM888" s="616" t="e">
        <f t="shared" si="1100"/>
        <v>#N/A</v>
      </c>
      <c r="BN888" s="616" t="e">
        <f t="shared" si="1100"/>
        <v>#N/A</v>
      </c>
      <c r="BO888" s="616" t="e">
        <f t="shared" si="1100"/>
        <v>#N/A</v>
      </c>
      <c r="BP888" s="616" t="e">
        <f t="shared" si="1100"/>
        <v>#N/A</v>
      </c>
      <c r="BQ888" s="616" t="e">
        <f t="shared" si="1100"/>
        <v>#N/A</v>
      </c>
      <c r="BR888" s="616" t="e">
        <f t="shared" si="1100"/>
        <v>#N/A</v>
      </c>
      <c r="BS888" s="616" t="e">
        <f t="shared" si="1100"/>
        <v>#N/A</v>
      </c>
      <c r="BT888" s="616" t="e">
        <f t="shared" si="1100"/>
        <v>#N/A</v>
      </c>
      <c r="BU888" s="616" t="e">
        <f t="shared" si="1100"/>
        <v>#N/A</v>
      </c>
      <c r="BV888" s="616" t="e">
        <f t="shared" si="1100"/>
        <v>#N/A</v>
      </c>
      <c r="BW888" s="616" t="e">
        <f t="shared" si="1100"/>
        <v>#N/A</v>
      </c>
      <c r="BX888" s="616" t="e">
        <f t="shared" si="1100"/>
        <v>#N/A</v>
      </c>
      <c r="BY888" s="616" t="e">
        <f t="shared" si="1100"/>
        <v>#N/A</v>
      </c>
      <c r="BZ888" s="616" t="e">
        <f t="shared" si="1100"/>
        <v>#N/A</v>
      </c>
      <c r="CA888" s="616" t="e">
        <f t="shared" si="1100"/>
        <v>#N/A</v>
      </c>
      <c r="CB888" s="616" t="e">
        <f t="shared" si="1100"/>
        <v>#N/A</v>
      </c>
      <c r="CC888" s="616" t="e">
        <f t="shared" si="1100"/>
        <v>#N/A</v>
      </c>
      <c r="CD888" s="616" t="e">
        <f t="shared" si="1100"/>
        <v>#N/A</v>
      </c>
      <c r="CE888" s="616" t="e">
        <f t="shared" si="1100"/>
        <v>#N/A</v>
      </c>
      <c r="CF888" s="616" t="e">
        <f t="shared" si="1100"/>
        <v>#N/A</v>
      </c>
      <c r="CG888" s="616" t="e">
        <f t="shared" si="1100"/>
        <v>#N/A</v>
      </c>
      <c r="CH888" s="616" t="e">
        <f t="shared" ref="CH888:CN888" si="1101">CH883*$R$391</f>
        <v>#N/A</v>
      </c>
      <c r="CI888" s="616" t="e">
        <f t="shared" si="1101"/>
        <v>#N/A</v>
      </c>
      <c r="CJ888" s="616" t="e">
        <f t="shared" si="1101"/>
        <v>#N/A</v>
      </c>
      <c r="CK888" s="616" t="e">
        <f t="shared" si="1101"/>
        <v>#N/A</v>
      </c>
      <c r="CL888" s="616" t="e">
        <f t="shared" si="1101"/>
        <v>#N/A</v>
      </c>
      <c r="CM888" s="616" t="e">
        <f t="shared" si="1101"/>
        <v>#N/A</v>
      </c>
      <c r="CN888" s="616" t="e">
        <f t="shared" si="1101"/>
        <v>#N/A</v>
      </c>
    </row>
    <row r="889" spans="8:92">
      <c r="H889" s="602" t="s">
        <v>940</v>
      </c>
      <c r="L889" s="618" t="s">
        <v>1301</v>
      </c>
      <c r="M889" s="600" t="s">
        <v>974</v>
      </c>
      <c r="N889" s="615" t="e">
        <f>SUM(U889:AF889)</f>
        <v>#N/A</v>
      </c>
      <c r="O889" s="615" t="e">
        <f>SUM(AG889:AR889)</f>
        <v>#N/A</v>
      </c>
      <c r="P889" s="615" t="e">
        <f>SUM(AS889:BD889)</f>
        <v>#N/A</v>
      </c>
      <c r="Q889" s="615" t="e">
        <f>SUM(BE889:BP889)</f>
        <v>#N/A</v>
      </c>
      <c r="R889" s="615" t="e">
        <f>SUM(BQ889:CB889)</f>
        <v>#N/A</v>
      </c>
      <c r="S889" s="615" t="e">
        <f>SUM(CC889:CN889)</f>
        <v>#N/A</v>
      </c>
      <c r="U889" s="616" t="e">
        <f>U884*$R$392</f>
        <v>#N/A</v>
      </c>
      <c r="V889" s="616" t="e">
        <f t="shared" ref="V889:CG889" si="1102">V884*$R$392</f>
        <v>#N/A</v>
      </c>
      <c r="W889" s="616" t="e">
        <f t="shared" si="1102"/>
        <v>#N/A</v>
      </c>
      <c r="X889" s="616" t="e">
        <f t="shared" si="1102"/>
        <v>#N/A</v>
      </c>
      <c r="Y889" s="616" t="e">
        <f t="shared" si="1102"/>
        <v>#N/A</v>
      </c>
      <c r="Z889" s="616" t="e">
        <f t="shared" si="1102"/>
        <v>#N/A</v>
      </c>
      <c r="AA889" s="616" t="e">
        <f t="shared" si="1102"/>
        <v>#N/A</v>
      </c>
      <c r="AB889" s="616" t="e">
        <f t="shared" si="1102"/>
        <v>#N/A</v>
      </c>
      <c r="AC889" s="616" t="e">
        <f t="shared" si="1102"/>
        <v>#N/A</v>
      </c>
      <c r="AD889" s="616" t="e">
        <f t="shared" si="1102"/>
        <v>#N/A</v>
      </c>
      <c r="AE889" s="616" t="e">
        <f t="shared" si="1102"/>
        <v>#N/A</v>
      </c>
      <c r="AF889" s="616" t="e">
        <f t="shared" si="1102"/>
        <v>#N/A</v>
      </c>
      <c r="AG889" s="616" t="e">
        <f t="shared" si="1102"/>
        <v>#N/A</v>
      </c>
      <c r="AH889" s="616" t="e">
        <f t="shared" si="1102"/>
        <v>#N/A</v>
      </c>
      <c r="AI889" s="616" t="e">
        <f t="shared" si="1102"/>
        <v>#N/A</v>
      </c>
      <c r="AJ889" s="616" t="e">
        <f t="shared" si="1102"/>
        <v>#N/A</v>
      </c>
      <c r="AK889" s="616" t="e">
        <f t="shared" si="1102"/>
        <v>#N/A</v>
      </c>
      <c r="AL889" s="616" t="e">
        <f t="shared" si="1102"/>
        <v>#N/A</v>
      </c>
      <c r="AM889" s="616" t="e">
        <f t="shared" si="1102"/>
        <v>#N/A</v>
      </c>
      <c r="AN889" s="616" t="e">
        <f t="shared" si="1102"/>
        <v>#N/A</v>
      </c>
      <c r="AO889" s="616" t="e">
        <f t="shared" si="1102"/>
        <v>#N/A</v>
      </c>
      <c r="AP889" s="616" t="e">
        <f t="shared" si="1102"/>
        <v>#N/A</v>
      </c>
      <c r="AQ889" s="616" t="e">
        <f t="shared" si="1102"/>
        <v>#N/A</v>
      </c>
      <c r="AR889" s="616" t="e">
        <f t="shared" si="1102"/>
        <v>#N/A</v>
      </c>
      <c r="AS889" s="616" t="e">
        <f t="shared" si="1102"/>
        <v>#N/A</v>
      </c>
      <c r="AT889" s="616" t="e">
        <f t="shared" si="1102"/>
        <v>#N/A</v>
      </c>
      <c r="AU889" s="616" t="e">
        <f t="shared" si="1102"/>
        <v>#N/A</v>
      </c>
      <c r="AV889" s="616" t="e">
        <f t="shared" si="1102"/>
        <v>#N/A</v>
      </c>
      <c r="AW889" s="616" t="e">
        <f t="shared" si="1102"/>
        <v>#N/A</v>
      </c>
      <c r="AX889" s="616" t="e">
        <f t="shared" si="1102"/>
        <v>#N/A</v>
      </c>
      <c r="AY889" s="616" t="e">
        <f t="shared" si="1102"/>
        <v>#N/A</v>
      </c>
      <c r="AZ889" s="616" t="e">
        <f t="shared" si="1102"/>
        <v>#N/A</v>
      </c>
      <c r="BA889" s="616" t="e">
        <f t="shared" si="1102"/>
        <v>#N/A</v>
      </c>
      <c r="BB889" s="616" t="e">
        <f t="shared" si="1102"/>
        <v>#N/A</v>
      </c>
      <c r="BC889" s="616" t="e">
        <f t="shared" si="1102"/>
        <v>#N/A</v>
      </c>
      <c r="BD889" s="616" t="e">
        <f t="shared" si="1102"/>
        <v>#N/A</v>
      </c>
      <c r="BE889" s="616" t="e">
        <f t="shared" si="1102"/>
        <v>#N/A</v>
      </c>
      <c r="BF889" s="616" t="e">
        <f t="shared" si="1102"/>
        <v>#N/A</v>
      </c>
      <c r="BG889" s="616" t="e">
        <f t="shared" si="1102"/>
        <v>#N/A</v>
      </c>
      <c r="BH889" s="616" t="e">
        <f t="shared" si="1102"/>
        <v>#N/A</v>
      </c>
      <c r="BI889" s="616" t="e">
        <f t="shared" si="1102"/>
        <v>#N/A</v>
      </c>
      <c r="BJ889" s="616" t="e">
        <f t="shared" si="1102"/>
        <v>#N/A</v>
      </c>
      <c r="BK889" s="616" t="e">
        <f t="shared" si="1102"/>
        <v>#N/A</v>
      </c>
      <c r="BL889" s="616" t="e">
        <f t="shared" si="1102"/>
        <v>#N/A</v>
      </c>
      <c r="BM889" s="616" t="e">
        <f t="shared" si="1102"/>
        <v>#N/A</v>
      </c>
      <c r="BN889" s="616" t="e">
        <f t="shared" si="1102"/>
        <v>#N/A</v>
      </c>
      <c r="BO889" s="616" t="e">
        <f t="shared" si="1102"/>
        <v>#N/A</v>
      </c>
      <c r="BP889" s="616" t="e">
        <f t="shared" si="1102"/>
        <v>#N/A</v>
      </c>
      <c r="BQ889" s="616" t="e">
        <f t="shared" si="1102"/>
        <v>#N/A</v>
      </c>
      <c r="BR889" s="616" t="e">
        <f t="shared" si="1102"/>
        <v>#N/A</v>
      </c>
      <c r="BS889" s="616" t="e">
        <f t="shared" si="1102"/>
        <v>#N/A</v>
      </c>
      <c r="BT889" s="616" t="e">
        <f t="shared" si="1102"/>
        <v>#N/A</v>
      </c>
      <c r="BU889" s="616" t="e">
        <f t="shared" si="1102"/>
        <v>#N/A</v>
      </c>
      <c r="BV889" s="616" t="e">
        <f t="shared" si="1102"/>
        <v>#N/A</v>
      </c>
      <c r="BW889" s="616" t="e">
        <f t="shared" si="1102"/>
        <v>#N/A</v>
      </c>
      <c r="BX889" s="616" t="e">
        <f t="shared" si="1102"/>
        <v>#N/A</v>
      </c>
      <c r="BY889" s="616" t="e">
        <f t="shared" si="1102"/>
        <v>#N/A</v>
      </c>
      <c r="BZ889" s="616" t="e">
        <f t="shared" si="1102"/>
        <v>#N/A</v>
      </c>
      <c r="CA889" s="616" t="e">
        <f t="shared" si="1102"/>
        <v>#N/A</v>
      </c>
      <c r="CB889" s="616" t="e">
        <f t="shared" si="1102"/>
        <v>#N/A</v>
      </c>
      <c r="CC889" s="616" t="e">
        <f t="shared" si="1102"/>
        <v>#N/A</v>
      </c>
      <c r="CD889" s="616" t="e">
        <f t="shared" si="1102"/>
        <v>#N/A</v>
      </c>
      <c r="CE889" s="616" t="e">
        <f t="shared" si="1102"/>
        <v>#N/A</v>
      </c>
      <c r="CF889" s="616" t="e">
        <f t="shared" si="1102"/>
        <v>#N/A</v>
      </c>
      <c r="CG889" s="616" t="e">
        <f t="shared" si="1102"/>
        <v>#N/A</v>
      </c>
      <c r="CH889" s="616" t="e">
        <f t="shared" ref="CH889:CN889" si="1103">CH884*$R$392</f>
        <v>#N/A</v>
      </c>
      <c r="CI889" s="616" t="e">
        <f t="shared" si="1103"/>
        <v>#N/A</v>
      </c>
      <c r="CJ889" s="616" t="e">
        <f t="shared" si="1103"/>
        <v>#N/A</v>
      </c>
      <c r="CK889" s="616" t="e">
        <f t="shared" si="1103"/>
        <v>#N/A</v>
      </c>
      <c r="CL889" s="616" t="e">
        <f t="shared" si="1103"/>
        <v>#N/A</v>
      </c>
      <c r="CM889" s="616" t="e">
        <f t="shared" si="1103"/>
        <v>#N/A</v>
      </c>
      <c r="CN889" s="616" t="e">
        <f t="shared" si="1103"/>
        <v>#N/A</v>
      </c>
    </row>
    <row r="890" spans="8:92">
      <c r="H890" s="602" t="s">
        <v>940</v>
      </c>
      <c r="L890" s="618" t="s">
        <v>1302</v>
      </c>
      <c r="M890" s="600" t="s">
        <v>974</v>
      </c>
      <c r="N890" s="615" t="e">
        <f>SUM(U890:AF890)</f>
        <v>#N/A</v>
      </c>
      <c r="O890" s="615" t="e">
        <f>SUM(AG890:AR890)</f>
        <v>#N/A</v>
      </c>
      <c r="P890" s="615" t="e">
        <f>SUM(AS890:BD890)</f>
        <v>#N/A</v>
      </c>
      <c r="Q890" s="615" t="e">
        <f>SUM(BE890:BP890)</f>
        <v>#N/A</v>
      </c>
      <c r="R890" s="615" t="e">
        <f>SUM(BQ890:CB890)</f>
        <v>#N/A</v>
      </c>
      <c r="S890" s="615" t="e">
        <f>SUM(CC890:CN890)</f>
        <v>#N/A</v>
      </c>
      <c r="U890" s="616" t="e">
        <f>U885*$R$393</f>
        <v>#N/A</v>
      </c>
      <c r="V890" s="616" t="e">
        <f t="shared" ref="V890:CG890" si="1104">V885*$R$393</f>
        <v>#N/A</v>
      </c>
      <c r="W890" s="616" t="e">
        <f t="shared" si="1104"/>
        <v>#N/A</v>
      </c>
      <c r="X890" s="616" t="e">
        <f t="shared" si="1104"/>
        <v>#N/A</v>
      </c>
      <c r="Y890" s="616" t="e">
        <f t="shared" si="1104"/>
        <v>#N/A</v>
      </c>
      <c r="Z890" s="616" t="e">
        <f t="shared" si="1104"/>
        <v>#N/A</v>
      </c>
      <c r="AA890" s="616" t="e">
        <f t="shared" si="1104"/>
        <v>#N/A</v>
      </c>
      <c r="AB890" s="616" t="e">
        <f t="shared" si="1104"/>
        <v>#N/A</v>
      </c>
      <c r="AC890" s="616" t="e">
        <f t="shared" si="1104"/>
        <v>#N/A</v>
      </c>
      <c r="AD890" s="616" t="e">
        <f t="shared" si="1104"/>
        <v>#N/A</v>
      </c>
      <c r="AE890" s="616" t="e">
        <f t="shared" si="1104"/>
        <v>#N/A</v>
      </c>
      <c r="AF890" s="616" t="e">
        <f t="shared" si="1104"/>
        <v>#N/A</v>
      </c>
      <c r="AG890" s="616" t="e">
        <f t="shared" si="1104"/>
        <v>#N/A</v>
      </c>
      <c r="AH890" s="616" t="e">
        <f t="shared" si="1104"/>
        <v>#N/A</v>
      </c>
      <c r="AI890" s="616" t="e">
        <f t="shared" si="1104"/>
        <v>#N/A</v>
      </c>
      <c r="AJ890" s="616" t="e">
        <f t="shared" si="1104"/>
        <v>#N/A</v>
      </c>
      <c r="AK890" s="616" t="e">
        <f t="shared" si="1104"/>
        <v>#N/A</v>
      </c>
      <c r="AL890" s="616" t="e">
        <f t="shared" si="1104"/>
        <v>#N/A</v>
      </c>
      <c r="AM890" s="616" t="e">
        <f t="shared" si="1104"/>
        <v>#N/A</v>
      </c>
      <c r="AN890" s="616" t="e">
        <f t="shared" si="1104"/>
        <v>#N/A</v>
      </c>
      <c r="AO890" s="616" t="e">
        <f t="shared" si="1104"/>
        <v>#N/A</v>
      </c>
      <c r="AP890" s="616" t="e">
        <f t="shared" si="1104"/>
        <v>#N/A</v>
      </c>
      <c r="AQ890" s="616" t="e">
        <f t="shared" si="1104"/>
        <v>#N/A</v>
      </c>
      <c r="AR890" s="616" t="e">
        <f t="shared" si="1104"/>
        <v>#N/A</v>
      </c>
      <c r="AS890" s="616" t="e">
        <f t="shared" si="1104"/>
        <v>#N/A</v>
      </c>
      <c r="AT890" s="616" t="e">
        <f t="shared" si="1104"/>
        <v>#N/A</v>
      </c>
      <c r="AU890" s="616" t="e">
        <f t="shared" si="1104"/>
        <v>#N/A</v>
      </c>
      <c r="AV890" s="616" t="e">
        <f t="shared" si="1104"/>
        <v>#N/A</v>
      </c>
      <c r="AW890" s="616" t="e">
        <f t="shared" si="1104"/>
        <v>#N/A</v>
      </c>
      <c r="AX890" s="616" t="e">
        <f t="shared" si="1104"/>
        <v>#N/A</v>
      </c>
      <c r="AY890" s="616" t="e">
        <f t="shared" si="1104"/>
        <v>#N/A</v>
      </c>
      <c r="AZ890" s="616" t="e">
        <f t="shared" si="1104"/>
        <v>#N/A</v>
      </c>
      <c r="BA890" s="616" t="e">
        <f t="shared" si="1104"/>
        <v>#N/A</v>
      </c>
      <c r="BB890" s="616" t="e">
        <f t="shared" si="1104"/>
        <v>#N/A</v>
      </c>
      <c r="BC890" s="616" t="e">
        <f t="shared" si="1104"/>
        <v>#N/A</v>
      </c>
      <c r="BD890" s="616" t="e">
        <f t="shared" si="1104"/>
        <v>#N/A</v>
      </c>
      <c r="BE890" s="616" t="e">
        <f t="shared" si="1104"/>
        <v>#N/A</v>
      </c>
      <c r="BF890" s="616" t="e">
        <f t="shared" si="1104"/>
        <v>#N/A</v>
      </c>
      <c r="BG890" s="616" t="e">
        <f t="shared" si="1104"/>
        <v>#N/A</v>
      </c>
      <c r="BH890" s="616" t="e">
        <f t="shared" si="1104"/>
        <v>#N/A</v>
      </c>
      <c r="BI890" s="616" t="e">
        <f t="shared" si="1104"/>
        <v>#N/A</v>
      </c>
      <c r="BJ890" s="616" t="e">
        <f t="shared" si="1104"/>
        <v>#N/A</v>
      </c>
      <c r="BK890" s="616" t="e">
        <f t="shared" si="1104"/>
        <v>#N/A</v>
      </c>
      <c r="BL890" s="616" t="e">
        <f t="shared" si="1104"/>
        <v>#N/A</v>
      </c>
      <c r="BM890" s="616" t="e">
        <f t="shared" si="1104"/>
        <v>#N/A</v>
      </c>
      <c r="BN890" s="616" t="e">
        <f t="shared" si="1104"/>
        <v>#N/A</v>
      </c>
      <c r="BO890" s="616" t="e">
        <f t="shared" si="1104"/>
        <v>#N/A</v>
      </c>
      <c r="BP890" s="616" t="e">
        <f t="shared" si="1104"/>
        <v>#N/A</v>
      </c>
      <c r="BQ890" s="616" t="e">
        <f t="shared" si="1104"/>
        <v>#N/A</v>
      </c>
      <c r="BR890" s="616" t="e">
        <f t="shared" si="1104"/>
        <v>#N/A</v>
      </c>
      <c r="BS890" s="616" t="e">
        <f t="shared" si="1104"/>
        <v>#N/A</v>
      </c>
      <c r="BT890" s="616" t="e">
        <f t="shared" si="1104"/>
        <v>#N/A</v>
      </c>
      <c r="BU890" s="616" t="e">
        <f t="shared" si="1104"/>
        <v>#N/A</v>
      </c>
      <c r="BV890" s="616" t="e">
        <f t="shared" si="1104"/>
        <v>#N/A</v>
      </c>
      <c r="BW890" s="616" t="e">
        <f t="shared" si="1104"/>
        <v>#N/A</v>
      </c>
      <c r="BX890" s="616" t="e">
        <f t="shared" si="1104"/>
        <v>#N/A</v>
      </c>
      <c r="BY890" s="616" t="e">
        <f t="shared" si="1104"/>
        <v>#N/A</v>
      </c>
      <c r="BZ890" s="616" t="e">
        <f t="shared" si="1104"/>
        <v>#N/A</v>
      </c>
      <c r="CA890" s="616" t="e">
        <f t="shared" si="1104"/>
        <v>#N/A</v>
      </c>
      <c r="CB890" s="616" t="e">
        <f t="shared" si="1104"/>
        <v>#N/A</v>
      </c>
      <c r="CC890" s="616" t="e">
        <f t="shared" si="1104"/>
        <v>#N/A</v>
      </c>
      <c r="CD890" s="616" t="e">
        <f t="shared" si="1104"/>
        <v>#N/A</v>
      </c>
      <c r="CE890" s="616" t="e">
        <f t="shared" si="1104"/>
        <v>#N/A</v>
      </c>
      <c r="CF890" s="616" t="e">
        <f t="shared" si="1104"/>
        <v>#N/A</v>
      </c>
      <c r="CG890" s="616" t="e">
        <f t="shared" si="1104"/>
        <v>#N/A</v>
      </c>
      <c r="CH890" s="616" t="e">
        <f t="shared" ref="CH890:CN890" si="1105">CH885*$R$393</f>
        <v>#N/A</v>
      </c>
      <c r="CI890" s="616" t="e">
        <f t="shared" si="1105"/>
        <v>#N/A</v>
      </c>
      <c r="CJ890" s="616" t="e">
        <f t="shared" si="1105"/>
        <v>#N/A</v>
      </c>
      <c r="CK890" s="616" t="e">
        <f t="shared" si="1105"/>
        <v>#N/A</v>
      </c>
      <c r="CL890" s="616" t="e">
        <f t="shared" si="1105"/>
        <v>#N/A</v>
      </c>
      <c r="CM890" s="616" t="e">
        <f t="shared" si="1105"/>
        <v>#N/A</v>
      </c>
      <c r="CN890" s="616" t="e">
        <f t="shared" si="1105"/>
        <v>#N/A</v>
      </c>
    </row>
    <row r="891" spans="8:92">
      <c r="H891" s="602" t="s">
        <v>940</v>
      </c>
      <c r="L891" s="618" t="s">
        <v>1303</v>
      </c>
      <c r="M891" s="600" t="s">
        <v>974</v>
      </c>
      <c r="N891" s="615" t="e">
        <f>SUM(U891:AF891)</f>
        <v>#N/A</v>
      </c>
      <c r="O891" s="615" t="e">
        <f>SUM(AG891:AR891)</f>
        <v>#N/A</v>
      </c>
      <c r="P891" s="615" t="e">
        <f>SUM(AS891:BD891)</f>
        <v>#N/A</v>
      </c>
      <c r="Q891" s="615" t="e">
        <f>SUM(BE891:BP891)</f>
        <v>#N/A</v>
      </c>
      <c r="R891" s="615" t="e">
        <f>SUM(BQ891:CB891)</f>
        <v>#N/A</v>
      </c>
      <c r="S891" s="615" t="e">
        <f>SUM(CC891:CN891)</f>
        <v>#N/A</v>
      </c>
      <c r="U891" s="616" t="e">
        <f>U886*$R$394</f>
        <v>#N/A</v>
      </c>
      <c r="V891" s="616" t="e">
        <f t="shared" ref="V891:CG891" si="1106">V886*$R$394</f>
        <v>#N/A</v>
      </c>
      <c r="W891" s="616" t="e">
        <f t="shared" si="1106"/>
        <v>#N/A</v>
      </c>
      <c r="X891" s="616" t="e">
        <f t="shared" si="1106"/>
        <v>#N/A</v>
      </c>
      <c r="Y891" s="616" t="e">
        <f t="shared" si="1106"/>
        <v>#N/A</v>
      </c>
      <c r="Z891" s="616" t="e">
        <f t="shared" si="1106"/>
        <v>#N/A</v>
      </c>
      <c r="AA891" s="616" t="e">
        <f t="shared" si="1106"/>
        <v>#N/A</v>
      </c>
      <c r="AB891" s="616" t="e">
        <f t="shared" si="1106"/>
        <v>#N/A</v>
      </c>
      <c r="AC891" s="616" t="e">
        <f t="shared" si="1106"/>
        <v>#N/A</v>
      </c>
      <c r="AD891" s="616" t="e">
        <f t="shared" si="1106"/>
        <v>#N/A</v>
      </c>
      <c r="AE891" s="616" t="e">
        <f t="shared" si="1106"/>
        <v>#N/A</v>
      </c>
      <c r="AF891" s="616" t="e">
        <f t="shared" si="1106"/>
        <v>#N/A</v>
      </c>
      <c r="AG891" s="616" t="e">
        <f t="shared" si="1106"/>
        <v>#N/A</v>
      </c>
      <c r="AH891" s="616" t="e">
        <f t="shared" si="1106"/>
        <v>#N/A</v>
      </c>
      <c r="AI891" s="616" t="e">
        <f t="shared" si="1106"/>
        <v>#N/A</v>
      </c>
      <c r="AJ891" s="616" t="e">
        <f t="shared" si="1106"/>
        <v>#N/A</v>
      </c>
      <c r="AK891" s="616" t="e">
        <f t="shared" si="1106"/>
        <v>#N/A</v>
      </c>
      <c r="AL891" s="616" t="e">
        <f t="shared" si="1106"/>
        <v>#N/A</v>
      </c>
      <c r="AM891" s="616" t="e">
        <f t="shared" si="1106"/>
        <v>#N/A</v>
      </c>
      <c r="AN891" s="616" t="e">
        <f t="shared" si="1106"/>
        <v>#N/A</v>
      </c>
      <c r="AO891" s="616" t="e">
        <f t="shared" si="1106"/>
        <v>#N/A</v>
      </c>
      <c r="AP891" s="616" t="e">
        <f t="shared" si="1106"/>
        <v>#N/A</v>
      </c>
      <c r="AQ891" s="616" t="e">
        <f t="shared" si="1106"/>
        <v>#N/A</v>
      </c>
      <c r="AR891" s="616" t="e">
        <f t="shared" si="1106"/>
        <v>#N/A</v>
      </c>
      <c r="AS891" s="616" t="e">
        <f t="shared" si="1106"/>
        <v>#N/A</v>
      </c>
      <c r="AT891" s="616" t="e">
        <f t="shared" si="1106"/>
        <v>#N/A</v>
      </c>
      <c r="AU891" s="616" t="e">
        <f t="shared" si="1106"/>
        <v>#N/A</v>
      </c>
      <c r="AV891" s="616" t="e">
        <f t="shared" si="1106"/>
        <v>#N/A</v>
      </c>
      <c r="AW891" s="616" t="e">
        <f t="shared" si="1106"/>
        <v>#N/A</v>
      </c>
      <c r="AX891" s="616" t="e">
        <f t="shared" si="1106"/>
        <v>#N/A</v>
      </c>
      <c r="AY891" s="616" t="e">
        <f t="shared" si="1106"/>
        <v>#N/A</v>
      </c>
      <c r="AZ891" s="616" t="e">
        <f t="shared" si="1106"/>
        <v>#N/A</v>
      </c>
      <c r="BA891" s="616" t="e">
        <f t="shared" si="1106"/>
        <v>#N/A</v>
      </c>
      <c r="BB891" s="616" t="e">
        <f t="shared" si="1106"/>
        <v>#N/A</v>
      </c>
      <c r="BC891" s="616" t="e">
        <f t="shared" si="1106"/>
        <v>#N/A</v>
      </c>
      <c r="BD891" s="616" t="e">
        <f t="shared" si="1106"/>
        <v>#N/A</v>
      </c>
      <c r="BE891" s="616" t="e">
        <f t="shared" si="1106"/>
        <v>#N/A</v>
      </c>
      <c r="BF891" s="616" t="e">
        <f t="shared" si="1106"/>
        <v>#N/A</v>
      </c>
      <c r="BG891" s="616" t="e">
        <f t="shared" si="1106"/>
        <v>#N/A</v>
      </c>
      <c r="BH891" s="616" t="e">
        <f t="shared" si="1106"/>
        <v>#N/A</v>
      </c>
      <c r="BI891" s="616" t="e">
        <f t="shared" si="1106"/>
        <v>#N/A</v>
      </c>
      <c r="BJ891" s="616" t="e">
        <f t="shared" si="1106"/>
        <v>#N/A</v>
      </c>
      <c r="BK891" s="616" t="e">
        <f t="shared" si="1106"/>
        <v>#N/A</v>
      </c>
      <c r="BL891" s="616" t="e">
        <f t="shared" si="1106"/>
        <v>#N/A</v>
      </c>
      <c r="BM891" s="616" t="e">
        <f t="shared" si="1106"/>
        <v>#N/A</v>
      </c>
      <c r="BN891" s="616" t="e">
        <f t="shared" si="1106"/>
        <v>#N/A</v>
      </c>
      <c r="BO891" s="616" t="e">
        <f t="shared" si="1106"/>
        <v>#N/A</v>
      </c>
      <c r="BP891" s="616" t="e">
        <f t="shared" si="1106"/>
        <v>#N/A</v>
      </c>
      <c r="BQ891" s="616" t="e">
        <f t="shared" si="1106"/>
        <v>#N/A</v>
      </c>
      <c r="BR891" s="616" t="e">
        <f t="shared" si="1106"/>
        <v>#N/A</v>
      </c>
      <c r="BS891" s="616" t="e">
        <f t="shared" si="1106"/>
        <v>#N/A</v>
      </c>
      <c r="BT891" s="616" t="e">
        <f t="shared" si="1106"/>
        <v>#N/A</v>
      </c>
      <c r="BU891" s="616" t="e">
        <f t="shared" si="1106"/>
        <v>#N/A</v>
      </c>
      <c r="BV891" s="616" t="e">
        <f t="shared" si="1106"/>
        <v>#N/A</v>
      </c>
      <c r="BW891" s="616" t="e">
        <f t="shared" si="1106"/>
        <v>#N/A</v>
      </c>
      <c r="BX891" s="616" t="e">
        <f t="shared" si="1106"/>
        <v>#N/A</v>
      </c>
      <c r="BY891" s="616" t="e">
        <f t="shared" si="1106"/>
        <v>#N/A</v>
      </c>
      <c r="BZ891" s="616" t="e">
        <f t="shared" si="1106"/>
        <v>#N/A</v>
      </c>
      <c r="CA891" s="616" t="e">
        <f t="shared" si="1106"/>
        <v>#N/A</v>
      </c>
      <c r="CB891" s="616" t="e">
        <f t="shared" si="1106"/>
        <v>#N/A</v>
      </c>
      <c r="CC891" s="616" t="e">
        <f t="shared" si="1106"/>
        <v>#N/A</v>
      </c>
      <c r="CD891" s="616" t="e">
        <f t="shared" si="1106"/>
        <v>#N/A</v>
      </c>
      <c r="CE891" s="616" t="e">
        <f t="shared" si="1106"/>
        <v>#N/A</v>
      </c>
      <c r="CF891" s="616" t="e">
        <f t="shared" si="1106"/>
        <v>#N/A</v>
      </c>
      <c r="CG891" s="616" t="e">
        <f t="shared" si="1106"/>
        <v>#N/A</v>
      </c>
      <c r="CH891" s="616" t="e">
        <f t="shared" ref="CH891:CN891" si="1107">CH886*$R$394</f>
        <v>#N/A</v>
      </c>
      <c r="CI891" s="616" t="e">
        <f t="shared" si="1107"/>
        <v>#N/A</v>
      </c>
      <c r="CJ891" s="616" t="e">
        <f t="shared" si="1107"/>
        <v>#N/A</v>
      </c>
      <c r="CK891" s="616" t="e">
        <f t="shared" si="1107"/>
        <v>#N/A</v>
      </c>
      <c r="CL891" s="616" t="e">
        <f t="shared" si="1107"/>
        <v>#N/A</v>
      </c>
      <c r="CM891" s="616" t="e">
        <f t="shared" si="1107"/>
        <v>#N/A</v>
      </c>
      <c r="CN891" s="616" t="e">
        <f t="shared" si="1107"/>
        <v>#N/A</v>
      </c>
    </row>
    <row r="892" spans="8:92">
      <c r="H892" s="602" t="s">
        <v>940</v>
      </c>
      <c r="L892" s="618"/>
      <c r="M892" s="600"/>
      <c r="N892" s="615"/>
      <c r="O892" s="615"/>
      <c r="P892" s="615"/>
      <c r="Q892" s="615"/>
      <c r="R892" s="615"/>
      <c r="S892" s="615"/>
      <c r="U892" s="616"/>
      <c r="V892" s="616"/>
      <c r="W892" s="616"/>
      <c r="X892" s="616"/>
      <c r="Y892" s="616"/>
      <c r="Z892" s="616"/>
      <c r="AA892" s="616"/>
      <c r="AB892" s="616"/>
      <c r="AC892" s="616"/>
      <c r="AD892" s="616"/>
      <c r="AE892" s="616"/>
      <c r="AF892" s="616"/>
      <c r="AG892" s="616"/>
      <c r="AH892" s="616"/>
      <c r="AI892" s="616"/>
      <c r="AJ892" s="616"/>
      <c r="AK892" s="616"/>
      <c r="AL892" s="616"/>
      <c r="AM892" s="616"/>
      <c r="AN892" s="616"/>
      <c r="AO892" s="616"/>
      <c r="AP892" s="616"/>
      <c r="AQ892" s="616"/>
      <c r="AR892" s="616"/>
      <c r="AS892" s="616"/>
      <c r="AT892" s="616"/>
      <c r="AU892" s="616"/>
      <c r="AV892" s="616"/>
      <c r="AW892" s="616"/>
      <c r="AX892" s="616"/>
      <c r="AY892" s="616"/>
      <c r="AZ892" s="616"/>
      <c r="BA892" s="616"/>
      <c r="BB892" s="616"/>
      <c r="BC892" s="616"/>
      <c r="BD892" s="616"/>
      <c r="BE892" s="616"/>
      <c r="BF892" s="616"/>
      <c r="BG892" s="616"/>
      <c r="BH892" s="616"/>
      <c r="BI892" s="616"/>
      <c r="BJ892" s="616"/>
      <c r="BK892" s="616"/>
      <c r="BL892" s="616"/>
      <c r="BM892" s="616"/>
      <c r="BN892" s="616"/>
      <c r="BO892" s="616"/>
      <c r="BP892" s="616"/>
      <c r="BQ892" s="616"/>
      <c r="BR892" s="616"/>
      <c r="BS892" s="616"/>
      <c r="BT892" s="616"/>
      <c r="BU892" s="616"/>
      <c r="BV892" s="616"/>
      <c r="BW892" s="616"/>
      <c r="BX892" s="616"/>
      <c r="BY892" s="616"/>
      <c r="BZ892" s="616"/>
      <c r="CA892" s="616"/>
      <c r="CB892" s="616"/>
      <c r="CC892" s="616"/>
      <c r="CD892" s="616"/>
      <c r="CE892" s="616"/>
      <c r="CF892" s="616"/>
      <c r="CG892" s="616"/>
      <c r="CH892" s="616"/>
      <c r="CI892" s="616"/>
      <c r="CJ892" s="616"/>
      <c r="CK892" s="616"/>
      <c r="CL892" s="616"/>
      <c r="CM892" s="616"/>
      <c r="CN892" s="616"/>
    </row>
    <row r="893" spans="8:92">
      <c r="H893" s="602" t="s">
        <v>940</v>
      </c>
      <c r="L893" s="618" t="s">
        <v>1247</v>
      </c>
      <c r="M893" s="600" t="s">
        <v>974</v>
      </c>
      <c r="N893" s="615">
        <f>SUM(U893:AF893)</f>
        <v>0</v>
      </c>
      <c r="O893" s="615">
        <f>SUM(AG893:AR893)</f>
        <v>0</v>
      </c>
      <c r="P893" s="615">
        <f>SUM(AS893:BD893)</f>
        <v>0</v>
      </c>
      <c r="Q893" s="615">
        <f>SUM(BE893:BP893)</f>
        <v>0</v>
      </c>
      <c r="R893" s="615">
        <f>SUM(BQ893:CB893)</f>
        <v>0</v>
      </c>
      <c r="S893" s="615">
        <f>SUM(CC893:CN893)</f>
        <v>0</v>
      </c>
      <c r="U893" s="616">
        <f>$R$372</f>
        <v>0</v>
      </c>
      <c r="V893" s="616">
        <f t="shared" ref="V893:CG893" si="1108">$R$372</f>
        <v>0</v>
      </c>
      <c r="W893" s="616">
        <f t="shared" si="1108"/>
        <v>0</v>
      </c>
      <c r="X893" s="616">
        <f t="shared" si="1108"/>
        <v>0</v>
      </c>
      <c r="Y893" s="616">
        <f t="shared" si="1108"/>
        <v>0</v>
      </c>
      <c r="Z893" s="616">
        <f t="shared" si="1108"/>
        <v>0</v>
      </c>
      <c r="AA893" s="616">
        <f t="shared" si="1108"/>
        <v>0</v>
      </c>
      <c r="AB893" s="616">
        <f t="shared" si="1108"/>
        <v>0</v>
      </c>
      <c r="AC893" s="616">
        <f t="shared" si="1108"/>
        <v>0</v>
      </c>
      <c r="AD893" s="616">
        <f t="shared" si="1108"/>
        <v>0</v>
      </c>
      <c r="AE893" s="616">
        <f t="shared" si="1108"/>
        <v>0</v>
      </c>
      <c r="AF893" s="616">
        <f t="shared" si="1108"/>
        <v>0</v>
      </c>
      <c r="AG893" s="616">
        <f t="shared" si="1108"/>
        <v>0</v>
      </c>
      <c r="AH893" s="616">
        <f t="shared" si="1108"/>
        <v>0</v>
      </c>
      <c r="AI893" s="616">
        <f t="shared" si="1108"/>
        <v>0</v>
      </c>
      <c r="AJ893" s="616">
        <f t="shared" si="1108"/>
        <v>0</v>
      </c>
      <c r="AK893" s="616">
        <f t="shared" si="1108"/>
        <v>0</v>
      </c>
      <c r="AL893" s="616">
        <f t="shared" si="1108"/>
        <v>0</v>
      </c>
      <c r="AM893" s="616">
        <f t="shared" si="1108"/>
        <v>0</v>
      </c>
      <c r="AN893" s="616">
        <f t="shared" si="1108"/>
        <v>0</v>
      </c>
      <c r="AO893" s="616">
        <f t="shared" si="1108"/>
        <v>0</v>
      </c>
      <c r="AP893" s="616">
        <f t="shared" si="1108"/>
        <v>0</v>
      </c>
      <c r="AQ893" s="616">
        <f t="shared" si="1108"/>
        <v>0</v>
      </c>
      <c r="AR893" s="616">
        <f t="shared" si="1108"/>
        <v>0</v>
      </c>
      <c r="AS893" s="616">
        <f t="shared" si="1108"/>
        <v>0</v>
      </c>
      <c r="AT893" s="616">
        <f t="shared" si="1108"/>
        <v>0</v>
      </c>
      <c r="AU893" s="616">
        <f t="shared" si="1108"/>
        <v>0</v>
      </c>
      <c r="AV893" s="616">
        <f t="shared" si="1108"/>
        <v>0</v>
      </c>
      <c r="AW893" s="616">
        <f t="shared" si="1108"/>
        <v>0</v>
      </c>
      <c r="AX893" s="616">
        <f t="shared" si="1108"/>
        <v>0</v>
      </c>
      <c r="AY893" s="616">
        <f t="shared" si="1108"/>
        <v>0</v>
      </c>
      <c r="AZ893" s="616">
        <f t="shared" si="1108"/>
        <v>0</v>
      </c>
      <c r="BA893" s="616">
        <f t="shared" si="1108"/>
        <v>0</v>
      </c>
      <c r="BB893" s="616">
        <f t="shared" si="1108"/>
        <v>0</v>
      </c>
      <c r="BC893" s="616">
        <f t="shared" si="1108"/>
        <v>0</v>
      </c>
      <c r="BD893" s="616">
        <f t="shared" si="1108"/>
        <v>0</v>
      </c>
      <c r="BE893" s="616">
        <f t="shared" si="1108"/>
        <v>0</v>
      </c>
      <c r="BF893" s="616">
        <f t="shared" si="1108"/>
        <v>0</v>
      </c>
      <c r="BG893" s="616">
        <f t="shared" si="1108"/>
        <v>0</v>
      </c>
      <c r="BH893" s="616">
        <f t="shared" si="1108"/>
        <v>0</v>
      </c>
      <c r="BI893" s="616">
        <f t="shared" si="1108"/>
        <v>0</v>
      </c>
      <c r="BJ893" s="616">
        <f t="shared" si="1108"/>
        <v>0</v>
      </c>
      <c r="BK893" s="616">
        <f t="shared" si="1108"/>
        <v>0</v>
      </c>
      <c r="BL893" s="616">
        <f t="shared" si="1108"/>
        <v>0</v>
      </c>
      <c r="BM893" s="616">
        <f t="shared" si="1108"/>
        <v>0</v>
      </c>
      <c r="BN893" s="616">
        <f t="shared" si="1108"/>
        <v>0</v>
      </c>
      <c r="BO893" s="616">
        <f t="shared" si="1108"/>
        <v>0</v>
      </c>
      <c r="BP893" s="616">
        <f t="shared" si="1108"/>
        <v>0</v>
      </c>
      <c r="BQ893" s="616">
        <f t="shared" si="1108"/>
        <v>0</v>
      </c>
      <c r="BR893" s="616">
        <f t="shared" si="1108"/>
        <v>0</v>
      </c>
      <c r="BS893" s="616">
        <f t="shared" si="1108"/>
        <v>0</v>
      </c>
      <c r="BT893" s="616">
        <f t="shared" si="1108"/>
        <v>0</v>
      </c>
      <c r="BU893" s="616">
        <f t="shared" si="1108"/>
        <v>0</v>
      </c>
      <c r="BV893" s="616">
        <f t="shared" si="1108"/>
        <v>0</v>
      </c>
      <c r="BW893" s="616">
        <f t="shared" si="1108"/>
        <v>0</v>
      </c>
      <c r="BX893" s="616">
        <f t="shared" si="1108"/>
        <v>0</v>
      </c>
      <c r="BY893" s="616">
        <f t="shared" si="1108"/>
        <v>0</v>
      </c>
      <c r="BZ893" s="616">
        <f t="shared" si="1108"/>
        <v>0</v>
      </c>
      <c r="CA893" s="616">
        <f t="shared" si="1108"/>
        <v>0</v>
      </c>
      <c r="CB893" s="616">
        <f t="shared" si="1108"/>
        <v>0</v>
      </c>
      <c r="CC893" s="616">
        <f t="shared" si="1108"/>
        <v>0</v>
      </c>
      <c r="CD893" s="616">
        <f t="shared" si="1108"/>
        <v>0</v>
      </c>
      <c r="CE893" s="616">
        <f t="shared" si="1108"/>
        <v>0</v>
      </c>
      <c r="CF893" s="616">
        <f t="shared" si="1108"/>
        <v>0</v>
      </c>
      <c r="CG893" s="616">
        <f t="shared" si="1108"/>
        <v>0</v>
      </c>
      <c r="CH893" s="616">
        <f t="shared" ref="CH893:CN893" si="1109">$R$372</f>
        <v>0</v>
      </c>
      <c r="CI893" s="616">
        <f t="shared" si="1109"/>
        <v>0</v>
      </c>
      <c r="CJ893" s="616">
        <f t="shared" si="1109"/>
        <v>0</v>
      </c>
      <c r="CK893" s="616">
        <f t="shared" si="1109"/>
        <v>0</v>
      </c>
      <c r="CL893" s="616">
        <f t="shared" si="1109"/>
        <v>0</v>
      </c>
      <c r="CM893" s="616">
        <f t="shared" si="1109"/>
        <v>0</v>
      </c>
      <c r="CN893" s="616">
        <f t="shared" si="1109"/>
        <v>0</v>
      </c>
    </row>
    <row r="894" spans="8:92">
      <c r="H894" s="602" t="s">
        <v>940</v>
      </c>
      <c r="L894" s="618" t="s">
        <v>908</v>
      </c>
      <c r="M894" s="600" t="s">
        <v>974</v>
      </c>
      <c r="N894" s="615" t="e">
        <f>SUM(U894:AF894)</f>
        <v>#N/A</v>
      </c>
      <c r="O894" s="615" t="e">
        <f>SUM(AG894:AR894)</f>
        <v>#N/A</v>
      </c>
      <c r="P894" s="615" t="e">
        <f>SUM(AS894:BD894)</f>
        <v>#N/A</v>
      </c>
      <c r="Q894" s="615" t="e">
        <f>SUM(BE894:BP894)</f>
        <v>#N/A</v>
      </c>
      <c r="R894" s="615" t="e">
        <f>SUM(BQ894:CB894)</f>
        <v>#N/A</v>
      </c>
      <c r="S894" s="615" t="e">
        <f>SUM(CC894:CN894)</f>
        <v>#N/A</v>
      </c>
      <c r="U894" s="616" t="e">
        <f>U881*$R$373</f>
        <v>#N/A</v>
      </c>
      <c r="V894" s="616" t="e">
        <f t="shared" ref="V894:CG894" si="1110">V881*$R$373</f>
        <v>#N/A</v>
      </c>
      <c r="W894" s="616" t="e">
        <f t="shared" si="1110"/>
        <v>#N/A</v>
      </c>
      <c r="X894" s="616" t="e">
        <f t="shared" si="1110"/>
        <v>#N/A</v>
      </c>
      <c r="Y894" s="616" t="e">
        <f t="shared" si="1110"/>
        <v>#N/A</v>
      </c>
      <c r="Z894" s="616" t="e">
        <f t="shared" si="1110"/>
        <v>#N/A</v>
      </c>
      <c r="AA894" s="616" t="e">
        <f t="shared" si="1110"/>
        <v>#N/A</v>
      </c>
      <c r="AB894" s="616" t="e">
        <f t="shared" si="1110"/>
        <v>#N/A</v>
      </c>
      <c r="AC894" s="616" t="e">
        <f t="shared" si="1110"/>
        <v>#N/A</v>
      </c>
      <c r="AD894" s="616" t="e">
        <f t="shared" si="1110"/>
        <v>#N/A</v>
      </c>
      <c r="AE894" s="616" t="e">
        <f t="shared" si="1110"/>
        <v>#N/A</v>
      </c>
      <c r="AF894" s="616" t="e">
        <f t="shared" si="1110"/>
        <v>#N/A</v>
      </c>
      <c r="AG894" s="616" t="e">
        <f t="shared" si="1110"/>
        <v>#N/A</v>
      </c>
      <c r="AH894" s="616" t="e">
        <f t="shared" si="1110"/>
        <v>#N/A</v>
      </c>
      <c r="AI894" s="616" t="e">
        <f t="shared" si="1110"/>
        <v>#N/A</v>
      </c>
      <c r="AJ894" s="616" t="e">
        <f t="shared" si="1110"/>
        <v>#N/A</v>
      </c>
      <c r="AK894" s="616" t="e">
        <f t="shared" si="1110"/>
        <v>#N/A</v>
      </c>
      <c r="AL894" s="616" t="e">
        <f t="shared" si="1110"/>
        <v>#N/A</v>
      </c>
      <c r="AM894" s="616" t="e">
        <f t="shared" si="1110"/>
        <v>#N/A</v>
      </c>
      <c r="AN894" s="616" t="e">
        <f t="shared" si="1110"/>
        <v>#N/A</v>
      </c>
      <c r="AO894" s="616" t="e">
        <f t="shared" si="1110"/>
        <v>#N/A</v>
      </c>
      <c r="AP894" s="616" t="e">
        <f t="shared" si="1110"/>
        <v>#N/A</v>
      </c>
      <c r="AQ894" s="616" t="e">
        <f t="shared" si="1110"/>
        <v>#N/A</v>
      </c>
      <c r="AR894" s="616" t="e">
        <f t="shared" si="1110"/>
        <v>#N/A</v>
      </c>
      <c r="AS894" s="616" t="e">
        <f t="shared" si="1110"/>
        <v>#N/A</v>
      </c>
      <c r="AT894" s="616" t="e">
        <f t="shared" si="1110"/>
        <v>#N/A</v>
      </c>
      <c r="AU894" s="616" t="e">
        <f t="shared" si="1110"/>
        <v>#N/A</v>
      </c>
      <c r="AV894" s="616" t="e">
        <f t="shared" si="1110"/>
        <v>#N/A</v>
      </c>
      <c r="AW894" s="616" t="e">
        <f t="shared" si="1110"/>
        <v>#N/A</v>
      </c>
      <c r="AX894" s="616" t="e">
        <f t="shared" si="1110"/>
        <v>#N/A</v>
      </c>
      <c r="AY894" s="616" t="e">
        <f t="shared" si="1110"/>
        <v>#N/A</v>
      </c>
      <c r="AZ894" s="616" t="e">
        <f t="shared" si="1110"/>
        <v>#N/A</v>
      </c>
      <c r="BA894" s="616" t="e">
        <f t="shared" si="1110"/>
        <v>#N/A</v>
      </c>
      <c r="BB894" s="616" t="e">
        <f t="shared" si="1110"/>
        <v>#N/A</v>
      </c>
      <c r="BC894" s="616" t="e">
        <f t="shared" si="1110"/>
        <v>#N/A</v>
      </c>
      <c r="BD894" s="616" t="e">
        <f t="shared" si="1110"/>
        <v>#N/A</v>
      </c>
      <c r="BE894" s="616" t="e">
        <f t="shared" si="1110"/>
        <v>#N/A</v>
      </c>
      <c r="BF894" s="616" t="e">
        <f t="shared" si="1110"/>
        <v>#N/A</v>
      </c>
      <c r="BG894" s="616" t="e">
        <f t="shared" si="1110"/>
        <v>#N/A</v>
      </c>
      <c r="BH894" s="616" t="e">
        <f t="shared" si="1110"/>
        <v>#N/A</v>
      </c>
      <c r="BI894" s="616" t="e">
        <f t="shared" si="1110"/>
        <v>#N/A</v>
      </c>
      <c r="BJ894" s="616" t="e">
        <f t="shared" si="1110"/>
        <v>#N/A</v>
      </c>
      <c r="BK894" s="616" t="e">
        <f t="shared" si="1110"/>
        <v>#N/A</v>
      </c>
      <c r="BL894" s="616" t="e">
        <f t="shared" si="1110"/>
        <v>#N/A</v>
      </c>
      <c r="BM894" s="616" t="e">
        <f t="shared" si="1110"/>
        <v>#N/A</v>
      </c>
      <c r="BN894" s="616" t="e">
        <f t="shared" si="1110"/>
        <v>#N/A</v>
      </c>
      <c r="BO894" s="616" t="e">
        <f t="shared" si="1110"/>
        <v>#N/A</v>
      </c>
      <c r="BP894" s="616" t="e">
        <f t="shared" si="1110"/>
        <v>#N/A</v>
      </c>
      <c r="BQ894" s="616" t="e">
        <f t="shared" si="1110"/>
        <v>#N/A</v>
      </c>
      <c r="BR894" s="616" t="e">
        <f t="shared" si="1110"/>
        <v>#N/A</v>
      </c>
      <c r="BS894" s="616" t="e">
        <f t="shared" si="1110"/>
        <v>#N/A</v>
      </c>
      <c r="BT894" s="616" t="e">
        <f t="shared" si="1110"/>
        <v>#N/A</v>
      </c>
      <c r="BU894" s="616" t="e">
        <f t="shared" si="1110"/>
        <v>#N/A</v>
      </c>
      <c r="BV894" s="616" t="e">
        <f t="shared" si="1110"/>
        <v>#N/A</v>
      </c>
      <c r="BW894" s="616" t="e">
        <f t="shared" si="1110"/>
        <v>#N/A</v>
      </c>
      <c r="BX894" s="616" t="e">
        <f t="shared" si="1110"/>
        <v>#N/A</v>
      </c>
      <c r="BY894" s="616" t="e">
        <f t="shared" si="1110"/>
        <v>#N/A</v>
      </c>
      <c r="BZ894" s="616" t="e">
        <f t="shared" si="1110"/>
        <v>#N/A</v>
      </c>
      <c r="CA894" s="616" t="e">
        <f t="shared" si="1110"/>
        <v>#N/A</v>
      </c>
      <c r="CB894" s="616" t="e">
        <f t="shared" si="1110"/>
        <v>#N/A</v>
      </c>
      <c r="CC894" s="616" t="e">
        <f t="shared" si="1110"/>
        <v>#N/A</v>
      </c>
      <c r="CD894" s="616" t="e">
        <f t="shared" si="1110"/>
        <v>#N/A</v>
      </c>
      <c r="CE894" s="616" t="e">
        <f t="shared" si="1110"/>
        <v>#N/A</v>
      </c>
      <c r="CF894" s="616" t="e">
        <f t="shared" si="1110"/>
        <v>#N/A</v>
      </c>
      <c r="CG894" s="616" t="e">
        <f t="shared" si="1110"/>
        <v>#N/A</v>
      </c>
      <c r="CH894" s="616" t="e">
        <f t="shared" ref="CH894:CN894" si="1111">CH881*$R$373</f>
        <v>#N/A</v>
      </c>
      <c r="CI894" s="616" t="e">
        <f t="shared" si="1111"/>
        <v>#N/A</v>
      </c>
      <c r="CJ894" s="616" t="e">
        <f t="shared" si="1111"/>
        <v>#N/A</v>
      </c>
      <c r="CK894" s="616" t="e">
        <f t="shared" si="1111"/>
        <v>#N/A</v>
      </c>
      <c r="CL894" s="616" t="e">
        <f t="shared" si="1111"/>
        <v>#N/A</v>
      </c>
      <c r="CM894" s="616" t="e">
        <f t="shared" si="1111"/>
        <v>#N/A</v>
      </c>
      <c r="CN894" s="616" t="e">
        <f t="shared" si="1111"/>
        <v>#N/A</v>
      </c>
    </row>
    <row r="895" spans="8:92">
      <c r="H895" s="602" t="s">
        <v>940</v>
      </c>
      <c r="L895" s="618" t="s">
        <v>1304</v>
      </c>
      <c r="M895" s="600" t="s">
        <v>974</v>
      </c>
      <c r="N895" s="615" t="e">
        <f>SUM(U895:AF895)</f>
        <v>#N/A</v>
      </c>
      <c r="O895" s="615" t="e">
        <f>SUM(AG895:AR895)</f>
        <v>#N/A</v>
      </c>
      <c r="P895" s="615" t="e">
        <f>SUM(AS895:BD895)</f>
        <v>#N/A</v>
      </c>
      <c r="Q895" s="615" t="e">
        <f>SUM(BE895:BP895)</f>
        <v>#N/A</v>
      </c>
      <c r="R895" s="615" t="e">
        <f>SUM(BQ895:CB895)</f>
        <v>#N/A</v>
      </c>
      <c r="S895" s="615" t="e">
        <f>SUM(CC895:CN895)</f>
        <v>#N/A</v>
      </c>
      <c r="U895" s="616" t="e">
        <f>SUM(U888:U891,U893:U894)</f>
        <v>#N/A</v>
      </c>
      <c r="V895" s="616" t="e">
        <f t="shared" ref="V895:CG895" si="1112">SUM(V888:V891,V893:V894)</f>
        <v>#N/A</v>
      </c>
      <c r="W895" s="616" t="e">
        <f t="shared" si="1112"/>
        <v>#N/A</v>
      </c>
      <c r="X895" s="616" t="e">
        <f t="shared" si="1112"/>
        <v>#N/A</v>
      </c>
      <c r="Y895" s="616" t="e">
        <f t="shared" si="1112"/>
        <v>#N/A</v>
      </c>
      <c r="Z895" s="616" t="e">
        <f t="shared" si="1112"/>
        <v>#N/A</v>
      </c>
      <c r="AA895" s="616" t="e">
        <f t="shared" si="1112"/>
        <v>#N/A</v>
      </c>
      <c r="AB895" s="616" t="e">
        <f t="shared" si="1112"/>
        <v>#N/A</v>
      </c>
      <c r="AC895" s="616" t="e">
        <f t="shared" si="1112"/>
        <v>#N/A</v>
      </c>
      <c r="AD895" s="616" t="e">
        <f t="shared" si="1112"/>
        <v>#N/A</v>
      </c>
      <c r="AE895" s="616" t="e">
        <f t="shared" si="1112"/>
        <v>#N/A</v>
      </c>
      <c r="AF895" s="616" t="e">
        <f t="shared" si="1112"/>
        <v>#N/A</v>
      </c>
      <c r="AG895" s="616" t="e">
        <f t="shared" si="1112"/>
        <v>#N/A</v>
      </c>
      <c r="AH895" s="616" t="e">
        <f t="shared" si="1112"/>
        <v>#N/A</v>
      </c>
      <c r="AI895" s="616" t="e">
        <f t="shared" si="1112"/>
        <v>#N/A</v>
      </c>
      <c r="AJ895" s="616" t="e">
        <f t="shared" si="1112"/>
        <v>#N/A</v>
      </c>
      <c r="AK895" s="616" t="e">
        <f t="shared" si="1112"/>
        <v>#N/A</v>
      </c>
      <c r="AL895" s="616" t="e">
        <f t="shared" si="1112"/>
        <v>#N/A</v>
      </c>
      <c r="AM895" s="616" t="e">
        <f t="shared" si="1112"/>
        <v>#N/A</v>
      </c>
      <c r="AN895" s="616" t="e">
        <f t="shared" si="1112"/>
        <v>#N/A</v>
      </c>
      <c r="AO895" s="616" t="e">
        <f t="shared" si="1112"/>
        <v>#N/A</v>
      </c>
      <c r="AP895" s="616" t="e">
        <f t="shared" si="1112"/>
        <v>#N/A</v>
      </c>
      <c r="AQ895" s="616" t="e">
        <f t="shared" si="1112"/>
        <v>#N/A</v>
      </c>
      <c r="AR895" s="616" t="e">
        <f t="shared" si="1112"/>
        <v>#N/A</v>
      </c>
      <c r="AS895" s="616" t="e">
        <f t="shared" si="1112"/>
        <v>#N/A</v>
      </c>
      <c r="AT895" s="616" t="e">
        <f t="shared" si="1112"/>
        <v>#N/A</v>
      </c>
      <c r="AU895" s="616" t="e">
        <f t="shared" si="1112"/>
        <v>#N/A</v>
      </c>
      <c r="AV895" s="616" t="e">
        <f t="shared" si="1112"/>
        <v>#N/A</v>
      </c>
      <c r="AW895" s="616" t="e">
        <f t="shared" si="1112"/>
        <v>#N/A</v>
      </c>
      <c r="AX895" s="616" t="e">
        <f t="shared" si="1112"/>
        <v>#N/A</v>
      </c>
      <c r="AY895" s="616" t="e">
        <f t="shared" si="1112"/>
        <v>#N/A</v>
      </c>
      <c r="AZ895" s="616" t="e">
        <f t="shared" si="1112"/>
        <v>#N/A</v>
      </c>
      <c r="BA895" s="616" t="e">
        <f t="shared" si="1112"/>
        <v>#N/A</v>
      </c>
      <c r="BB895" s="616" t="e">
        <f t="shared" si="1112"/>
        <v>#N/A</v>
      </c>
      <c r="BC895" s="616" t="e">
        <f t="shared" si="1112"/>
        <v>#N/A</v>
      </c>
      <c r="BD895" s="616" t="e">
        <f t="shared" si="1112"/>
        <v>#N/A</v>
      </c>
      <c r="BE895" s="616" t="e">
        <f t="shared" si="1112"/>
        <v>#N/A</v>
      </c>
      <c r="BF895" s="616" t="e">
        <f t="shared" si="1112"/>
        <v>#N/A</v>
      </c>
      <c r="BG895" s="616" t="e">
        <f t="shared" si="1112"/>
        <v>#N/A</v>
      </c>
      <c r="BH895" s="616" t="e">
        <f t="shared" si="1112"/>
        <v>#N/A</v>
      </c>
      <c r="BI895" s="616" t="e">
        <f t="shared" si="1112"/>
        <v>#N/A</v>
      </c>
      <c r="BJ895" s="616" t="e">
        <f t="shared" si="1112"/>
        <v>#N/A</v>
      </c>
      <c r="BK895" s="616" t="e">
        <f t="shared" si="1112"/>
        <v>#N/A</v>
      </c>
      <c r="BL895" s="616" t="e">
        <f t="shared" si="1112"/>
        <v>#N/A</v>
      </c>
      <c r="BM895" s="616" t="e">
        <f t="shared" si="1112"/>
        <v>#N/A</v>
      </c>
      <c r="BN895" s="616" t="e">
        <f t="shared" si="1112"/>
        <v>#N/A</v>
      </c>
      <c r="BO895" s="616" t="e">
        <f t="shared" si="1112"/>
        <v>#N/A</v>
      </c>
      <c r="BP895" s="616" t="e">
        <f t="shared" si="1112"/>
        <v>#N/A</v>
      </c>
      <c r="BQ895" s="616" t="e">
        <f t="shared" si="1112"/>
        <v>#N/A</v>
      </c>
      <c r="BR895" s="616" t="e">
        <f t="shared" si="1112"/>
        <v>#N/A</v>
      </c>
      <c r="BS895" s="616" t="e">
        <f t="shared" si="1112"/>
        <v>#N/A</v>
      </c>
      <c r="BT895" s="616" t="e">
        <f t="shared" si="1112"/>
        <v>#N/A</v>
      </c>
      <c r="BU895" s="616" t="e">
        <f t="shared" si="1112"/>
        <v>#N/A</v>
      </c>
      <c r="BV895" s="616" t="e">
        <f t="shared" si="1112"/>
        <v>#N/A</v>
      </c>
      <c r="BW895" s="616" t="e">
        <f t="shared" si="1112"/>
        <v>#N/A</v>
      </c>
      <c r="BX895" s="616" t="e">
        <f t="shared" si="1112"/>
        <v>#N/A</v>
      </c>
      <c r="BY895" s="616" t="e">
        <f t="shared" si="1112"/>
        <v>#N/A</v>
      </c>
      <c r="BZ895" s="616" t="e">
        <f t="shared" si="1112"/>
        <v>#N/A</v>
      </c>
      <c r="CA895" s="616" t="e">
        <f t="shared" si="1112"/>
        <v>#N/A</v>
      </c>
      <c r="CB895" s="616" t="e">
        <f t="shared" si="1112"/>
        <v>#N/A</v>
      </c>
      <c r="CC895" s="616" t="e">
        <f t="shared" si="1112"/>
        <v>#N/A</v>
      </c>
      <c r="CD895" s="616" t="e">
        <f t="shared" si="1112"/>
        <v>#N/A</v>
      </c>
      <c r="CE895" s="616" t="e">
        <f t="shared" si="1112"/>
        <v>#N/A</v>
      </c>
      <c r="CF895" s="616" t="e">
        <f t="shared" si="1112"/>
        <v>#N/A</v>
      </c>
      <c r="CG895" s="616" t="e">
        <f t="shared" si="1112"/>
        <v>#N/A</v>
      </c>
      <c r="CH895" s="616" t="e">
        <f t="shared" ref="CH895:CN895" si="1113">SUM(CH888:CH891,CH893:CH894)</f>
        <v>#N/A</v>
      </c>
      <c r="CI895" s="616" t="e">
        <f t="shared" si="1113"/>
        <v>#N/A</v>
      </c>
      <c r="CJ895" s="616" t="e">
        <f t="shared" si="1113"/>
        <v>#N/A</v>
      </c>
      <c r="CK895" s="616" t="e">
        <f t="shared" si="1113"/>
        <v>#N/A</v>
      </c>
      <c r="CL895" s="616" t="e">
        <f t="shared" si="1113"/>
        <v>#N/A</v>
      </c>
      <c r="CM895" s="616" t="e">
        <f t="shared" si="1113"/>
        <v>#N/A</v>
      </c>
      <c r="CN895" s="616" t="e">
        <f t="shared" si="1113"/>
        <v>#N/A</v>
      </c>
    </row>
    <row r="896" spans="8:92">
      <c r="H896" s="602" t="s">
        <v>940</v>
      </c>
      <c r="L896" s="618" t="s">
        <v>909</v>
      </c>
      <c r="M896" s="600" t="s">
        <v>974</v>
      </c>
      <c r="N896" s="615" t="e">
        <f>SUM(U896:AF896)</f>
        <v>#N/A</v>
      </c>
      <c r="O896" s="615" t="e">
        <f>SUM(AG896:AR896)</f>
        <v>#N/A</v>
      </c>
      <c r="P896" s="615" t="e">
        <f>SUM(AS896:BD896)</f>
        <v>#N/A</v>
      </c>
      <c r="Q896" s="615" t="e">
        <f>SUM(BE896:BP896)</f>
        <v>#N/A</v>
      </c>
      <c r="R896" s="615" t="e">
        <f>SUM(BQ896:CB896)</f>
        <v>#N/A</v>
      </c>
      <c r="S896" s="615" t="e">
        <f>SUM(CC896:CN896)</f>
        <v>#N/A</v>
      </c>
      <c r="U896" s="616" t="e">
        <f>U895*$R$374/100</f>
        <v>#N/A</v>
      </c>
      <c r="V896" s="616" t="e">
        <f t="shared" ref="V896:CG896" si="1114">V895*$R$374/100</f>
        <v>#N/A</v>
      </c>
      <c r="W896" s="616" t="e">
        <f t="shared" si="1114"/>
        <v>#N/A</v>
      </c>
      <c r="X896" s="616" t="e">
        <f t="shared" si="1114"/>
        <v>#N/A</v>
      </c>
      <c r="Y896" s="616" t="e">
        <f t="shared" si="1114"/>
        <v>#N/A</v>
      </c>
      <c r="Z896" s="616" t="e">
        <f t="shared" si="1114"/>
        <v>#N/A</v>
      </c>
      <c r="AA896" s="616" t="e">
        <f t="shared" si="1114"/>
        <v>#N/A</v>
      </c>
      <c r="AB896" s="616" t="e">
        <f t="shared" si="1114"/>
        <v>#N/A</v>
      </c>
      <c r="AC896" s="616" t="e">
        <f t="shared" si="1114"/>
        <v>#N/A</v>
      </c>
      <c r="AD896" s="616" t="e">
        <f t="shared" si="1114"/>
        <v>#N/A</v>
      </c>
      <c r="AE896" s="616" t="e">
        <f t="shared" si="1114"/>
        <v>#N/A</v>
      </c>
      <c r="AF896" s="616" t="e">
        <f t="shared" si="1114"/>
        <v>#N/A</v>
      </c>
      <c r="AG896" s="616" t="e">
        <f t="shared" si="1114"/>
        <v>#N/A</v>
      </c>
      <c r="AH896" s="616" t="e">
        <f t="shared" si="1114"/>
        <v>#N/A</v>
      </c>
      <c r="AI896" s="616" t="e">
        <f t="shared" si="1114"/>
        <v>#N/A</v>
      </c>
      <c r="AJ896" s="616" t="e">
        <f t="shared" si="1114"/>
        <v>#N/A</v>
      </c>
      <c r="AK896" s="616" t="e">
        <f t="shared" si="1114"/>
        <v>#N/A</v>
      </c>
      <c r="AL896" s="616" t="e">
        <f t="shared" si="1114"/>
        <v>#N/A</v>
      </c>
      <c r="AM896" s="616" t="e">
        <f t="shared" si="1114"/>
        <v>#N/A</v>
      </c>
      <c r="AN896" s="616" t="e">
        <f t="shared" si="1114"/>
        <v>#N/A</v>
      </c>
      <c r="AO896" s="616" t="e">
        <f t="shared" si="1114"/>
        <v>#N/A</v>
      </c>
      <c r="AP896" s="616" t="e">
        <f t="shared" si="1114"/>
        <v>#N/A</v>
      </c>
      <c r="AQ896" s="616" t="e">
        <f t="shared" si="1114"/>
        <v>#N/A</v>
      </c>
      <c r="AR896" s="616" t="e">
        <f t="shared" si="1114"/>
        <v>#N/A</v>
      </c>
      <c r="AS896" s="616" t="e">
        <f t="shared" si="1114"/>
        <v>#N/A</v>
      </c>
      <c r="AT896" s="616" t="e">
        <f t="shared" si="1114"/>
        <v>#N/A</v>
      </c>
      <c r="AU896" s="616" t="e">
        <f t="shared" si="1114"/>
        <v>#N/A</v>
      </c>
      <c r="AV896" s="616" t="e">
        <f t="shared" si="1114"/>
        <v>#N/A</v>
      </c>
      <c r="AW896" s="616" t="e">
        <f t="shared" si="1114"/>
        <v>#N/A</v>
      </c>
      <c r="AX896" s="616" t="e">
        <f t="shared" si="1114"/>
        <v>#N/A</v>
      </c>
      <c r="AY896" s="616" t="e">
        <f t="shared" si="1114"/>
        <v>#N/A</v>
      </c>
      <c r="AZ896" s="616" t="e">
        <f t="shared" si="1114"/>
        <v>#N/A</v>
      </c>
      <c r="BA896" s="616" t="e">
        <f t="shared" si="1114"/>
        <v>#N/A</v>
      </c>
      <c r="BB896" s="616" t="e">
        <f t="shared" si="1114"/>
        <v>#N/A</v>
      </c>
      <c r="BC896" s="616" t="e">
        <f t="shared" si="1114"/>
        <v>#N/A</v>
      </c>
      <c r="BD896" s="616" t="e">
        <f t="shared" si="1114"/>
        <v>#N/A</v>
      </c>
      <c r="BE896" s="616" t="e">
        <f t="shared" si="1114"/>
        <v>#N/A</v>
      </c>
      <c r="BF896" s="616" t="e">
        <f t="shared" si="1114"/>
        <v>#N/A</v>
      </c>
      <c r="BG896" s="616" t="e">
        <f t="shared" si="1114"/>
        <v>#N/A</v>
      </c>
      <c r="BH896" s="616" t="e">
        <f t="shared" si="1114"/>
        <v>#N/A</v>
      </c>
      <c r="BI896" s="616" t="e">
        <f t="shared" si="1114"/>
        <v>#N/A</v>
      </c>
      <c r="BJ896" s="616" t="e">
        <f t="shared" si="1114"/>
        <v>#N/A</v>
      </c>
      <c r="BK896" s="616" t="e">
        <f t="shared" si="1114"/>
        <v>#N/A</v>
      </c>
      <c r="BL896" s="616" t="e">
        <f t="shared" si="1114"/>
        <v>#N/A</v>
      </c>
      <c r="BM896" s="616" t="e">
        <f t="shared" si="1114"/>
        <v>#N/A</v>
      </c>
      <c r="BN896" s="616" t="e">
        <f t="shared" si="1114"/>
        <v>#N/A</v>
      </c>
      <c r="BO896" s="616" t="e">
        <f t="shared" si="1114"/>
        <v>#N/A</v>
      </c>
      <c r="BP896" s="616" t="e">
        <f t="shared" si="1114"/>
        <v>#N/A</v>
      </c>
      <c r="BQ896" s="616" t="e">
        <f t="shared" si="1114"/>
        <v>#N/A</v>
      </c>
      <c r="BR896" s="616" t="e">
        <f t="shared" si="1114"/>
        <v>#N/A</v>
      </c>
      <c r="BS896" s="616" t="e">
        <f t="shared" si="1114"/>
        <v>#N/A</v>
      </c>
      <c r="BT896" s="616" t="e">
        <f t="shared" si="1114"/>
        <v>#N/A</v>
      </c>
      <c r="BU896" s="616" t="e">
        <f t="shared" si="1114"/>
        <v>#N/A</v>
      </c>
      <c r="BV896" s="616" t="e">
        <f t="shared" si="1114"/>
        <v>#N/A</v>
      </c>
      <c r="BW896" s="616" t="e">
        <f t="shared" si="1114"/>
        <v>#N/A</v>
      </c>
      <c r="BX896" s="616" t="e">
        <f t="shared" si="1114"/>
        <v>#N/A</v>
      </c>
      <c r="BY896" s="616" t="e">
        <f t="shared" si="1114"/>
        <v>#N/A</v>
      </c>
      <c r="BZ896" s="616" t="e">
        <f t="shared" si="1114"/>
        <v>#N/A</v>
      </c>
      <c r="CA896" s="616" t="e">
        <f t="shared" si="1114"/>
        <v>#N/A</v>
      </c>
      <c r="CB896" s="616" t="e">
        <f t="shared" si="1114"/>
        <v>#N/A</v>
      </c>
      <c r="CC896" s="616" t="e">
        <f t="shared" si="1114"/>
        <v>#N/A</v>
      </c>
      <c r="CD896" s="616" t="e">
        <f t="shared" si="1114"/>
        <v>#N/A</v>
      </c>
      <c r="CE896" s="616" t="e">
        <f t="shared" si="1114"/>
        <v>#N/A</v>
      </c>
      <c r="CF896" s="616" t="e">
        <f t="shared" si="1114"/>
        <v>#N/A</v>
      </c>
      <c r="CG896" s="616" t="e">
        <f t="shared" si="1114"/>
        <v>#N/A</v>
      </c>
      <c r="CH896" s="616" t="e">
        <f t="shared" ref="CH896:CN896" si="1115">CH895*$R$374/100</f>
        <v>#N/A</v>
      </c>
      <c r="CI896" s="616" t="e">
        <f t="shared" si="1115"/>
        <v>#N/A</v>
      </c>
      <c r="CJ896" s="616" t="e">
        <f t="shared" si="1115"/>
        <v>#N/A</v>
      </c>
      <c r="CK896" s="616" t="e">
        <f t="shared" si="1115"/>
        <v>#N/A</v>
      </c>
      <c r="CL896" s="616" t="e">
        <f t="shared" si="1115"/>
        <v>#N/A</v>
      </c>
      <c r="CM896" s="616" t="e">
        <f t="shared" si="1115"/>
        <v>#N/A</v>
      </c>
      <c r="CN896" s="616" t="e">
        <f t="shared" si="1115"/>
        <v>#N/A</v>
      </c>
    </row>
    <row r="897" spans="8:92">
      <c r="H897" s="602" t="s">
        <v>940</v>
      </c>
      <c r="L897" s="618"/>
      <c r="M897" s="600"/>
      <c r="N897" s="615"/>
      <c r="O897" s="615"/>
      <c r="P897" s="615"/>
      <c r="Q897" s="615"/>
      <c r="R897" s="615"/>
      <c r="S897" s="615"/>
      <c r="U897" s="616"/>
      <c r="V897" s="616"/>
      <c r="W897" s="616"/>
      <c r="X897" s="616"/>
      <c r="Y897" s="616"/>
      <c r="Z897" s="616"/>
      <c r="AA897" s="616"/>
      <c r="AB897" s="616"/>
      <c r="AC897" s="616"/>
      <c r="AD897" s="616"/>
      <c r="AE897" s="616"/>
      <c r="AF897" s="616"/>
      <c r="AG897" s="616"/>
      <c r="AH897" s="616"/>
      <c r="AI897" s="616"/>
      <c r="AJ897" s="616"/>
      <c r="AK897" s="616"/>
      <c r="AL897" s="616"/>
      <c r="AM897" s="616"/>
      <c r="AN897" s="616"/>
      <c r="AO897" s="616"/>
      <c r="AP897" s="616"/>
      <c r="AQ897" s="616"/>
      <c r="AR897" s="616"/>
      <c r="AS897" s="616"/>
      <c r="AT897" s="616"/>
      <c r="AU897" s="616"/>
      <c r="AV897" s="616"/>
      <c r="AW897" s="616"/>
      <c r="AX897" s="616"/>
      <c r="AY897" s="616"/>
      <c r="AZ897" s="616"/>
      <c r="BA897" s="616"/>
      <c r="BB897" s="616"/>
      <c r="BC897" s="616"/>
      <c r="BD897" s="616"/>
      <c r="BE897" s="616"/>
      <c r="BF897" s="616"/>
      <c r="BG897" s="616"/>
      <c r="BH897" s="616"/>
      <c r="BI897" s="616"/>
      <c r="BJ897" s="616"/>
      <c r="BK897" s="616"/>
      <c r="BL897" s="616"/>
      <c r="BM897" s="616"/>
      <c r="BN897" s="616"/>
      <c r="BO897" s="616"/>
      <c r="BP897" s="616"/>
      <c r="BQ897" s="616"/>
      <c r="BR897" s="616"/>
      <c r="BS897" s="616"/>
      <c r="BT897" s="616"/>
      <c r="BU897" s="616"/>
      <c r="BV897" s="616"/>
      <c r="BW897" s="616"/>
      <c r="BX897" s="616"/>
      <c r="BY897" s="616"/>
      <c r="BZ897" s="616"/>
      <c r="CA897" s="616"/>
      <c r="CB897" s="616"/>
      <c r="CC897" s="616"/>
      <c r="CD897" s="616"/>
      <c r="CE897" s="616"/>
      <c r="CF897" s="616"/>
      <c r="CG897" s="616"/>
      <c r="CH897" s="616"/>
      <c r="CI897" s="616"/>
      <c r="CJ897" s="616"/>
      <c r="CK897" s="616"/>
      <c r="CL897" s="616"/>
      <c r="CM897" s="616"/>
      <c r="CN897" s="616"/>
    </row>
    <row r="898" spans="8:92">
      <c r="H898" s="602" t="s">
        <v>940</v>
      </c>
      <c r="L898" s="618" t="s">
        <v>1305</v>
      </c>
      <c r="M898" s="600" t="s">
        <v>974</v>
      </c>
      <c r="N898" s="615" t="e">
        <f>SUM(U898:AF898)</f>
        <v>#N/A</v>
      </c>
      <c r="O898" s="615" t="e">
        <f>SUM(AG898:AR898)</f>
        <v>#N/A</v>
      </c>
      <c r="P898" s="615" t="e">
        <f>SUM(AS898:BD898)</f>
        <v>#N/A</v>
      </c>
      <c r="Q898" s="615" t="e">
        <f>SUM(BE898:BP898)</f>
        <v>#N/A</v>
      </c>
      <c r="R898" s="615" t="e">
        <f>SUM(BQ898:CB898)</f>
        <v>#N/A</v>
      </c>
      <c r="S898" s="615" t="e">
        <f>SUM(CC898:CN898)</f>
        <v>#N/A</v>
      </c>
      <c r="U898" s="616" t="e">
        <f>SUM(U895:U896)</f>
        <v>#N/A</v>
      </c>
      <c r="V898" s="616" t="e">
        <f t="shared" ref="V898:CG898" si="1116">SUM(V895:V896)</f>
        <v>#N/A</v>
      </c>
      <c r="W898" s="616" t="e">
        <f t="shared" si="1116"/>
        <v>#N/A</v>
      </c>
      <c r="X898" s="616" t="e">
        <f t="shared" si="1116"/>
        <v>#N/A</v>
      </c>
      <c r="Y898" s="616" t="e">
        <f t="shared" si="1116"/>
        <v>#N/A</v>
      </c>
      <c r="Z898" s="616" t="e">
        <f t="shared" si="1116"/>
        <v>#N/A</v>
      </c>
      <c r="AA898" s="616" t="e">
        <f t="shared" si="1116"/>
        <v>#N/A</v>
      </c>
      <c r="AB898" s="616" t="e">
        <f t="shared" si="1116"/>
        <v>#N/A</v>
      </c>
      <c r="AC898" s="616" t="e">
        <f t="shared" si="1116"/>
        <v>#N/A</v>
      </c>
      <c r="AD898" s="616" t="e">
        <f t="shared" si="1116"/>
        <v>#N/A</v>
      </c>
      <c r="AE898" s="616" t="e">
        <f t="shared" si="1116"/>
        <v>#N/A</v>
      </c>
      <c r="AF898" s="616" t="e">
        <f t="shared" si="1116"/>
        <v>#N/A</v>
      </c>
      <c r="AG898" s="616" t="e">
        <f t="shared" si="1116"/>
        <v>#N/A</v>
      </c>
      <c r="AH898" s="616" t="e">
        <f t="shared" si="1116"/>
        <v>#N/A</v>
      </c>
      <c r="AI898" s="616" t="e">
        <f t="shared" si="1116"/>
        <v>#N/A</v>
      </c>
      <c r="AJ898" s="616" t="e">
        <f t="shared" si="1116"/>
        <v>#N/A</v>
      </c>
      <c r="AK898" s="616" t="e">
        <f t="shared" si="1116"/>
        <v>#N/A</v>
      </c>
      <c r="AL898" s="616" t="e">
        <f t="shared" si="1116"/>
        <v>#N/A</v>
      </c>
      <c r="AM898" s="616" t="e">
        <f t="shared" si="1116"/>
        <v>#N/A</v>
      </c>
      <c r="AN898" s="616" t="e">
        <f t="shared" si="1116"/>
        <v>#N/A</v>
      </c>
      <c r="AO898" s="616" t="e">
        <f t="shared" si="1116"/>
        <v>#N/A</v>
      </c>
      <c r="AP898" s="616" t="e">
        <f t="shared" si="1116"/>
        <v>#N/A</v>
      </c>
      <c r="AQ898" s="616" t="e">
        <f t="shared" si="1116"/>
        <v>#N/A</v>
      </c>
      <c r="AR898" s="616" t="e">
        <f t="shared" si="1116"/>
        <v>#N/A</v>
      </c>
      <c r="AS898" s="616" t="e">
        <f t="shared" si="1116"/>
        <v>#N/A</v>
      </c>
      <c r="AT898" s="616" t="e">
        <f t="shared" si="1116"/>
        <v>#N/A</v>
      </c>
      <c r="AU898" s="616" t="e">
        <f t="shared" si="1116"/>
        <v>#N/A</v>
      </c>
      <c r="AV898" s="616" t="e">
        <f t="shared" si="1116"/>
        <v>#N/A</v>
      </c>
      <c r="AW898" s="616" t="e">
        <f t="shared" si="1116"/>
        <v>#N/A</v>
      </c>
      <c r="AX898" s="616" t="e">
        <f t="shared" si="1116"/>
        <v>#N/A</v>
      </c>
      <c r="AY898" s="616" t="e">
        <f t="shared" si="1116"/>
        <v>#N/A</v>
      </c>
      <c r="AZ898" s="616" t="e">
        <f t="shared" si="1116"/>
        <v>#N/A</v>
      </c>
      <c r="BA898" s="616" t="e">
        <f t="shared" si="1116"/>
        <v>#N/A</v>
      </c>
      <c r="BB898" s="616" t="e">
        <f t="shared" si="1116"/>
        <v>#N/A</v>
      </c>
      <c r="BC898" s="616" t="e">
        <f t="shared" si="1116"/>
        <v>#N/A</v>
      </c>
      <c r="BD898" s="616" t="e">
        <f t="shared" si="1116"/>
        <v>#N/A</v>
      </c>
      <c r="BE898" s="616" t="e">
        <f t="shared" si="1116"/>
        <v>#N/A</v>
      </c>
      <c r="BF898" s="616" t="e">
        <f t="shared" si="1116"/>
        <v>#N/A</v>
      </c>
      <c r="BG898" s="616" t="e">
        <f t="shared" si="1116"/>
        <v>#N/A</v>
      </c>
      <c r="BH898" s="616" t="e">
        <f t="shared" si="1116"/>
        <v>#N/A</v>
      </c>
      <c r="BI898" s="616" t="e">
        <f t="shared" si="1116"/>
        <v>#N/A</v>
      </c>
      <c r="BJ898" s="616" t="e">
        <f t="shared" si="1116"/>
        <v>#N/A</v>
      </c>
      <c r="BK898" s="616" t="e">
        <f t="shared" si="1116"/>
        <v>#N/A</v>
      </c>
      <c r="BL898" s="616" t="e">
        <f t="shared" si="1116"/>
        <v>#N/A</v>
      </c>
      <c r="BM898" s="616" t="e">
        <f t="shared" si="1116"/>
        <v>#N/A</v>
      </c>
      <c r="BN898" s="616" t="e">
        <f t="shared" si="1116"/>
        <v>#N/A</v>
      </c>
      <c r="BO898" s="616" t="e">
        <f t="shared" si="1116"/>
        <v>#N/A</v>
      </c>
      <c r="BP898" s="616" t="e">
        <f t="shared" si="1116"/>
        <v>#N/A</v>
      </c>
      <c r="BQ898" s="616" t="e">
        <f t="shared" si="1116"/>
        <v>#N/A</v>
      </c>
      <c r="BR898" s="616" t="e">
        <f t="shared" si="1116"/>
        <v>#N/A</v>
      </c>
      <c r="BS898" s="616" t="e">
        <f t="shared" si="1116"/>
        <v>#N/A</v>
      </c>
      <c r="BT898" s="616" t="e">
        <f t="shared" si="1116"/>
        <v>#N/A</v>
      </c>
      <c r="BU898" s="616" t="e">
        <f t="shared" si="1116"/>
        <v>#N/A</v>
      </c>
      <c r="BV898" s="616" t="e">
        <f t="shared" si="1116"/>
        <v>#N/A</v>
      </c>
      <c r="BW898" s="616" t="e">
        <f t="shared" si="1116"/>
        <v>#N/A</v>
      </c>
      <c r="BX898" s="616" t="e">
        <f t="shared" si="1116"/>
        <v>#N/A</v>
      </c>
      <c r="BY898" s="616" t="e">
        <f t="shared" si="1116"/>
        <v>#N/A</v>
      </c>
      <c r="BZ898" s="616" t="e">
        <f t="shared" si="1116"/>
        <v>#N/A</v>
      </c>
      <c r="CA898" s="616" t="e">
        <f t="shared" si="1116"/>
        <v>#N/A</v>
      </c>
      <c r="CB898" s="616" t="e">
        <f t="shared" si="1116"/>
        <v>#N/A</v>
      </c>
      <c r="CC898" s="616" t="e">
        <f t="shared" si="1116"/>
        <v>#N/A</v>
      </c>
      <c r="CD898" s="616" t="e">
        <f t="shared" si="1116"/>
        <v>#N/A</v>
      </c>
      <c r="CE898" s="616" t="e">
        <f t="shared" si="1116"/>
        <v>#N/A</v>
      </c>
      <c r="CF898" s="616" t="e">
        <f t="shared" si="1116"/>
        <v>#N/A</v>
      </c>
      <c r="CG898" s="616" t="e">
        <f t="shared" si="1116"/>
        <v>#N/A</v>
      </c>
      <c r="CH898" s="616" t="e">
        <f t="shared" ref="CH898:CN898" si="1117">SUM(CH895:CH896)</f>
        <v>#N/A</v>
      </c>
      <c r="CI898" s="616" t="e">
        <f t="shared" si="1117"/>
        <v>#N/A</v>
      </c>
      <c r="CJ898" s="616" t="e">
        <f t="shared" si="1117"/>
        <v>#N/A</v>
      </c>
      <c r="CK898" s="616" t="e">
        <f t="shared" si="1117"/>
        <v>#N/A</v>
      </c>
      <c r="CL898" s="616" t="e">
        <f t="shared" si="1117"/>
        <v>#N/A</v>
      </c>
      <c r="CM898" s="616" t="e">
        <f t="shared" si="1117"/>
        <v>#N/A</v>
      </c>
      <c r="CN898" s="616" t="e">
        <f t="shared" si="1117"/>
        <v>#N/A</v>
      </c>
    </row>
    <row r="899" spans="8:92">
      <c r="H899" s="602" t="s">
        <v>940</v>
      </c>
    </row>
    <row r="900" spans="8:92" ht="18">
      <c r="H900" s="602" t="s">
        <v>940</v>
      </c>
      <c r="L900" s="652" t="s">
        <v>1322</v>
      </c>
      <c r="M900" s="551"/>
      <c r="N900" s="751"/>
      <c r="O900" s="751"/>
      <c r="P900" s="751"/>
      <c r="Q900" s="751"/>
      <c r="R900" s="751"/>
      <c r="S900" s="751"/>
      <c r="T900" s="551"/>
      <c r="U900" s="551"/>
      <c r="V900" s="551"/>
      <c r="W900" s="551"/>
      <c r="X900" s="551"/>
      <c r="Y900" s="551"/>
      <c r="Z900" s="551"/>
      <c r="AA900" s="551"/>
      <c r="AB900" s="551"/>
      <c r="AC900" s="551"/>
      <c r="AD900" s="551"/>
      <c r="AE900" s="551"/>
      <c r="AF900" s="551"/>
      <c r="AG900" s="551"/>
      <c r="AH900" s="551"/>
      <c r="AI900" s="551"/>
      <c r="AJ900" s="551"/>
      <c r="AK900" s="551"/>
      <c r="AL900" s="551"/>
      <c r="AM900" s="551"/>
      <c r="AN900" s="551"/>
      <c r="AO900" s="551"/>
      <c r="AP900" s="551"/>
      <c r="AQ900" s="551"/>
      <c r="AR900" s="551"/>
      <c r="AS900" s="551"/>
      <c r="AT900" s="551"/>
      <c r="AU900" s="551"/>
      <c r="AV900" s="551"/>
      <c r="AW900" s="551"/>
      <c r="AX900" s="551"/>
      <c r="AY900" s="551"/>
      <c r="AZ900" s="551"/>
      <c r="BA900" s="551"/>
      <c r="BB900" s="551"/>
      <c r="BC900" s="551"/>
      <c r="BD900" s="551"/>
      <c r="BE900" s="551"/>
      <c r="BF900" s="551"/>
      <c r="BG900" s="551"/>
      <c r="BH900" s="551"/>
      <c r="BI900" s="551"/>
      <c r="BJ900" s="551"/>
      <c r="BK900" s="551"/>
      <c r="BL900" s="551"/>
      <c r="BM900" s="551"/>
      <c r="BN900" s="551"/>
      <c r="BO900" s="551"/>
      <c r="BP900" s="551"/>
      <c r="BQ900" s="551"/>
      <c r="BR900" s="551"/>
      <c r="BS900" s="551"/>
      <c r="BT900" s="551"/>
      <c r="BU900" s="551"/>
      <c r="BV900" s="551"/>
      <c r="BW900" s="551"/>
      <c r="BX900" s="551"/>
      <c r="BY900" s="551"/>
      <c r="BZ900" s="551"/>
      <c r="CA900" s="551"/>
      <c r="CB900" s="551"/>
      <c r="CC900" s="551"/>
      <c r="CD900" s="551"/>
      <c r="CE900" s="551"/>
      <c r="CF900" s="551"/>
      <c r="CG900" s="551"/>
      <c r="CH900" s="551"/>
      <c r="CI900" s="551"/>
      <c r="CJ900" s="551"/>
      <c r="CK900" s="551"/>
      <c r="CL900" s="551"/>
      <c r="CM900" s="551"/>
      <c r="CN900" s="551"/>
    </row>
    <row r="901" spans="8:92">
      <c r="H901" s="602" t="s">
        <v>940</v>
      </c>
    </row>
    <row r="902" spans="8:92">
      <c r="H902" s="602" t="s">
        <v>940</v>
      </c>
      <c r="L902" s="609"/>
      <c r="M902" s="609" t="s">
        <v>359</v>
      </c>
      <c r="N902" s="704" t="s">
        <v>929</v>
      </c>
      <c r="O902" s="704" t="s">
        <v>1193</v>
      </c>
      <c r="P902" s="704" t="s">
        <v>1194</v>
      </c>
      <c r="Q902" s="704" t="s">
        <v>1195</v>
      </c>
      <c r="R902" s="704" t="s">
        <v>1196</v>
      </c>
      <c r="S902" s="704" t="s">
        <v>1197</v>
      </c>
      <c r="T902" s="753"/>
      <c r="U902" s="692" t="s">
        <v>929</v>
      </c>
      <c r="AF902" s="753"/>
      <c r="AG902" s="704" t="s">
        <v>1193</v>
      </c>
      <c r="AR902" s="753"/>
      <c r="AS902" s="704" t="s">
        <v>1194</v>
      </c>
      <c r="BD902" s="753"/>
      <c r="BE902" s="704" t="s">
        <v>1195</v>
      </c>
      <c r="BP902" s="753"/>
      <c r="BQ902" s="704" t="s">
        <v>1196</v>
      </c>
      <c r="CB902" s="753"/>
      <c r="CC902" s="704" t="s">
        <v>1197</v>
      </c>
    </row>
    <row r="903" spans="8:92">
      <c r="H903" s="602" t="s">
        <v>940</v>
      </c>
      <c r="L903" s="611"/>
      <c r="M903" s="611"/>
      <c r="N903" s="754" t="s">
        <v>405</v>
      </c>
      <c r="O903" s="754" t="s">
        <v>405</v>
      </c>
      <c r="P903" s="754" t="s">
        <v>405</v>
      </c>
      <c r="Q903" s="754" t="s">
        <v>405</v>
      </c>
      <c r="R903" s="754" t="s">
        <v>405</v>
      </c>
      <c r="S903" s="754" t="s">
        <v>405</v>
      </c>
      <c r="T903" s="755"/>
      <c r="U903" s="754" t="s">
        <v>1259</v>
      </c>
      <c r="V903" s="754" t="s">
        <v>1260</v>
      </c>
      <c r="W903" s="754" t="s">
        <v>1261</v>
      </c>
      <c r="X903" s="754" t="s">
        <v>1262</v>
      </c>
      <c r="Y903" s="754" t="s">
        <v>947</v>
      </c>
      <c r="Z903" s="754" t="s">
        <v>1263</v>
      </c>
      <c r="AA903" s="754" t="s">
        <v>1264</v>
      </c>
      <c r="AB903" s="754" t="s">
        <v>1265</v>
      </c>
      <c r="AC903" s="754" t="s">
        <v>1266</v>
      </c>
      <c r="AD903" s="754" t="s">
        <v>1267</v>
      </c>
      <c r="AE903" s="754" t="s">
        <v>1268</v>
      </c>
      <c r="AF903" s="756" t="s">
        <v>1269</v>
      </c>
      <c r="AG903" s="754" t="s">
        <v>1259</v>
      </c>
      <c r="AH903" s="754" t="s">
        <v>1260</v>
      </c>
      <c r="AI903" s="754" t="s">
        <v>1261</v>
      </c>
      <c r="AJ903" s="754" t="s">
        <v>1262</v>
      </c>
      <c r="AK903" s="754" t="s">
        <v>947</v>
      </c>
      <c r="AL903" s="754" t="s">
        <v>1263</v>
      </c>
      <c r="AM903" s="754" t="s">
        <v>1264</v>
      </c>
      <c r="AN903" s="754" t="s">
        <v>1265</v>
      </c>
      <c r="AO903" s="754" t="s">
        <v>1266</v>
      </c>
      <c r="AP903" s="754" t="s">
        <v>1267</v>
      </c>
      <c r="AQ903" s="754" t="s">
        <v>1268</v>
      </c>
      <c r="AR903" s="756" t="s">
        <v>1269</v>
      </c>
      <c r="AS903" s="754" t="s">
        <v>1259</v>
      </c>
      <c r="AT903" s="754" t="s">
        <v>1260</v>
      </c>
      <c r="AU903" s="754" t="s">
        <v>1261</v>
      </c>
      <c r="AV903" s="754" t="s">
        <v>1262</v>
      </c>
      <c r="AW903" s="754" t="s">
        <v>947</v>
      </c>
      <c r="AX903" s="754" t="s">
        <v>1263</v>
      </c>
      <c r="AY903" s="754" t="s">
        <v>1264</v>
      </c>
      <c r="AZ903" s="754" t="s">
        <v>1265</v>
      </c>
      <c r="BA903" s="754" t="s">
        <v>1266</v>
      </c>
      <c r="BB903" s="754" t="s">
        <v>1267</v>
      </c>
      <c r="BC903" s="754" t="s">
        <v>1268</v>
      </c>
      <c r="BD903" s="756" t="s">
        <v>1269</v>
      </c>
      <c r="BE903" s="754" t="s">
        <v>1259</v>
      </c>
      <c r="BF903" s="754" t="s">
        <v>1260</v>
      </c>
      <c r="BG903" s="754" t="s">
        <v>1261</v>
      </c>
      <c r="BH903" s="754" t="s">
        <v>1262</v>
      </c>
      <c r="BI903" s="754" t="s">
        <v>947</v>
      </c>
      <c r="BJ903" s="754" t="s">
        <v>1263</v>
      </c>
      <c r="BK903" s="754" t="s">
        <v>1264</v>
      </c>
      <c r="BL903" s="754" t="s">
        <v>1265</v>
      </c>
      <c r="BM903" s="754" t="s">
        <v>1266</v>
      </c>
      <c r="BN903" s="754" t="s">
        <v>1267</v>
      </c>
      <c r="BO903" s="754" t="s">
        <v>1268</v>
      </c>
      <c r="BP903" s="756" t="s">
        <v>1269</v>
      </c>
      <c r="BQ903" s="754" t="s">
        <v>1259</v>
      </c>
      <c r="BR903" s="754" t="s">
        <v>1260</v>
      </c>
      <c r="BS903" s="754" t="s">
        <v>1261</v>
      </c>
      <c r="BT903" s="754" t="s">
        <v>1262</v>
      </c>
      <c r="BU903" s="754" t="s">
        <v>947</v>
      </c>
      <c r="BV903" s="754" t="s">
        <v>1263</v>
      </c>
      <c r="BW903" s="754" t="s">
        <v>1264</v>
      </c>
      <c r="BX903" s="754" t="s">
        <v>1265</v>
      </c>
      <c r="BY903" s="754" t="s">
        <v>1266</v>
      </c>
      <c r="BZ903" s="754" t="s">
        <v>1267</v>
      </c>
      <c r="CA903" s="754" t="s">
        <v>1268</v>
      </c>
      <c r="CB903" s="756" t="s">
        <v>1269</v>
      </c>
      <c r="CC903" s="754" t="s">
        <v>1259</v>
      </c>
      <c r="CD903" s="754" t="s">
        <v>1260</v>
      </c>
      <c r="CE903" s="754" t="s">
        <v>1261</v>
      </c>
      <c r="CF903" s="754" t="s">
        <v>1262</v>
      </c>
      <c r="CG903" s="754" t="s">
        <v>947</v>
      </c>
      <c r="CH903" s="754" t="s">
        <v>1263</v>
      </c>
      <c r="CI903" s="754" t="s">
        <v>1264</v>
      </c>
      <c r="CJ903" s="754" t="s">
        <v>1265</v>
      </c>
      <c r="CK903" s="754" t="s">
        <v>1266</v>
      </c>
      <c r="CL903" s="754" t="s">
        <v>1267</v>
      </c>
      <c r="CM903" s="754" t="s">
        <v>1268</v>
      </c>
      <c r="CN903" s="754" t="s">
        <v>1269</v>
      </c>
    </row>
    <row r="904" spans="8:92">
      <c r="H904" s="602" t="s">
        <v>940</v>
      </c>
      <c r="L904" s="609"/>
    </row>
    <row r="905" spans="8:92">
      <c r="H905" s="602" t="s">
        <v>940</v>
      </c>
      <c r="L905" s="618" t="s">
        <v>1290</v>
      </c>
      <c r="M905" s="600" t="s">
        <v>1204</v>
      </c>
      <c r="N905" s="615" t="e">
        <f>SUM(U905:AF905)</f>
        <v>#N/A</v>
      </c>
      <c r="O905" s="615" t="e">
        <f>SUM(AG905:AR905)</f>
        <v>#N/A</v>
      </c>
      <c r="P905" s="615" t="e">
        <f>SUM(AS905:BD905)</f>
        <v>#N/A</v>
      </c>
      <c r="Q905" s="615" t="e">
        <f>SUM(BE905:BP905)</f>
        <v>#N/A</v>
      </c>
      <c r="R905" s="615" t="e">
        <f>SUM(BQ905:CB905)</f>
        <v>#N/A</v>
      </c>
      <c r="S905" s="615" t="e">
        <f>SUM(CC905:CN905)</f>
        <v>#N/A</v>
      </c>
      <c r="U905" s="616" t="e">
        <f>U510</f>
        <v>#N/A</v>
      </c>
      <c r="V905" s="616" t="e">
        <f t="shared" ref="V905:CG905" si="1118">V510</f>
        <v>#N/A</v>
      </c>
      <c r="W905" s="616" t="e">
        <f t="shared" si="1118"/>
        <v>#N/A</v>
      </c>
      <c r="X905" s="616" t="e">
        <f t="shared" si="1118"/>
        <v>#N/A</v>
      </c>
      <c r="Y905" s="616" t="e">
        <f t="shared" si="1118"/>
        <v>#N/A</v>
      </c>
      <c r="Z905" s="616" t="e">
        <f t="shared" si="1118"/>
        <v>#N/A</v>
      </c>
      <c r="AA905" s="616" t="e">
        <f t="shared" si="1118"/>
        <v>#N/A</v>
      </c>
      <c r="AB905" s="616" t="e">
        <f t="shared" si="1118"/>
        <v>#N/A</v>
      </c>
      <c r="AC905" s="616" t="e">
        <f t="shared" si="1118"/>
        <v>#N/A</v>
      </c>
      <c r="AD905" s="616" t="e">
        <f t="shared" si="1118"/>
        <v>#N/A</v>
      </c>
      <c r="AE905" s="616" t="e">
        <f t="shared" si="1118"/>
        <v>#N/A</v>
      </c>
      <c r="AF905" s="616" t="e">
        <f t="shared" si="1118"/>
        <v>#N/A</v>
      </c>
      <c r="AG905" s="616" t="e">
        <f t="shared" si="1118"/>
        <v>#N/A</v>
      </c>
      <c r="AH905" s="616" t="e">
        <f t="shared" si="1118"/>
        <v>#N/A</v>
      </c>
      <c r="AI905" s="616" t="e">
        <f t="shared" si="1118"/>
        <v>#N/A</v>
      </c>
      <c r="AJ905" s="616" t="e">
        <f t="shared" si="1118"/>
        <v>#N/A</v>
      </c>
      <c r="AK905" s="616" t="e">
        <f t="shared" si="1118"/>
        <v>#N/A</v>
      </c>
      <c r="AL905" s="616" t="e">
        <f t="shared" si="1118"/>
        <v>#N/A</v>
      </c>
      <c r="AM905" s="616" t="e">
        <f t="shared" si="1118"/>
        <v>#N/A</v>
      </c>
      <c r="AN905" s="616" t="e">
        <f t="shared" si="1118"/>
        <v>#N/A</v>
      </c>
      <c r="AO905" s="616" t="e">
        <f t="shared" si="1118"/>
        <v>#N/A</v>
      </c>
      <c r="AP905" s="616" t="e">
        <f t="shared" si="1118"/>
        <v>#N/A</v>
      </c>
      <c r="AQ905" s="616" t="e">
        <f t="shared" si="1118"/>
        <v>#N/A</v>
      </c>
      <c r="AR905" s="616" t="e">
        <f t="shared" si="1118"/>
        <v>#N/A</v>
      </c>
      <c r="AS905" s="616" t="e">
        <f t="shared" si="1118"/>
        <v>#N/A</v>
      </c>
      <c r="AT905" s="616" t="e">
        <f t="shared" si="1118"/>
        <v>#N/A</v>
      </c>
      <c r="AU905" s="616" t="e">
        <f t="shared" si="1118"/>
        <v>#N/A</v>
      </c>
      <c r="AV905" s="616" t="e">
        <f t="shared" si="1118"/>
        <v>#N/A</v>
      </c>
      <c r="AW905" s="616" t="e">
        <f t="shared" si="1118"/>
        <v>#N/A</v>
      </c>
      <c r="AX905" s="616" t="e">
        <f t="shared" si="1118"/>
        <v>#N/A</v>
      </c>
      <c r="AY905" s="616" t="e">
        <f t="shared" si="1118"/>
        <v>#N/A</v>
      </c>
      <c r="AZ905" s="616" t="e">
        <f t="shared" si="1118"/>
        <v>#N/A</v>
      </c>
      <c r="BA905" s="616" t="e">
        <f t="shared" si="1118"/>
        <v>#N/A</v>
      </c>
      <c r="BB905" s="616" t="e">
        <f t="shared" si="1118"/>
        <v>#N/A</v>
      </c>
      <c r="BC905" s="616" t="e">
        <f t="shared" si="1118"/>
        <v>#N/A</v>
      </c>
      <c r="BD905" s="616" t="e">
        <f t="shared" si="1118"/>
        <v>#N/A</v>
      </c>
      <c r="BE905" s="616" t="e">
        <f t="shared" si="1118"/>
        <v>#N/A</v>
      </c>
      <c r="BF905" s="616" t="e">
        <f t="shared" si="1118"/>
        <v>#N/A</v>
      </c>
      <c r="BG905" s="616" t="e">
        <f t="shared" si="1118"/>
        <v>#N/A</v>
      </c>
      <c r="BH905" s="616" t="e">
        <f t="shared" si="1118"/>
        <v>#N/A</v>
      </c>
      <c r="BI905" s="616" t="e">
        <f t="shared" si="1118"/>
        <v>#N/A</v>
      </c>
      <c r="BJ905" s="616" t="e">
        <f t="shared" si="1118"/>
        <v>#N/A</v>
      </c>
      <c r="BK905" s="616" t="e">
        <f t="shared" si="1118"/>
        <v>#N/A</v>
      </c>
      <c r="BL905" s="616" t="e">
        <f t="shared" si="1118"/>
        <v>#N/A</v>
      </c>
      <c r="BM905" s="616" t="e">
        <f t="shared" si="1118"/>
        <v>#N/A</v>
      </c>
      <c r="BN905" s="616" t="e">
        <f t="shared" si="1118"/>
        <v>#N/A</v>
      </c>
      <c r="BO905" s="616" t="e">
        <f t="shared" si="1118"/>
        <v>#N/A</v>
      </c>
      <c r="BP905" s="616" t="e">
        <f t="shared" si="1118"/>
        <v>#N/A</v>
      </c>
      <c r="BQ905" s="616" t="e">
        <f t="shared" si="1118"/>
        <v>#N/A</v>
      </c>
      <c r="BR905" s="616" t="e">
        <f t="shared" si="1118"/>
        <v>#N/A</v>
      </c>
      <c r="BS905" s="616" t="e">
        <f t="shared" si="1118"/>
        <v>#N/A</v>
      </c>
      <c r="BT905" s="616" t="e">
        <f t="shared" si="1118"/>
        <v>#N/A</v>
      </c>
      <c r="BU905" s="616" t="e">
        <f t="shared" si="1118"/>
        <v>#N/A</v>
      </c>
      <c r="BV905" s="616" t="e">
        <f t="shared" si="1118"/>
        <v>#N/A</v>
      </c>
      <c r="BW905" s="616" t="e">
        <f t="shared" si="1118"/>
        <v>#N/A</v>
      </c>
      <c r="BX905" s="616" t="e">
        <f t="shared" si="1118"/>
        <v>#N/A</v>
      </c>
      <c r="BY905" s="616" t="e">
        <f t="shared" si="1118"/>
        <v>#N/A</v>
      </c>
      <c r="BZ905" s="616" t="e">
        <f t="shared" si="1118"/>
        <v>#N/A</v>
      </c>
      <c r="CA905" s="616" t="e">
        <f t="shared" si="1118"/>
        <v>#N/A</v>
      </c>
      <c r="CB905" s="616" t="e">
        <f t="shared" si="1118"/>
        <v>#N/A</v>
      </c>
      <c r="CC905" s="616" t="e">
        <f t="shared" si="1118"/>
        <v>#N/A</v>
      </c>
      <c r="CD905" s="616" t="e">
        <f t="shared" si="1118"/>
        <v>#N/A</v>
      </c>
      <c r="CE905" s="616" t="e">
        <f t="shared" si="1118"/>
        <v>#N/A</v>
      </c>
      <c r="CF905" s="616" t="e">
        <f t="shared" si="1118"/>
        <v>#N/A</v>
      </c>
      <c r="CG905" s="616" t="e">
        <f t="shared" si="1118"/>
        <v>#N/A</v>
      </c>
      <c r="CH905" s="616" t="e">
        <f t="shared" ref="CH905:CN905" si="1119">CH510</f>
        <v>#N/A</v>
      </c>
      <c r="CI905" s="616" t="e">
        <f t="shared" si="1119"/>
        <v>#N/A</v>
      </c>
      <c r="CJ905" s="616" t="e">
        <f t="shared" si="1119"/>
        <v>#N/A</v>
      </c>
      <c r="CK905" s="616" t="e">
        <f t="shared" si="1119"/>
        <v>#N/A</v>
      </c>
      <c r="CL905" s="616" t="e">
        <f t="shared" si="1119"/>
        <v>#N/A</v>
      </c>
      <c r="CM905" s="616" t="e">
        <f t="shared" si="1119"/>
        <v>#N/A</v>
      </c>
      <c r="CN905" s="616" t="e">
        <f t="shared" si="1119"/>
        <v>#N/A</v>
      </c>
    </row>
    <row r="906" spans="8:92">
      <c r="H906" s="602" t="s">
        <v>940</v>
      </c>
      <c r="L906" s="609"/>
      <c r="N906" s="615"/>
      <c r="O906" s="615"/>
      <c r="P906" s="615"/>
      <c r="Q906" s="615"/>
      <c r="R906" s="615"/>
      <c r="S906" s="615"/>
    </row>
    <row r="907" spans="8:92">
      <c r="H907" s="602" t="s">
        <v>940</v>
      </c>
      <c r="L907" s="618" t="s">
        <v>1296</v>
      </c>
      <c r="M907" s="600" t="s">
        <v>1204</v>
      </c>
      <c r="N907" s="615" t="e">
        <f>SUM(U907:AF907)</f>
        <v>#N/A</v>
      </c>
      <c r="O907" s="615" t="e">
        <f>SUM(AG907:AR907)</f>
        <v>#N/A</v>
      </c>
      <c r="P907" s="615" t="e">
        <f>SUM(AS907:BD907)</f>
        <v>#N/A</v>
      </c>
      <c r="Q907" s="615" t="e">
        <f>SUM(BE907:BP907)</f>
        <v>#N/A</v>
      </c>
      <c r="R907" s="615" t="e">
        <f>SUM(BQ907:CB907)</f>
        <v>#N/A</v>
      </c>
      <c r="S907" s="615" t="e">
        <f>SUM(CC907:CN907)</f>
        <v>#N/A</v>
      </c>
      <c r="U907" s="616" t="e">
        <f>MIN(U905,$S$386)</f>
        <v>#N/A</v>
      </c>
      <c r="V907" s="616" t="e">
        <f t="shared" ref="V907:CG907" si="1120">MIN(V905,$S$386)</f>
        <v>#N/A</v>
      </c>
      <c r="W907" s="616" t="e">
        <f t="shared" si="1120"/>
        <v>#N/A</v>
      </c>
      <c r="X907" s="616" t="e">
        <f t="shared" si="1120"/>
        <v>#N/A</v>
      </c>
      <c r="Y907" s="616" t="e">
        <f t="shared" si="1120"/>
        <v>#N/A</v>
      </c>
      <c r="Z907" s="616" t="e">
        <f t="shared" si="1120"/>
        <v>#N/A</v>
      </c>
      <c r="AA907" s="616" t="e">
        <f t="shared" si="1120"/>
        <v>#N/A</v>
      </c>
      <c r="AB907" s="616" t="e">
        <f t="shared" si="1120"/>
        <v>#N/A</v>
      </c>
      <c r="AC907" s="616" t="e">
        <f t="shared" si="1120"/>
        <v>#N/A</v>
      </c>
      <c r="AD907" s="616" t="e">
        <f t="shared" si="1120"/>
        <v>#N/A</v>
      </c>
      <c r="AE907" s="616" t="e">
        <f t="shared" si="1120"/>
        <v>#N/A</v>
      </c>
      <c r="AF907" s="616" t="e">
        <f t="shared" si="1120"/>
        <v>#N/A</v>
      </c>
      <c r="AG907" s="616" t="e">
        <f t="shared" si="1120"/>
        <v>#N/A</v>
      </c>
      <c r="AH907" s="616" t="e">
        <f t="shared" si="1120"/>
        <v>#N/A</v>
      </c>
      <c r="AI907" s="616" t="e">
        <f t="shared" si="1120"/>
        <v>#N/A</v>
      </c>
      <c r="AJ907" s="616" t="e">
        <f t="shared" si="1120"/>
        <v>#N/A</v>
      </c>
      <c r="AK907" s="616" t="e">
        <f t="shared" si="1120"/>
        <v>#N/A</v>
      </c>
      <c r="AL907" s="616" t="e">
        <f t="shared" si="1120"/>
        <v>#N/A</v>
      </c>
      <c r="AM907" s="616" t="e">
        <f t="shared" si="1120"/>
        <v>#N/A</v>
      </c>
      <c r="AN907" s="616" t="e">
        <f t="shared" si="1120"/>
        <v>#N/A</v>
      </c>
      <c r="AO907" s="616" t="e">
        <f t="shared" si="1120"/>
        <v>#N/A</v>
      </c>
      <c r="AP907" s="616" t="e">
        <f t="shared" si="1120"/>
        <v>#N/A</v>
      </c>
      <c r="AQ907" s="616" t="e">
        <f t="shared" si="1120"/>
        <v>#N/A</v>
      </c>
      <c r="AR907" s="616" t="e">
        <f t="shared" si="1120"/>
        <v>#N/A</v>
      </c>
      <c r="AS907" s="616" t="e">
        <f t="shared" si="1120"/>
        <v>#N/A</v>
      </c>
      <c r="AT907" s="616" t="e">
        <f t="shared" si="1120"/>
        <v>#N/A</v>
      </c>
      <c r="AU907" s="616" t="e">
        <f t="shared" si="1120"/>
        <v>#N/A</v>
      </c>
      <c r="AV907" s="616" t="e">
        <f t="shared" si="1120"/>
        <v>#N/A</v>
      </c>
      <c r="AW907" s="616" t="e">
        <f t="shared" si="1120"/>
        <v>#N/A</v>
      </c>
      <c r="AX907" s="616" t="e">
        <f t="shared" si="1120"/>
        <v>#N/A</v>
      </c>
      <c r="AY907" s="616" t="e">
        <f t="shared" si="1120"/>
        <v>#N/A</v>
      </c>
      <c r="AZ907" s="616" t="e">
        <f t="shared" si="1120"/>
        <v>#N/A</v>
      </c>
      <c r="BA907" s="616" t="e">
        <f t="shared" si="1120"/>
        <v>#N/A</v>
      </c>
      <c r="BB907" s="616" t="e">
        <f t="shared" si="1120"/>
        <v>#N/A</v>
      </c>
      <c r="BC907" s="616" t="e">
        <f t="shared" si="1120"/>
        <v>#N/A</v>
      </c>
      <c r="BD907" s="616" t="e">
        <f t="shared" si="1120"/>
        <v>#N/A</v>
      </c>
      <c r="BE907" s="616" t="e">
        <f t="shared" si="1120"/>
        <v>#N/A</v>
      </c>
      <c r="BF907" s="616" t="e">
        <f t="shared" si="1120"/>
        <v>#N/A</v>
      </c>
      <c r="BG907" s="616" t="e">
        <f t="shared" si="1120"/>
        <v>#N/A</v>
      </c>
      <c r="BH907" s="616" t="e">
        <f t="shared" si="1120"/>
        <v>#N/A</v>
      </c>
      <c r="BI907" s="616" t="e">
        <f t="shared" si="1120"/>
        <v>#N/A</v>
      </c>
      <c r="BJ907" s="616" t="e">
        <f t="shared" si="1120"/>
        <v>#N/A</v>
      </c>
      <c r="BK907" s="616" t="e">
        <f t="shared" si="1120"/>
        <v>#N/A</v>
      </c>
      <c r="BL907" s="616" t="e">
        <f t="shared" si="1120"/>
        <v>#N/A</v>
      </c>
      <c r="BM907" s="616" t="e">
        <f t="shared" si="1120"/>
        <v>#N/A</v>
      </c>
      <c r="BN907" s="616" t="e">
        <f t="shared" si="1120"/>
        <v>#N/A</v>
      </c>
      <c r="BO907" s="616" t="e">
        <f t="shared" si="1120"/>
        <v>#N/A</v>
      </c>
      <c r="BP907" s="616" t="e">
        <f t="shared" si="1120"/>
        <v>#N/A</v>
      </c>
      <c r="BQ907" s="616" t="e">
        <f t="shared" si="1120"/>
        <v>#N/A</v>
      </c>
      <c r="BR907" s="616" t="e">
        <f t="shared" si="1120"/>
        <v>#N/A</v>
      </c>
      <c r="BS907" s="616" t="e">
        <f t="shared" si="1120"/>
        <v>#N/A</v>
      </c>
      <c r="BT907" s="616" t="e">
        <f t="shared" si="1120"/>
        <v>#N/A</v>
      </c>
      <c r="BU907" s="616" t="e">
        <f t="shared" si="1120"/>
        <v>#N/A</v>
      </c>
      <c r="BV907" s="616" t="e">
        <f t="shared" si="1120"/>
        <v>#N/A</v>
      </c>
      <c r="BW907" s="616" t="e">
        <f t="shared" si="1120"/>
        <v>#N/A</v>
      </c>
      <c r="BX907" s="616" t="e">
        <f t="shared" si="1120"/>
        <v>#N/A</v>
      </c>
      <c r="BY907" s="616" t="e">
        <f t="shared" si="1120"/>
        <v>#N/A</v>
      </c>
      <c r="BZ907" s="616" t="e">
        <f t="shared" si="1120"/>
        <v>#N/A</v>
      </c>
      <c r="CA907" s="616" t="e">
        <f t="shared" si="1120"/>
        <v>#N/A</v>
      </c>
      <c r="CB907" s="616" t="e">
        <f t="shared" si="1120"/>
        <v>#N/A</v>
      </c>
      <c r="CC907" s="616" t="e">
        <f t="shared" si="1120"/>
        <v>#N/A</v>
      </c>
      <c r="CD907" s="616" t="e">
        <f t="shared" si="1120"/>
        <v>#N/A</v>
      </c>
      <c r="CE907" s="616" t="e">
        <f t="shared" si="1120"/>
        <v>#N/A</v>
      </c>
      <c r="CF907" s="616" t="e">
        <f t="shared" si="1120"/>
        <v>#N/A</v>
      </c>
      <c r="CG907" s="616" t="e">
        <f t="shared" si="1120"/>
        <v>#N/A</v>
      </c>
      <c r="CH907" s="616" t="e">
        <f t="shared" ref="CH907:CN907" si="1121">MIN(CH905,$S$386)</f>
        <v>#N/A</v>
      </c>
      <c r="CI907" s="616" t="e">
        <f t="shared" si="1121"/>
        <v>#N/A</v>
      </c>
      <c r="CJ907" s="616" t="e">
        <f t="shared" si="1121"/>
        <v>#N/A</v>
      </c>
      <c r="CK907" s="616" t="e">
        <f t="shared" si="1121"/>
        <v>#N/A</v>
      </c>
      <c r="CL907" s="616" t="e">
        <f t="shared" si="1121"/>
        <v>#N/A</v>
      </c>
      <c r="CM907" s="616" t="e">
        <f t="shared" si="1121"/>
        <v>#N/A</v>
      </c>
      <c r="CN907" s="616" t="e">
        <f t="shared" si="1121"/>
        <v>#N/A</v>
      </c>
    </row>
    <row r="908" spans="8:92">
      <c r="H908" s="602" t="s">
        <v>940</v>
      </c>
      <c r="L908" s="618" t="s">
        <v>1297</v>
      </c>
      <c r="M908" s="600" t="s">
        <v>1204</v>
      </c>
      <c r="N908" s="615" t="e">
        <f>SUM(U908:AF908)</f>
        <v>#N/A</v>
      </c>
      <c r="O908" s="615" t="e">
        <f>SUM(AG908:AR908)</f>
        <v>#N/A</v>
      </c>
      <c r="P908" s="615" t="e">
        <f>SUM(AS908:BD908)</f>
        <v>#N/A</v>
      </c>
      <c r="Q908" s="615" t="e">
        <f>SUM(BE908:BP908)</f>
        <v>#N/A</v>
      </c>
      <c r="R908" s="615" t="e">
        <f>SUM(BQ908:CB908)</f>
        <v>#N/A</v>
      </c>
      <c r="S908" s="615" t="e">
        <f>SUM(CC908:CN908)</f>
        <v>#N/A</v>
      </c>
      <c r="U908" s="616" t="e">
        <f>MIN(U905-U907,$S$387)</f>
        <v>#N/A</v>
      </c>
      <c r="V908" s="616" t="e">
        <f t="shared" ref="V908:CG908" si="1122">MIN(V905-V907,$S$387)</f>
        <v>#N/A</v>
      </c>
      <c r="W908" s="616" t="e">
        <f t="shared" si="1122"/>
        <v>#N/A</v>
      </c>
      <c r="X908" s="616" t="e">
        <f t="shared" si="1122"/>
        <v>#N/A</v>
      </c>
      <c r="Y908" s="616" t="e">
        <f t="shared" si="1122"/>
        <v>#N/A</v>
      </c>
      <c r="Z908" s="616" t="e">
        <f t="shared" si="1122"/>
        <v>#N/A</v>
      </c>
      <c r="AA908" s="616" t="e">
        <f t="shared" si="1122"/>
        <v>#N/A</v>
      </c>
      <c r="AB908" s="616" t="e">
        <f t="shared" si="1122"/>
        <v>#N/A</v>
      </c>
      <c r="AC908" s="616" t="e">
        <f t="shared" si="1122"/>
        <v>#N/A</v>
      </c>
      <c r="AD908" s="616" t="e">
        <f t="shared" si="1122"/>
        <v>#N/A</v>
      </c>
      <c r="AE908" s="616" t="e">
        <f t="shared" si="1122"/>
        <v>#N/A</v>
      </c>
      <c r="AF908" s="616" t="e">
        <f t="shared" si="1122"/>
        <v>#N/A</v>
      </c>
      <c r="AG908" s="616" t="e">
        <f t="shared" si="1122"/>
        <v>#N/A</v>
      </c>
      <c r="AH908" s="616" t="e">
        <f t="shared" si="1122"/>
        <v>#N/A</v>
      </c>
      <c r="AI908" s="616" t="e">
        <f t="shared" si="1122"/>
        <v>#N/A</v>
      </c>
      <c r="AJ908" s="616" t="e">
        <f t="shared" si="1122"/>
        <v>#N/A</v>
      </c>
      <c r="AK908" s="616" t="e">
        <f t="shared" si="1122"/>
        <v>#N/A</v>
      </c>
      <c r="AL908" s="616" t="e">
        <f t="shared" si="1122"/>
        <v>#N/A</v>
      </c>
      <c r="AM908" s="616" t="e">
        <f t="shared" si="1122"/>
        <v>#N/A</v>
      </c>
      <c r="AN908" s="616" t="e">
        <f t="shared" si="1122"/>
        <v>#N/A</v>
      </c>
      <c r="AO908" s="616" t="e">
        <f t="shared" si="1122"/>
        <v>#N/A</v>
      </c>
      <c r="AP908" s="616" t="e">
        <f t="shared" si="1122"/>
        <v>#N/A</v>
      </c>
      <c r="AQ908" s="616" t="e">
        <f t="shared" si="1122"/>
        <v>#N/A</v>
      </c>
      <c r="AR908" s="616" t="e">
        <f t="shared" si="1122"/>
        <v>#N/A</v>
      </c>
      <c r="AS908" s="616" t="e">
        <f t="shared" si="1122"/>
        <v>#N/A</v>
      </c>
      <c r="AT908" s="616" t="e">
        <f t="shared" si="1122"/>
        <v>#N/A</v>
      </c>
      <c r="AU908" s="616" t="e">
        <f t="shared" si="1122"/>
        <v>#N/A</v>
      </c>
      <c r="AV908" s="616" t="e">
        <f t="shared" si="1122"/>
        <v>#N/A</v>
      </c>
      <c r="AW908" s="616" t="e">
        <f t="shared" si="1122"/>
        <v>#N/A</v>
      </c>
      <c r="AX908" s="616" t="e">
        <f t="shared" si="1122"/>
        <v>#N/A</v>
      </c>
      <c r="AY908" s="616" t="e">
        <f t="shared" si="1122"/>
        <v>#N/A</v>
      </c>
      <c r="AZ908" s="616" t="e">
        <f t="shared" si="1122"/>
        <v>#N/A</v>
      </c>
      <c r="BA908" s="616" t="e">
        <f t="shared" si="1122"/>
        <v>#N/A</v>
      </c>
      <c r="BB908" s="616" t="e">
        <f t="shared" si="1122"/>
        <v>#N/A</v>
      </c>
      <c r="BC908" s="616" t="e">
        <f t="shared" si="1122"/>
        <v>#N/A</v>
      </c>
      <c r="BD908" s="616" t="e">
        <f t="shared" si="1122"/>
        <v>#N/A</v>
      </c>
      <c r="BE908" s="616" t="e">
        <f t="shared" si="1122"/>
        <v>#N/A</v>
      </c>
      <c r="BF908" s="616" t="e">
        <f t="shared" si="1122"/>
        <v>#N/A</v>
      </c>
      <c r="BG908" s="616" t="e">
        <f t="shared" si="1122"/>
        <v>#N/A</v>
      </c>
      <c r="BH908" s="616" t="e">
        <f t="shared" si="1122"/>
        <v>#N/A</v>
      </c>
      <c r="BI908" s="616" t="e">
        <f t="shared" si="1122"/>
        <v>#N/A</v>
      </c>
      <c r="BJ908" s="616" t="e">
        <f t="shared" si="1122"/>
        <v>#N/A</v>
      </c>
      <c r="BK908" s="616" t="e">
        <f t="shared" si="1122"/>
        <v>#N/A</v>
      </c>
      <c r="BL908" s="616" t="e">
        <f t="shared" si="1122"/>
        <v>#N/A</v>
      </c>
      <c r="BM908" s="616" t="e">
        <f t="shared" si="1122"/>
        <v>#N/A</v>
      </c>
      <c r="BN908" s="616" t="e">
        <f t="shared" si="1122"/>
        <v>#N/A</v>
      </c>
      <c r="BO908" s="616" t="e">
        <f t="shared" si="1122"/>
        <v>#N/A</v>
      </c>
      <c r="BP908" s="616" t="e">
        <f t="shared" si="1122"/>
        <v>#N/A</v>
      </c>
      <c r="BQ908" s="616" t="e">
        <f t="shared" si="1122"/>
        <v>#N/A</v>
      </c>
      <c r="BR908" s="616" t="e">
        <f t="shared" si="1122"/>
        <v>#N/A</v>
      </c>
      <c r="BS908" s="616" t="e">
        <f t="shared" si="1122"/>
        <v>#N/A</v>
      </c>
      <c r="BT908" s="616" t="e">
        <f t="shared" si="1122"/>
        <v>#N/A</v>
      </c>
      <c r="BU908" s="616" t="e">
        <f t="shared" si="1122"/>
        <v>#N/A</v>
      </c>
      <c r="BV908" s="616" t="e">
        <f t="shared" si="1122"/>
        <v>#N/A</v>
      </c>
      <c r="BW908" s="616" t="e">
        <f t="shared" si="1122"/>
        <v>#N/A</v>
      </c>
      <c r="BX908" s="616" t="e">
        <f t="shared" si="1122"/>
        <v>#N/A</v>
      </c>
      <c r="BY908" s="616" t="e">
        <f t="shared" si="1122"/>
        <v>#N/A</v>
      </c>
      <c r="BZ908" s="616" t="e">
        <f t="shared" si="1122"/>
        <v>#N/A</v>
      </c>
      <c r="CA908" s="616" t="e">
        <f t="shared" si="1122"/>
        <v>#N/A</v>
      </c>
      <c r="CB908" s="616" t="e">
        <f t="shared" si="1122"/>
        <v>#N/A</v>
      </c>
      <c r="CC908" s="616" t="e">
        <f t="shared" si="1122"/>
        <v>#N/A</v>
      </c>
      <c r="CD908" s="616" t="e">
        <f t="shared" si="1122"/>
        <v>#N/A</v>
      </c>
      <c r="CE908" s="616" t="e">
        <f t="shared" si="1122"/>
        <v>#N/A</v>
      </c>
      <c r="CF908" s="616" t="e">
        <f t="shared" si="1122"/>
        <v>#N/A</v>
      </c>
      <c r="CG908" s="616" t="e">
        <f t="shared" si="1122"/>
        <v>#N/A</v>
      </c>
      <c r="CH908" s="616" t="e">
        <f t="shared" ref="CH908:CN908" si="1123">MIN(CH905-CH907,$S$387)</f>
        <v>#N/A</v>
      </c>
      <c r="CI908" s="616" t="e">
        <f t="shared" si="1123"/>
        <v>#N/A</v>
      </c>
      <c r="CJ908" s="616" t="e">
        <f t="shared" si="1123"/>
        <v>#N/A</v>
      </c>
      <c r="CK908" s="616" t="e">
        <f t="shared" si="1123"/>
        <v>#N/A</v>
      </c>
      <c r="CL908" s="616" t="e">
        <f t="shared" si="1123"/>
        <v>#N/A</v>
      </c>
      <c r="CM908" s="616" t="e">
        <f t="shared" si="1123"/>
        <v>#N/A</v>
      </c>
      <c r="CN908" s="616" t="e">
        <f t="shared" si="1123"/>
        <v>#N/A</v>
      </c>
    </row>
    <row r="909" spans="8:92">
      <c r="H909" s="602" t="s">
        <v>940</v>
      </c>
      <c r="L909" s="618" t="s">
        <v>1298</v>
      </c>
      <c r="M909" s="600" t="s">
        <v>1204</v>
      </c>
      <c r="N909" s="615" t="e">
        <f>SUM(U909:AF909)</f>
        <v>#N/A</v>
      </c>
      <c r="O909" s="615" t="e">
        <f>SUM(AG909:AR909)</f>
        <v>#N/A</v>
      </c>
      <c r="P909" s="615" t="e">
        <f>SUM(AS909:BD909)</f>
        <v>#N/A</v>
      </c>
      <c r="Q909" s="615" t="e">
        <f>SUM(BE909:BP909)</f>
        <v>#N/A</v>
      </c>
      <c r="R909" s="615" t="e">
        <f>SUM(BQ909:CB909)</f>
        <v>#N/A</v>
      </c>
      <c r="S909" s="615" t="e">
        <f>SUM(CC909:CN909)</f>
        <v>#N/A</v>
      </c>
      <c r="U909" s="616" t="e">
        <f>MIN(U905-(U907+U908),$S$388)</f>
        <v>#N/A</v>
      </c>
      <c r="V909" s="616" t="e">
        <f t="shared" ref="V909:CG909" si="1124">MIN(V905-(V907+V908),$S$388)</f>
        <v>#N/A</v>
      </c>
      <c r="W909" s="616" t="e">
        <f t="shared" si="1124"/>
        <v>#N/A</v>
      </c>
      <c r="X909" s="616" t="e">
        <f t="shared" si="1124"/>
        <v>#N/A</v>
      </c>
      <c r="Y909" s="616" t="e">
        <f t="shared" si="1124"/>
        <v>#N/A</v>
      </c>
      <c r="Z909" s="616" t="e">
        <f t="shared" si="1124"/>
        <v>#N/A</v>
      </c>
      <c r="AA909" s="616" t="e">
        <f t="shared" si="1124"/>
        <v>#N/A</v>
      </c>
      <c r="AB909" s="616" t="e">
        <f t="shared" si="1124"/>
        <v>#N/A</v>
      </c>
      <c r="AC909" s="616" t="e">
        <f t="shared" si="1124"/>
        <v>#N/A</v>
      </c>
      <c r="AD909" s="616" t="e">
        <f t="shared" si="1124"/>
        <v>#N/A</v>
      </c>
      <c r="AE909" s="616" t="e">
        <f t="shared" si="1124"/>
        <v>#N/A</v>
      </c>
      <c r="AF909" s="616" t="e">
        <f t="shared" si="1124"/>
        <v>#N/A</v>
      </c>
      <c r="AG909" s="616" t="e">
        <f t="shared" si="1124"/>
        <v>#N/A</v>
      </c>
      <c r="AH909" s="616" t="e">
        <f t="shared" si="1124"/>
        <v>#N/A</v>
      </c>
      <c r="AI909" s="616" t="e">
        <f t="shared" si="1124"/>
        <v>#N/A</v>
      </c>
      <c r="AJ909" s="616" t="e">
        <f t="shared" si="1124"/>
        <v>#N/A</v>
      </c>
      <c r="AK909" s="616" t="e">
        <f t="shared" si="1124"/>
        <v>#N/A</v>
      </c>
      <c r="AL909" s="616" t="e">
        <f t="shared" si="1124"/>
        <v>#N/A</v>
      </c>
      <c r="AM909" s="616" t="e">
        <f t="shared" si="1124"/>
        <v>#N/A</v>
      </c>
      <c r="AN909" s="616" t="e">
        <f t="shared" si="1124"/>
        <v>#N/A</v>
      </c>
      <c r="AO909" s="616" t="e">
        <f t="shared" si="1124"/>
        <v>#N/A</v>
      </c>
      <c r="AP909" s="616" t="e">
        <f t="shared" si="1124"/>
        <v>#N/A</v>
      </c>
      <c r="AQ909" s="616" t="e">
        <f t="shared" si="1124"/>
        <v>#N/A</v>
      </c>
      <c r="AR909" s="616" t="e">
        <f t="shared" si="1124"/>
        <v>#N/A</v>
      </c>
      <c r="AS909" s="616" t="e">
        <f t="shared" si="1124"/>
        <v>#N/A</v>
      </c>
      <c r="AT909" s="616" t="e">
        <f t="shared" si="1124"/>
        <v>#N/A</v>
      </c>
      <c r="AU909" s="616" t="e">
        <f t="shared" si="1124"/>
        <v>#N/A</v>
      </c>
      <c r="AV909" s="616" t="e">
        <f t="shared" si="1124"/>
        <v>#N/A</v>
      </c>
      <c r="AW909" s="616" t="e">
        <f t="shared" si="1124"/>
        <v>#N/A</v>
      </c>
      <c r="AX909" s="616" t="e">
        <f t="shared" si="1124"/>
        <v>#N/A</v>
      </c>
      <c r="AY909" s="616" t="e">
        <f t="shared" si="1124"/>
        <v>#N/A</v>
      </c>
      <c r="AZ909" s="616" t="e">
        <f t="shared" si="1124"/>
        <v>#N/A</v>
      </c>
      <c r="BA909" s="616" t="e">
        <f t="shared" si="1124"/>
        <v>#N/A</v>
      </c>
      <c r="BB909" s="616" t="e">
        <f t="shared" si="1124"/>
        <v>#N/A</v>
      </c>
      <c r="BC909" s="616" t="e">
        <f t="shared" si="1124"/>
        <v>#N/A</v>
      </c>
      <c r="BD909" s="616" t="e">
        <f t="shared" si="1124"/>
        <v>#N/A</v>
      </c>
      <c r="BE909" s="616" t="e">
        <f t="shared" si="1124"/>
        <v>#N/A</v>
      </c>
      <c r="BF909" s="616" t="e">
        <f t="shared" si="1124"/>
        <v>#N/A</v>
      </c>
      <c r="BG909" s="616" t="e">
        <f t="shared" si="1124"/>
        <v>#N/A</v>
      </c>
      <c r="BH909" s="616" t="e">
        <f t="shared" si="1124"/>
        <v>#N/A</v>
      </c>
      <c r="BI909" s="616" t="e">
        <f t="shared" si="1124"/>
        <v>#N/A</v>
      </c>
      <c r="BJ909" s="616" t="e">
        <f t="shared" si="1124"/>
        <v>#N/A</v>
      </c>
      <c r="BK909" s="616" t="e">
        <f t="shared" si="1124"/>
        <v>#N/A</v>
      </c>
      <c r="BL909" s="616" t="e">
        <f t="shared" si="1124"/>
        <v>#N/A</v>
      </c>
      <c r="BM909" s="616" t="e">
        <f t="shared" si="1124"/>
        <v>#N/A</v>
      </c>
      <c r="BN909" s="616" t="e">
        <f t="shared" si="1124"/>
        <v>#N/A</v>
      </c>
      <c r="BO909" s="616" t="e">
        <f t="shared" si="1124"/>
        <v>#N/A</v>
      </c>
      <c r="BP909" s="616" t="e">
        <f t="shared" si="1124"/>
        <v>#N/A</v>
      </c>
      <c r="BQ909" s="616" t="e">
        <f t="shared" si="1124"/>
        <v>#N/A</v>
      </c>
      <c r="BR909" s="616" t="e">
        <f t="shared" si="1124"/>
        <v>#N/A</v>
      </c>
      <c r="BS909" s="616" t="e">
        <f t="shared" si="1124"/>
        <v>#N/A</v>
      </c>
      <c r="BT909" s="616" t="e">
        <f t="shared" si="1124"/>
        <v>#N/A</v>
      </c>
      <c r="BU909" s="616" t="e">
        <f t="shared" si="1124"/>
        <v>#N/A</v>
      </c>
      <c r="BV909" s="616" t="e">
        <f t="shared" si="1124"/>
        <v>#N/A</v>
      </c>
      <c r="BW909" s="616" t="e">
        <f t="shared" si="1124"/>
        <v>#N/A</v>
      </c>
      <c r="BX909" s="616" t="e">
        <f t="shared" si="1124"/>
        <v>#N/A</v>
      </c>
      <c r="BY909" s="616" t="e">
        <f t="shared" si="1124"/>
        <v>#N/A</v>
      </c>
      <c r="BZ909" s="616" t="e">
        <f t="shared" si="1124"/>
        <v>#N/A</v>
      </c>
      <c r="CA909" s="616" t="e">
        <f t="shared" si="1124"/>
        <v>#N/A</v>
      </c>
      <c r="CB909" s="616" t="e">
        <f t="shared" si="1124"/>
        <v>#N/A</v>
      </c>
      <c r="CC909" s="616" t="e">
        <f t="shared" si="1124"/>
        <v>#N/A</v>
      </c>
      <c r="CD909" s="616" t="e">
        <f t="shared" si="1124"/>
        <v>#N/A</v>
      </c>
      <c r="CE909" s="616" t="e">
        <f t="shared" si="1124"/>
        <v>#N/A</v>
      </c>
      <c r="CF909" s="616" t="e">
        <f t="shared" si="1124"/>
        <v>#N/A</v>
      </c>
      <c r="CG909" s="616" t="e">
        <f t="shared" si="1124"/>
        <v>#N/A</v>
      </c>
      <c r="CH909" s="616" t="e">
        <f t="shared" ref="CH909:CN909" si="1125">MIN(CH905-(CH907+CH908),$S$388)</f>
        <v>#N/A</v>
      </c>
      <c r="CI909" s="616" t="e">
        <f t="shared" si="1125"/>
        <v>#N/A</v>
      </c>
      <c r="CJ909" s="616" t="e">
        <f t="shared" si="1125"/>
        <v>#N/A</v>
      </c>
      <c r="CK909" s="616" t="e">
        <f t="shared" si="1125"/>
        <v>#N/A</v>
      </c>
      <c r="CL909" s="616" t="e">
        <f t="shared" si="1125"/>
        <v>#N/A</v>
      </c>
      <c r="CM909" s="616" t="e">
        <f t="shared" si="1125"/>
        <v>#N/A</v>
      </c>
      <c r="CN909" s="616" t="e">
        <f t="shared" si="1125"/>
        <v>#N/A</v>
      </c>
    </row>
    <row r="910" spans="8:92">
      <c r="H910" s="602" t="s">
        <v>940</v>
      </c>
      <c r="L910" s="618" t="s">
        <v>1299</v>
      </c>
      <c r="M910" s="600" t="s">
        <v>1204</v>
      </c>
      <c r="N910" s="615" t="e">
        <f>SUM(U910:AF910)</f>
        <v>#N/A</v>
      </c>
      <c r="O910" s="615" t="e">
        <f>SUM(AG910:AR910)</f>
        <v>#N/A</v>
      </c>
      <c r="P910" s="615" t="e">
        <f>SUM(AS910:BD910)</f>
        <v>#N/A</v>
      </c>
      <c r="Q910" s="615" t="e">
        <f>SUM(BE910:BP910)</f>
        <v>#N/A</v>
      </c>
      <c r="R910" s="615" t="e">
        <f>SUM(BQ910:CB910)</f>
        <v>#N/A</v>
      </c>
      <c r="S910" s="615" t="e">
        <f>SUM(CC910:CN910)</f>
        <v>#N/A</v>
      </c>
      <c r="U910" s="616" t="e">
        <f>MIN(U905-(U907+U908+U909),$S$389)</f>
        <v>#N/A</v>
      </c>
      <c r="V910" s="616" t="e">
        <f t="shared" ref="V910:CG910" si="1126">MIN(V905-(V907+V908+V909),$S$389)</f>
        <v>#N/A</v>
      </c>
      <c r="W910" s="616" t="e">
        <f t="shared" si="1126"/>
        <v>#N/A</v>
      </c>
      <c r="X910" s="616" t="e">
        <f t="shared" si="1126"/>
        <v>#N/A</v>
      </c>
      <c r="Y910" s="616" t="e">
        <f t="shared" si="1126"/>
        <v>#N/A</v>
      </c>
      <c r="Z910" s="616" t="e">
        <f t="shared" si="1126"/>
        <v>#N/A</v>
      </c>
      <c r="AA910" s="616" t="e">
        <f t="shared" si="1126"/>
        <v>#N/A</v>
      </c>
      <c r="AB910" s="616" t="e">
        <f t="shared" si="1126"/>
        <v>#N/A</v>
      </c>
      <c r="AC910" s="616" t="e">
        <f t="shared" si="1126"/>
        <v>#N/A</v>
      </c>
      <c r="AD910" s="616" t="e">
        <f t="shared" si="1126"/>
        <v>#N/A</v>
      </c>
      <c r="AE910" s="616" t="e">
        <f t="shared" si="1126"/>
        <v>#N/A</v>
      </c>
      <c r="AF910" s="616" t="e">
        <f t="shared" si="1126"/>
        <v>#N/A</v>
      </c>
      <c r="AG910" s="616" t="e">
        <f t="shared" si="1126"/>
        <v>#N/A</v>
      </c>
      <c r="AH910" s="616" t="e">
        <f t="shared" si="1126"/>
        <v>#N/A</v>
      </c>
      <c r="AI910" s="616" t="e">
        <f t="shared" si="1126"/>
        <v>#N/A</v>
      </c>
      <c r="AJ910" s="616" t="e">
        <f t="shared" si="1126"/>
        <v>#N/A</v>
      </c>
      <c r="AK910" s="616" t="e">
        <f t="shared" si="1126"/>
        <v>#N/A</v>
      </c>
      <c r="AL910" s="616" t="e">
        <f t="shared" si="1126"/>
        <v>#N/A</v>
      </c>
      <c r="AM910" s="616" t="e">
        <f t="shared" si="1126"/>
        <v>#N/A</v>
      </c>
      <c r="AN910" s="616" t="e">
        <f t="shared" si="1126"/>
        <v>#N/A</v>
      </c>
      <c r="AO910" s="616" t="e">
        <f t="shared" si="1126"/>
        <v>#N/A</v>
      </c>
      <c r="AP910" s="616" t="e">
        <f t="shared" si="1126"/>
        <v>#N/A</v>
      </c>
      <c r="AQ910" s="616" t="e">
        <f t="shared" si="1126"/>
        <v>#N/A</v>
      </c>
      <c r="AR910" s="616" t="e">
        <f t="shared" si="1126"/>
        <v>#N/A</v>
      </c>
      <c r="AS910" s="616" t="e">
        <f t="shared" si="1126"/>
        <v>#N/A</v>
      </c>
      <c r="AT910" s="616" t="e">
        <f t="shared" si="1126"/>
        <v>#N/A</v>
      </c>
      <c r="AU910" s="616" t="e">
        <f t="shared" si="1126"/>
        <v>#N/A</v>
      </c>
      <c r="AV910" s="616" t="e">
        <f t="shared" si="1126"/>
        <v>#N/A</v>
      </c>
      <c r="AW910" s="616" t="e">
        <f t="shared" si="1126"/>
        <v>#N/A</v>
      </c>
      <c r="AX910" s="616" t="e">
        <f t="shared" si="1126"/>
        <v>#N/A</v>
      </c>
      <c r="AY910" s="616" t="e">
        <f t="shared" si="1126"/>
        <v>#N/A</v>
      </c>
      <c r="AZ910" s="616" t="e">
        <f t="shared" si="1126"/>
        <v>#N/A</v>
      </c>
      <c r="BA910" s="616" t="e">
        <f t="shared" si="1126"/>
        <v>#N/A</v>
      </c>
      <c r="BB910" s="616" t="e">
        <f t="shared" si="1126"/>
        <v>#N/A</v>
      </c>
      <c r="BC910" s="616" t="e">
        <f t="shared" si="1126"/>
        <v>#N/A</v>
      </c>
      <c r="BD910" s="616" t="e">
        <f t="shared" si="1126"/>
        <v>#N/A</v>
      </c>
      <c r="BE910" s="616" t="e">
        <f t="shared" si="1126"/>
        <v>#N/A</v>
      </c>
      <c r="BF910" s="616" t="e">
        <f t="shared" si="1126"/>
        <v>#N/A</v>
      </c>
      <c r="BG910" s="616" t="e">
        <f t="shared" si="1126"/>
        <v>#N/A</v>
      </c>
      <c r="BH910" s="616" t="e">
        <f t="shared" si="1126"/>
        <v>#N/A</v>
      </c>
      <c r="BI910" s="616" t="e">
        <f t="shared" si="1126"/>
        <v>#N/A</v>
      </c>
      <c r="BJ910" s="616" t="e">
        <f t="shared" si="1126"/>
        <v>#N/A</v>
      </c>
      <c r="BK910" s="616" t="e">
        <f t="shared" si="1126"/>
        <v>#N/A</v>
      </c>
      <c r="BL910" s="616" t="e">
        <f t="shared" si="1126"/>
        <v>#N/A</v>
      </c>
      <c r="BM910" s="616" t="e">
        <f t="shared" si="1126"/>
        <v>#N/A</v>
      </c>
      <c r="BN910" s="616" t="e">
        <f t="shared" si="1126"/>
        <v>#N/A</v>
      </c>
      <c r="BO910" s="616" t="e">
        <f t="shared" si="1126"/>
        <v>#N/A</v>
      </c>
      <c r="BP910" s="616" t="e">
        <f t="shared" si="1126"/>
        <v>#N/A</v>
      </c>
      <c r="BQ910" s="616" t="e">
        <f t="shared" si="1126"/>
        <v>#N/A</v>
      </c>
      <c r="BR910" s="616" t="e">
        <f t="shared" si="1126"/>
        <v>#N/A</v>
      </c>
      <c r="BS910" s="616" t="e">
        <f t="shared" si="1126"/>
        <v>#N/A</v>
      </c>
      <c r="BT910" s="616" t="e">
        <f t="shared" si="1126"/>
        <v>#N/A</v>
      </c>
      <c r="BU910" s="616" t="e">
        <f t="shared" si="1126"/>
        <v>#N/A</v>
      </c>
      <c r="BV910" s="616" t="e">
        <f t="shared" si="1126"/>
        <v>#N/A</v>
      </c>
      <c r="BW910" s="616" t="e">
        <f t="shared" si="1126"/>
        <v>#N/A</v>
      </c>
      <c r="BX910" s="616" t="e">
        <f t="shared" si="1126"/>
        <v>#N/A</v>
      </c>
      <c r="BY910" s="616" t="e">
        <f t="shared" si="1126"/>
        <v>#N/A</v>
      </c>
      <c r="BZ910" s="616" t="e">
        <f t="shared" si="1126"/>
        <v>#N/A</v>
      </c>
      <c r="CA910" s="616" t="e">
        <f t="shared" si="1126"/>
        <v>#N/A</v>
      </c>
      <c r="CB910" s="616" t="e">
        <f t="shared" si="1126"/>
        <v>#N/A</v>
      </c>
      <c r="CC910" s="616" t="e">
        <f t="shared" si="1126"/>
        <v>#N/A</v>
      </c>
      <c r="CD910" s="616" t="e">
        <f t="shared" si="1126"/>
        <v>#N/A</v>
      </c>
      <c r="CE910" s="616" t="e">
        <f t="shared" si="1126"/>
        <v>#N/A</v>
      </c>
      <c r="CF910" s="616" t="e">
        <f t="shared" si="1126"/>
        <v>#N/A</v>
      </c>
      <c r="CG910" s="616" t="e">
        <f t="shared" si="1126"/>
        <v>#N/A</v>
      </c>
      <c r="CH910" s="616" t="e">
        <f t="shared" ref="CH910:CN910" si="1127">MIN(CH905-(CH907+CH908+CH909),$S$389)</f>
        <v>#N/A</v>
      </c>
      <c r="CI910" s="616" t="e">
        <f t="shared" si="1127"/>
        <v>#N/A</v>
      </c>
      <c r="CJ910" s="616" t="e">
        <f t="shared" si="1127"/>
        <v>#N/A</v>
      </c>
      <c r="CK910" s="616" t="e">
        <f t="shared" si="1127"/>
        <v>#N/A</v>
      </c>
      <c r="CL910" s="616" t="e">
        <f t="shared" si="1127"/>
        <v>#N/A</v>
      </c>
      <c r="CM910" s="616" t="e">
        <f t="shared" si="1127"/>
        <v>#N/A</v>
      </c>
      <c r="CN910" s="616" t="e">
        <f t="shared" si="1127"/>
        <v>#N/A</v>
      </c>
    </row>
    <row r="911" spans="8:92">
      <c r="H911" s="602" t="s">
        <v>940</v>
      </c>
      <c r="L911" s="618"/>
      <c r="M911" s="600"/>
      <c r="N911" s="615"/>
      <c r="O911" s="615"/>
      <c r="P911" s="615"/>
      <c r="Q911" s="615"/>
      <c r="R911" s="615"/>
      <c r="S911" s="615"/>
    </row>
    <row r="912" spans="8:92">
      <c r="H912" s="602" t="s">
        <v>940</v>
      </c>
      <c r="L912" s="618" t="s">
        <v>1300</v>
      </c>
      <c r="M912" s="600" t="s">
        <v>974</v>
      </c>
      <c r="N912" s="615" t="e">
        <f>SUM(U912:AF912)</f>
        <v>#N/A</v>
      </c>
      <c r="O912" s="615" t="e">
        <f>SUM(AG912:AR912)</f>
        <v>#N/A</v>
      </c>
      <c r="P912" s="615" t="e">
        <f>SUM(AS912:BD912)</f>
        <v>#N/A</v>
      </c>
      <c r="Q912" s="615" t="e">
        <f>SUM(BE912:BP912)</f>
        <v>#N/A</v>
      </c>
      <c r="R912" s="615" t="e">
        <f>SUM(BQ912:CB912)</f>
        <v>#N/A</v>
      </c>
      <c r="S912" s="615" t="e">
        <f>SUM(CC912:CN912)</f>
        <v>#N/A</v>
      </c>
      <c r="U912" s="616" t="e">
        <f>U907*$S$391</f>
        <v>#N/A</v>
      </c>
      <c r="V912" s="616" t="e">
        <f t="shared" ref="V912:CG912" si="1128">V907*$S$391</f>
        <v>#N/A</v>
      </c>
      <c r="W912" s="616" t="e">
        <f t="shared" si="1128"/>
        <v>#N/A</v>
      </c>
      <c r="X912" s="616" t="e">
        <f t="shared" si="1128"/>
        <v>#N/A</v>
      </c>
      <c r="Y912" s="616" t="e">
        <f t="shared" si="1128"/>
        <v>#N/A</v>
      </c>
      <c r="Z912" s="616" t="e">
        <f t="shared" si="1128"/>
        <v>#N/A</v>
      </c>
      <c r="AA912" s="616" t="e">
        <f t="shared" si="1128"/>
        <v>#N/A</v>
      </c>
      <c r="AB912" s="616" t="e">
        <f t="shared" si="1128"/>
        <v>#N/A</v>
      </c>
      <c r="AC912" s="616" t="e">
        <f t="shared" si="1128"/>
        <v>#N/A</v>
      </c>
      <c r="AD912" s="616" t="e">
        <f t="shared" si="1128"/>
        <v>#N/A</v>
      </c>
      <c r="AE912" s="616" t="e">
        <f t="shared" si="1128"/>
        <v>#N/A</v>
      </c>
      <c r="AF912" s="616" t="e">
        <f t="shared" si="1128"/>
        <v>#N/A</v>
      </c>
      <c r="AG912" s="616" t="e">
        <f t="shared" si="1128"/>
        <v>#N/A</v>
      </c>
      <c r="AH912" s="616" t="e">
        <f t="shared" si="1128"/>
        <v>#N/A</v>
      </c>
      <c r="AI912" s="616" t="e">
        <f t="shared" si="1128"/>
        <v>#N/A</v>
      </c>
      <c r="AJ912" s="616" t="e">
        <f t="shared" si="1128"/>
        <v>#N/A</v>
      </c>
      <c r="AK912" s="616" t="e">
        <f t="shared" si="1128"/>
        <v>#N/A</v>
      </c>
      <c r="AL912" s="616" t="e">
        <f t="shared" si="1128"/>
        <v>#N/A</v>
      </c>
      <c r="AM912" s="616" t="e">
        <f t="shared" si="1128"/>
        <v>#N/A</v>
      </c>
      <c r="AN912" s="616" t="e">
        <f t="shared" si="1128"/>
        <v>#N/A</v>
      </c>
      <c r="AO912" s="616" t="e">
        <f t="shared" si="1128"/>
        <v>#N/A</v>
      </c>
      <c r="AP912" s="616" t="e">
        <f t="shared" si="1128"/>
        <v>#N/A</v>
      </c>
      <c r="AQ912" s="616" t="e">
        <f t="shared" si="1128"/>
        <v>#N/A</v>
      </c>
      <c r="AR912" s="616" t="e">
        <f t="shared" si="1128"/>
        <v>#N/A</v>
      </c>
      <c r="AS912" s="616" t="e">
        <f t="shared" si="1128"/>
        <v>#N/A</v>
      </c>
      <c r="AT912" s="616" t="e">
        <f t="shared" si="1128"/>
        <v>#N/A</v>
      </c>
      <c r="AU912" s="616" t="e">
        <f t="shared" si="1128"/>
        <v>#N/A</v>
      </c>
      <c r="AV912" s="616" t="e">
        <f t="shared" si="1128"/>
        <v>#N/A</v>
      </c>
      <c r="AW912" s="616" t="e">
        <f t="shared" si="1128"/>
        <v>#N/A</v>
      </c>
      <c r="AX912" s="616" t="e">
        <f t="shared" si="1128"/>
        <v>#N/A</v>
      </c>
      <c r="AY912" s="616" t="e">
        <f t="shared" si="1128"/>
        <v>#N/A</v>
      </c>
      <c r="AZ912" s="616" t="e">
        <f t="shared" si="1128"/>
        <v>#N/A</v>
      </c>
      <c r="BA912" s="616" t="e">
        <f t="shared" si="1128"/>
        <v>#N/A</v>
      </c>
      <c r="BB912" s="616" t="e">
        <f t="shared" si="1128"/>
        <v>#N/A</v>
      </c>
      <c r="BC912" s="616" t="e">
        <f t="shared" si="1128"/>
        <v>#N/A</v>
      </c>
      <c r="BD912" s="616" t="e">
        <f t="shared" si="1128"/>
        <v>#N/A</v>
      </c>
      <c r="BE912" s="616" t="e">
        <f t="shared" si="1128"/>
        <v>#N/A</v>
      </c>
      <c r="BF912" s="616" t="e">
        <f t="shared" si="1128"/>
        <v>#N/A</v>
      </c>
      <c r="BG912" s="616" t="e">
        <f t="shared" si="1128"/>
        <v>#N/A</v>
      </c>
      <c r="BH912" s="616" t="e">
        <f t="shared" si="1128"/>
        <v>#N/A</v>
      </c>
      <c r="BI912" s="616" t="e">
        <f t="shared" si="1128"/>
        <v>#N/A</v>
      </c>
      <c r="BJ912" s="616" t="e">
        <f t="shared" si="1128"/>
        <v>#N/A</v>
      </c>
      <c r="BK912" s="616" t="e">
        <f t="shared" si="1128"/>
        <v>#N/A</v>
      </c>
      <c r="BL912" s="616" t="e">
        <f t="shared" si="1128"/>
        <v>#N/A</v>
      </c>
      <c r="BM912" s="616" t="e">
        <f t="shared" si="1128"/>
        <v>#N/A</v>
      </c>
      <c r="BN912" s="616" t="e">
        <f t="shared" si="1128"/>
        <v>#N/A</v>
      </c>
      <c r="BO912" s="616" t="e">
        <f t="shared" si="1128"/>
        <v>#N/A</v>
      </c>
      <c r="BP912" s="616" t="e">
        <f t="shared" si="1128"/>
        <v>#N/A</v>
      </c>
      <c r="BQ912" s="616" t="e">
        <f t="shared" si="1128"/>
        <v>#N/A</v>
      </c>
      <c r="BR912" s="616" t="e">
        <f t="shared" si="1128"/>
        <v>#N/A</v>
      </c>
      <c r="BS912" s="616" t="e">
        <f t="shared" si="1128"/>
        <v>#N/A</v>
      </c>
      <c r="BT912" s="616" t="e">
        <f t="shared" si="1128"/>
        <v>#N/A</v>
      </c>
      <c r="BU912" s="616" t="e">
        <f t="shared" si="1128"/>
        <v>#N/A</v>
      </c>
      <c r="BV912" s="616" t="e">
        <f t="shared" si="1128"/>
        <v>#N/A</v>
      </c>
      <c r="BW912" s="616" t="e">
        <f t="shared" si="1128"/>
        <v>#N/A</v>
      </c>
      <c r="BX912" s="616" t="e">
        <f t="shared" si="1128"/>
        <v>#N/A</v>
      </c>
      <c r="BY912" s="616" t="e">
        <f t="shared" si="1128"/>
        <v>#N/A</v>
      </c>
      <c r="BZ912" s="616" t="e">
        <f t="shared" si="1128"/>
        <v>#N/A</v>
      </c>
      <c r="CA912" s="616" t="e">
        <f t="shared" si="1128"/>
        <v>#N/A</v>
      </c>
      <c r="CB912" s="616" t="e">
        <f t="shared" si="1128"/>
        <v>#N/A</v>
      </c>
      <c r="CC912" s="616" t="e">
        <f t="shared" si="1128"/>
        <v>#N/A</v>
      </c>
      <c r="CD912" s="616" t="e">
        <f t="shared" si="1128"/>
        <v>#N/A</v>
      </c>
      <c r="CE912" s="616" t="e">
        <f t="shared" si="1128"/>
        <v>#N/A</v>
      </c>
      <c r="CF912" s="616" t="e">
        <f t="shared" si="1128"/>
        <v>#N/A</v>
      </c>
      <c r="CG912" s="616" t="e">
        <f t="shared" si="1128"/>
        <v>#N/A</v>
      </c>
      <c r="CH912" s="616" t="e">
        <f t="shared" ref="CH912:CN912" si="1129">CH907*$S$391</f>
        <v>#N/A</v>
      </c>
      <c r="CI912" s="616" t="e">
        <f t="shared" si="1129"/>
        <v>#N/A</v>
      </c>
      <c r="CJ912" s="616" t="e">
        <f t="shared" si="1129"/>
        <v>#N/A</v>
      </c>
      <c r="CK912" s="616" t="e">
        <f t="shared" si="1129"/>
        <v>#N/A</v>
      </c>
      <c r="CL912" s="616" t="e">
        <f t="shared" si="1129"/>
        <v>#N/A</v>
      </c>
      <c r="CM912" s="616" t="e">
        <f t="shared" si="1129"/>
        <v>#N/A</v>
      </c>
      <c r="CN912" s="616" t="e">
        <f t="shared" si="1129"/>
        <v>#N/A</v>
      </c>
    </row>
    <row r="913" spans="8:92">
      <c r="H913" s="602" t="s">
        <v>940</v>
      </c>
      <c r="L913" s="618" t="s">
        <v>1301</v>
      </c>
      <c r="M913" s="600" t="s">
        <v>974</v>
      </c>
      <c r="N913" s="615" t="e">
        <f>SUM(U913:AF913)</f>
        <v>#N/A</v>
      </c>
      <c r="O913" s="615" t="e">
        <f>SUM(AG913:AR913)</f>
        <v>#N/A</v>
      </c>
      <c r="P913" s="615" t="e">
        <f>SUM(AS913:BD913)</f>
        <v>#N/A</v>
      </c>
      <c r="Q913" s="615" t="e">
        <f>SUM(BE913:BP913)</f>
        <v>#N/A</v>
      </c>
      <c r="R913" s="615" t="e">
        <f>SUM(BQ913:CB913)</f>
        <v>#N/A</v>
      </c>
      <c r="S913" s="615" t="e">
        <f>SUM(CC913:CN913)</f>
        <v>#N/A</v>
      </c>
      <c r="U913" s="616" t="e">
        <f>U908*$S$392</f>
        <v>#N/A</v>
      </c>
      <c r="V913" s="616" t="e">
        <f t="shared" ref="V913:CG913" si="1130">V908*$S$392</f>
        <v>#N/A</v>
      </c>
      <c r="W913" s="616" t="e">
        <f t="shared" si="1130"/>
        <v>#N/A</v>
      </c>
      <c r="X913" s="616" t="e">
        <f t="shared" si="1130"/>
        <v>#N/A</v>
      </c>
      <c r="Y913" s="616" t="e">
        <f t="shared" si="1130"/>
        <v>#N/A</v>
      </c>
      <c r="Z913" s="616" t="e">
        <f t="shared" si="1130"/>
        <v>#N/A</v>
      </c>
      <c r="AA913" s="616" t="e">
        <f t="shared" si="1130"/>
        <v>#N/A</v>
      </c>
      <c r="AB913" s="616" t="e">
        <f t="shared" si="1130"/>
        <v>#N/A</v>
      </c>
      <c r="AC913" s="616" t="e">
        <f t="shared" si="1130"/>
        <v>#N/A</v>
      </c>
      <c r="AD913" s="616" t="e">
        <f t="shared" si="1130"/>
        <v>#N/A</v>
      </c>
      <c r="AE913" s="616" t="e">
        <f t="shared" si="1130"/>
        <v>#N/A</v>
      </c>
      <c r="AF913" s="616" t="e">
        <f t="shared" si="1130"/>
        <v>#N/A</v>
      </c>
      <c r="AG913" s="616" t="e">
        <f t="shared" si="1130"/>
        <v>#N/A</v>
      </c>
      <c r="AH913" s="616" t="e">
        <f t="shared" si="1130"/>
        <v>#N/A</v>
      </c>
      <c r="AI913" s="616" t="e">
        <f t="shared" si="1130"/>
        <v>#N/A</v>
      </c>
      <c r="AJ913" s="616" t="e">
        <f t="shared" si="1130"/>
        <v>#N/A</v>
      </c>
      <c r="AK913" s="616" t="e">
        <f t="shared" si="1130"/>
        <v>#N/A</v>
      </c>
      <c r="AL913" s="616" t="e">
        <f t="shared" si="1130"/>
        <v>#N/A</v>
      </c>
      <c r="AM913" s="616" t="e">
        <f t="shared" si="1130"/>
        <v>#N/A</v>
      </c>
      <c r="AN913" s="616" t="e">
        <f t="shared" si="1130"/>
        <v>#N/A</v>
      </c>
      <c r="AO913" s="616" t="e">
        <f t="shared" si="1130"/>
        <v>#N/A</v>
      </c>
      <c r="AP913" s="616" t="e">
        <f t="shared" si="1130"/>
        <v>#N/A</v>
      </c>
      <c r="AQ913" s="616" t="e">
        <f t="shared" si="1130"/>
        <v>#N/A</v>
      </c>
      <c r="AR913" s="616" t="e">
        <f t="shared" si="1130"/>
        <v>#N/A</v>
      </c>
      <c r="AS913" s="616" t="e">
        <f t="shared" si="1130"/>
        <v>#N/A</v>
      </c>
      <c r="AT913" s="616" t="e">
        <f t="shared" si="1130"/>
        <v>#N/A</v>
      </c>
      <c r="AU913" s="616" t="e">
        <f t="shared" si="1130"/>
        <v>#N/A</v>
      </c>
      <c r="AV913" s="616" t="e">
        <f t="shared" si="1130"/>
        <v>#N/A</v>
      </c>
      <c r="AW913" s="616" t="e">
        <f t="shared" si="1130"/>
        <v>#N/A</v>
      </c>
      <c r="AX913" s="616" t="e">
        <f t="shared" si="1130"/>
        <v>#N/A</v>
      </c>
      <c r="AY913" s="616" t="e">
        <f t="shared" si="1130"/>
        <v>#N/A</v>
      </c>
      <c r="AZ913" s="616" t="e">
        <f t="shared" si="1130"/>
        <v>#N/A</v>
      </c>
      <c r="BA913" s="616" t="e">
        <f t="shared" si="1130"/>
        <v>#N/A</v>
      </c>
      <c r="BB913" s="616" t="e">
        <f t="shared" si="1130"/>
        <v>#N/A</v>
      </c>
      <c r="BC913" s="616" t="e">
        <f t="shared" si="1130"/>
        <v>#N/A</v>
      </c>
      <c r="BD913" s="616" t="e">
        <f t="shared" si="1130"/>
        <v>#N/A</v>
      </c>
      <c r="BE913" s="616" t="e">
        <f t="shared" si="1130"/>
        <v>#N/A</v>
      </c>
      <c r="BF913" s="616" t="e">
        <f t="shared" si="1130"/>
        <v>#N/A</v>
      </c>
      <c r="BG913" s="616" t="e">
        <f t="shared" si="1130"/>
        <v>#N/A</v>
      </c>
      <c r="BH913" s="616" t="e">
        <f t="shared" si="1130"/>
        <v>#N/A</v>
      </c>
      <c r="BI913" s="616" t="e">
        <f t="shared" si="1130"/>
        <v>#N/A</v>
      </c>
      <c r="BJ913" s="616" t="e">
        <f t="shared" si="1130"/>
        <v>#N/A</v>
      </c>
      <c r="BK913" s="616" t="e">
        <f t="shared" si="1130"/>
        <v>#N/A</v>
      </c>
      <c r="BL913" s="616" t="e">
        <f t="shared" si="1130"/>
        <v>#N/A</v>
      </c>
      <c r="BM913" s="616" t="e">
        <f t="shared" si="1130"/>
        <v>#N/A</v>
      </c>
      <c r="BN913" s="616" t="e">
        <f t="shared" si="1130"/>
        <v>#N/A</v>
      </c>
      <c r="BO913" s="616" t="e">
        <f t="shared" si="1130"/>
        <v>#N/A</v>
      </c>
      <c r="BP913" s="616" t="e">
        <f t="shared" si="1130"/>
        <v>#N/A</v>
      </c>
      <c r="BQ913" s="616" t="e">
        <f t="shared" si="1130"/>
        <v>#N/A</v>
      </c>
      <c r="BR913" s="616" t="e">
        <f t="shared" si="1130"/>
        <v>#N/A</v>
      </c>
      <c r="BS913" s="616" t="e">
        <f t="shared" si="1130"/>
        <v>#N/A</v>
      </c>
      <c r="BT913" s="616" t="e">
        <f t="shared" si="1130"/>
        <v>#N/A</v>
      </c>
      <c r="BU913" s="616" t="e">
        <f t="shared" si="1130"/>
        <v>#N/A</v>
      </c>
      <c r="BV913" s="616" t="e">
        <f t="shared" si="1130"/>
        <v>#N/A</v>
      </c>
      <c r="BW913" s="616" t="e">
        <f t="shared" si="1130"/>
        <v>#N/A</v>
      </c>
      <c r="BX913" s="616" t="e">
        <f t="shared" si="1130"/>
        <v>#N/A</v>
      </c>
      <c r="BY913" s="616" t="e">
        <f t="shared" si="1130"/>
        <v>#N/A</v>
      </c>
      <c r="BZ913" s="616" t="e">
        <f t="shared" si="1130"/>
        <v>#N/A</v>
      </c>
      <c r="CA913" s="616" t="e">
        <f t="shared" si="1130"/>
        <v>#N/A</v>
      </c>
      <c r="CB913" s="616" t="e">
        <f t="shared" si="1130"/>
        <v>#N/A</v>
      </c>
      <c r="CC913" s="616" t="e">
        <f t="shared" si="1130"/>
        <v>#N/A</v>
      </c>
      <c r="CD913" s="616" t="e">
        <f t="shared" si="1130"/>
        <v>#N/A</v>
      </c>
      <c r="CE913" s="616" t="e">
        <f t="shared" si="1130"/>
        <v>#N/A</v>
      </c>
      <c r="CF913" s="616" t="e">
        <f t="shared" si="1130"/>
        <v>#N/A</v>
      </c>
      <c r="CG913" s="616" t="e">
        <f t="shared" si="1130"/>
        <v>#N/A</v>
      </c>
      <c r="CH913" s="616" t="e">
        <f t="shared" ref="CH913:CN913" si="1131">CH908*$S$392</f>
        <v>#N/A</v>
      </c>
      <c r="CI913" s="616" t="e">
        <f t="shared" si="1131"/>
        <v>#N/A</v>
      </c>
      <c r="CJ913" s="616" t="e">
        <f t="shared" si="1131"/>
        <v>#N/A</v>
      </c>
      <c r="CK913" s="616" t="e">
        <f t="shared" si="1131"/>
        <v>#N/A</v>
      </c>
      <c r="CL913" s="616" t="e">
        <f t="shared" si="1131"/>
        <v>#N/A</v>
      </c>
      <c r="CM913" s="616" t="e">
        <f t="shared" si="1131"/>
        <v>#N/A</v>
      </c>
      <c r="CN913" s="616" t="e">
        <f t="shared" si="1131"/>
        <v>#N/A</v>
      </c>
    </row>
    <row r="914" spans="8:92">
      <c r="H914" s="602" t="s">
        <v>940</v>
      </c>
      <c r="L914" s="618" t="s">
        <v>1302</v>
      </c>
      <c r="M914" s="600" t="s">
        <v>974</v>
      </c>
      <c r="N914" s="615" t="e">
        <f>SUM(U914:AF914)</f>
        <v>#N/A</v>
      </c>
      <c r="O914" s="615" t="e">
        <f>SUM(AG914:AR914)</f>
        <v>#N/A</v>
      </c>
      <c r="P914" s="615" t="e">
        <f>SUM(AS914:BD914)</f>
        <v>#N/A</v>
      </c>
      <c r="Q914" s="615" t="e">
        <f>SUM(BE914:BP914)</f>
        <v>#N/A</v>
      </c>
      <c r="R914" s="615" t="e">
        <f>SUM(BQ914:CB914)</f>
        <v>#N/A</v>
      </c>
      <c r="S914" s="615" t="e">
        <f>SUM(CC914:CN914)</f>
        <v>#N/A</v>
      </c>
      <c r="U914" s="616" t="e">
        <f>U909*$S$393</f>
        <v>#N/A</v>
      </c>
      <c r="V914" s="616" t="e">
        <f t="shared" ref="V914:CG914" si="1132">V909*$S$393</f>
        <v>#N/A</v>
      </c>
      <c r="W914" s="616" t="e">
        <f t="shared" si="1132"/>
        <v>#N/A</v>
      </c>
      <c r="X914" s="616" t="e">
        <f t="shared" si="1132"/>
        <v>#N/A</v>
      </c>
      <c r="Y914" s="616" t="e">
        <f t="shared" si="1132"/>
        <v>#N/A</v>
      </c>
      <c r="Z914" s="616" t="e">
        <f t="shared" si="1132"/>
        <v>#N/A</v>
      </c>
      <c r="AA914" s="616" t="e">
        <f t="shared" si="1132"/>
        <v>#N/A</v>
      </c>
      <c r="AB914" s="616" t="e">
        <f t="shared" si="1132"/>
        <v>#N/A</v>
      </c>
      <c r="AC914" s="616" t="e">
        <f t="shared" si="1132"/>
        <v>#N/A</v>
      </c>
      <c r="AD914" s="616" t="e">
        <f t="shared" si="1132"/>
        <v>#N/A</v>
      </c>
      <c r="AE914" s="616" t="e">
        <f t="shared" si="1132"/>
        <v>#N/A</v>
      </c>
      <c r="AF914" s="616" t="e">
        <f t="shared" si="1132"/>
        <v>#N/A</v>
      </c>
      <c r="AG914" s="616" t="e">
        <f t="shared" si="1132"/>
        <v>#N/A</v>
      </c>
      <c r="AH914" s="616" t="e">
        <f t="shared" si="1132"/>
        <v>#N/A</v>
      </c>
      <c r="AI914" s="616" t="e">
        <f t="shared" si="1132"/>
        <v>#N/A</v>
      </c>
      <c r="AJ914" s="616" t="e">
        <f t="shared" si="1132"/>
        <v>#N/A</v>
      </c>
      <c r="AK914" s="616" t="e">
        <f t="shared" si="1132"/>
        <v>#N/A</v>
      </c>
      <c r="AL914" s="616" t="e">
        <f t="shared" si="1132"/>
        <v>#N/A</v>
      </c>
      <c r="AM914" s="616" t="e">
        <f t="shared" si="1132"/>
        <v>#N/A</v>
      </c>
      <c r="AN914" s="616" t="e">
        <f t="shared" si="1132"/>
        <v>#N/A</v>
      </c>
      <c r="AO914" s="616" t="e">
        <f t="shared" si="1132"/>
        <v>#N/A</v>
      </c>
      <c r="AP914" s="616" t="e">
        <f t="shared" si="1132"/>
        <v>#N/A</v>
      </c>
      <c r="AQ914" s="616" t="e">
        <f t="shared" si="1132"/>
        <v>#N/A</v>
      </c>
      <c r="AR914" s="616" t="e">
        <f t="shared" si="1132"/>
        <v>#N/A</v>
      </c>
      <c r="AS914" s="616" t="e">
        <f t="shared" si="1132"/>
        <v>#N/A</v>
      </c>
      <c r="AT914" s="616" t="e">
        <f t="shared" si="1132"/>
        <v>#N/A</v>
      </c>
      <c r="AU914" s="616" t="e">
        <f t="shared" si="1132"/>
        <v>#N/A</v>
      </c>
      <c r="AV914" s="616" t="e">
        <f t="shared" si="1132"/>
        <v>#N/A</v>
      </c>
      <c r="AW914" s="616" t="e">
        <f t="shared" si="1132"/>
        <v>#N/A</v>
      </c>
      <c r="AX914" s="616" t="e">
        <f t="shared" si="1132"/>
        <v>#N/A</v>
      </c>
      <c r="AY914" s="616" t="e">
        <f t="shared" si="1132"/>
        <v>#N/A</v>
      </c>
      <c r="AZ914" s="616" t="e">
        <f t="shared" si="1132"/>
        <v>#N/A</v>
      </c>
      <c r="BA914" s="616" t="e">
        <f t="shared" si="1132"/>
        <v>#N/A</v>
      </c>
      <c r="BB914" s="616" t="e">
        <f t="shared" si="1132"/>
        <v>#N/A</v>
      </c>
      <c r="BC914" s="616" t="e">
        <f t="shared" si="1132"/>
        <v>#N/A</v>
      </c>
      <c r="BD914" s="616" t="e">
        <f t="shared" si="1132"/>
        <v>#N/A</v>
      </c>
      <c r="BE914" s="616" t="e">
        <f t="shared" si="1132"/>
        <v>#N/A</v>
      </c>
      <c r="BF914" s="616" t="e">
        <f t="shared" si="1132"/>
        <v>#N/A</v>
      </c>
      <c r="BG914" s="616" t="e">
        <f t="shared" si="1132"/>
        <v>#N/A</v>
      </c>
      <c r="BH914" s="616" t="e">
        <f t="shared" si="1132"/>
        <v>#N/A</v>
      </c>
      <c r="BI914" s="616" t="e">
        <f t="shared" si="1132"/>
        <v>#N/A</v>
      </c>
      <c r="BJ914" s="616" t="e">
        <f t="shared" si="1132"/>
        <v>#N/A</v>
      </c>
      <c r="BK914" s="616" t="e">
        <f t="shared" si="1132"/>
        <v>#N/A</v>
      </c>
      <c r="BL914" s="616" t="e">
        <f t="shared" si="1132"/>
        <v>#N/A</v>
      </c>
      <c r="BM914" s="616" t="e">
        <f t="shared" si="1132"/>
        <v>#N/A</v>
      </c>
      <c r="BN914" s="616" t="e">
        <f t="shared" si="1132"/>
        <v>#N/A</v>
      </c>
      <c r="BO914" s="616" t="e">
        <f t="shared" si="1132"/>
        <v>#N/A</v>
      </c>
      <c r="BP914" s="616" t="e">
        <f t="shared" si="1132"/>
        <v>#N/A</v>
      </c>
      <c r="BQ914" s="616" t="e">
        <f t="shared" si="1132"/>
        <v>#N/A</v>
      </c>
      <c r="BR914" s="616" t="e">
        <f t="shared" si="1132"/>
        <v>#N/A</v>
      </c>
      <c r="BS914" s="616" t="e">
        <f t="shared" si="1132"/>
        <v>#N/A</v>
      </c>
      <c r="BT914" s="616" t="e">
        <f t="shared" si="1132"/>
        <v>#N/A</v>
      </c>
      <c r="BU914" s="616" t="e">
        <f t="shared" si="1132"/>
        <v>#N/A</v>
      </c>
      <c r="BV914" s="616" t="e">
        <f t="shared" si="1132"/>
        <v>#N/A</v>
      </c>
      <c r="BW914" s="616" t="e">
        <f t="shared" si="1132"/>
        <v>#N/A</v>
      </c>
      <c r="BX914" s="616" t="e">
        <f t="shared" si="1132"/>
        <v>#N/A</v>
      </c>
      <c r="BY914" s="616" t="e">
        <f t="shared" si="1132"/>
        <v>#N/A</v>
      </c>
      <c r="BZ914" s="616" t="e">
        <f t="shared" si="1132"/>
        <v>#N/A</v>
      </c>
      <c r="CA914" s="616" t="e">
        <f t="shared" si="1132"/>
        <v>#N/A</v>
      </c>
      <c r="CB914" s="616" t="e">
        <f t="shared" si="1132"/>
        <v>#N/A</v>
      </c>
      <c r="CC914" s="616" t="e">
        <f t="shared" si="1132"/>
        <v>#N/A</v>
      </c>
      <c r="CD914" s="616" t="e">
        <f t="shared" si="1132"/>
        <v>#N/A</v>
      </c>
      <c r="CE914" s="616" t="e">
        <f t="shared" si="1132"/>
        <v>#N/A</v>
      </c>
      <c r="CF914" s="616" t="e">
        <f t="shared" si="1132"/>
        <v>#N/A</v>
      </c>
      <c r="CG914" s="616" t="e">
        <f t="shared" si="1132"/>
        <v>#N/A</v>
      </c>
      <c r="CH914" s="616" t="e">
        <f t="shared" ref="CH914:CN914" si="1133">CH909*$S$393</f>
        <v>#N/A</v>
      </c>
      <c r="CI914" s="616" t="e">
        <f t="shared" si="1133"/>
        <v>#N/A</v>
      </c>
      <c r="CJ914" s="616" t="e">
        <f t="shared" si="1133"/>
        <v>#N/A</v>
      </c>
      <c r="CK914" s="616" t="e">
        <f t="shared" si="1133"/>
        <v>#N/A</v>
      </c>
      <c r="CL914" s="616" t="e">
        <f t="shared" si="1133"/>
        <v>#N/A</v>
      </c>
      <c r="CM914" s="616" t="e">
        <f t="shared" si="1133"/>
        <v>#N/A</v>
      </c>
      <c r="CN914" s="616" t="e">
        <f t="shared" si="1133"/>
        <v>#N/A</v>
      </c>
    </row>
    <row r="915" spans="8:92">
      <c r="H915" s="602" t="s">
        <v>940</v>
      </c>
      <c r="L915" s="618" t="s">
        <v>1303</v>
      </c>
      <c r="M915" s="600" t="s">
        <v>974</v>
      </c>
      <c r="N915" s="615" t="e">
        <f>SUM(U915:AF915)</f>
        <v>#N/A</v>
      </c>
      <c r="O915" s="615" t="e">
        <f>SUM(AG915:AR915)</f>
        <v>#N/A</v>
      </c>
      <c r="P915" s="615" t="e">
        <f>SUM(AS915:BD915)</f>
        <v>#N/A</v>
      </c>
      <c r="Q915" s="615" t="e">
        <f>SUM(BE915:BP915)</f>
        <v>#N/A</v>
      </c>
      <c r="R915" s="615" t="e">
        <f>SUM(BQ915:CB915)</f>
        <v>#N/A</v>
      </c>
      <c r="S915" s="615" t="e">
        <f>SUM(CC915:CN915)</f>
        <v>#N/A</v>
      </c>
      <c r="U915" s="616" t="e">
        <f>U910*$S$394</f>
        <v>#N/A</v>
      </c>
      <c r="V915" s="616" t="e">
        <f t="shared" ref="V915:CG915" si="1134">V910*$S$394</f>
        <v>#N/A</v>
      </c>
      <c r="W915" s="616" t="e">
        <f t="shared" si="1134"/>
        <v>#N/A</v>
      </c>
      <c r="X915" s="616" t="e">
        <f t="shared" si="1134"/>
        <v>#N/A</v>
      </c>
      <c r="Y915" s="616" t="e">
        <f t="shared" si="1134"/>
        <v>#N/A</v>
      </c>
      <c r="Z915" s="616" t="e">
        <f t="shared" si="1134"/>
        <v>#N/A</v>
      </c>
      <c r="AA915" s="616" t="e">
        <f t="shared" si="1134"/>
        <v>#N/A</v>
      </c>
      <c r="AB915" s="616" t="e">
        <f t="shared" si="1134"/>
        <v>#N/A</v>
      </c>
      <c r="AC915" s="616" t="e">
        <f t="shared" si="1134"/>
        <v>#N/A</v>
      </c>
      <c r="AD915" s="616" t="e">
        <f t="shared" si="1134"/>
        <v>#N/A</v>
      </c>
      <c r="AE915" s="616" t="e">
        <f t="shared" si="1134"/>
        <v>#N/A</v>
      </c>
      <c r="AF915" s="616" t="e">
        <f t="shared" si="1134"/>
        <v>#N/A</v>
      </c>
      <c r="AG915" s="616" t="e">
        <f t="shared" si="1134"/>
        <v>#N/A</v>
      </c>
      <c r="AH915" s="616" t="e">
        <f t="shared" si="1134"/>
        <v>#N/A</v>
      </c>
      <c r="AI915" s="616" t="e">
        <f t="shared" si="1134"/>
        <v>#N/A</v>
      </c>
      <c r="AJ915" s="616" t="e">
        <f t="shared" si="1134"/>
        <v>#N/A</v>
      </c>
      <c r="AK915" s="616" t="e">
        <f t="shared" si="1134"/>
        <v>#N/A</v>
      </c>
      <c r="AL915" s="616" t="e">
        <f t="shared" si="1134"/>
        <v>#N/A</v>
      </c>
      <c r="AM915" s="616" t="e">
        <f t="shared" si="1134"/>
        <v>#N/A</v>
      </c>
      <c r="AN915" s="616" t="e">
        <f t="shared" si="1134"/>
        <v>#N/A</v>
      </c>
      <c r="AO915" s="616" t="e">
        <f t="shared" si="1134"/>
        <v>#N/A</v>
      </c>
      <c r="AP915" s="616" t="e">
        <f t="shared" si="1134"/>
        <v>#N/A</v>
      </c>
      <c r="AQ915" s="616" t="e">
        <f t="shared" si="1134"/>
        <v>#N/A</v>
      </c>
      <c r="AR915" s="616" t="e">
        <f t="shared" si="1134"/>
        <v>#N/A</v>
      </c>
      <c r="AS915" s="616" t="e">
        <f t="shared" si="1134"/>
        <v>#N/A</v>
      </c>
      <c r="AT915" s="616" t="e">
        <f t="shared" si="1134"/>
        <v>#N/A</v>
      </c>
      <c r="AU915" s="616" t="e">
        <f t="shared" si="1134"/>
        <v>#N/A</v>
      </c>
      <c r="AV915" s="616" t="e">
        <f t="shared" si="1134"/>
        <v>#N/A</v>
      </c>
      <c r="AW915" s="616" t="e">
        <f t="shared" si="1134"/>
        <v>#N/A</v>
      </c>
      <c r="AX915" s="616" t="e">
        <f t="shared" si="1134"/>
        <v>#N/A</v>
      </c>
      <c r="AY915" s="616" t="e">
        <f t="shared" si="1134"/>
        <v>#N/A</v>
      </c>
      <c r="AZ915" s="616" t="e">
        <f t="shared" si="1134"/>
        <v>#N/A</v>
      </c>
      <c r="BA915" s="616" t="e">
        <f t="shared" si="1134"/>
        <v>#N/A</v>
      </c>
      <c r="BB915" s="616" t="e">
        <f t="shared" si="1134"/>
        <v>#N/A</v>
      </c>
      <c r="BC915" s="616" t="e">
        <f t="shared" si="1134"/>
        <v>#N/A</v>
      </c>
      <c r="BD915" s="616" t="e">
        <f t="shared" si="1134"/>
        <v>#N/A</v>
      </c>
      <c r="BE915" s="616" t="e">
        <f t="shared" si="1134"/>
        <v>#N/A</v>
      </c>
      <c r="BF915" s="616" t="e">
        <f t="shared" si="1134"/>
        <v>#N/A</v>
      </c>
      <c r="BG915" s="616" t="e">
        <f t="shared" si="1134"/>
        <v>#N/A</v>
      </c>
      <c r="BH915" s="616" t="e">
        <f t="shared" si="1134"/>
        <v>#N/A</v>
      </c>
      <c r="BI915" s="616" t="e">
        <f t="shared" si="1134"/>
        <v>#N/A</v>
      </c>
      <c r="BJ915" s="616" t="e">
        <f t="shared" si="1134"/>
        <v>#N/A</v>
      </c>
      <c r="BK915" s="616" t="e">
        <f t="shared" si="1134"/>
        <v>#N/A</v>
      </c>
      <c r="BL915" s="616" t="e">
        <f t="shared" si="1134"/>
        <v>#N/A</v>
      </c>
      <c r="BM915" s="616" t="e">
        <f t="shared" si="1134"/>
        <v>#N/A</v>
      </c>
      <c r="BN915" s="616" t="e">
        <f t="shared" si="1134"/>
        <v>#N/A</v>
      </c>
      <c r="BO915" s="616" t="e">
        <f t="shared" si="1134"/>
        <v>#N/A</v>
      </c>
      <c r="BP915" s="616" t="e">
        <f t="shared" si="1134"/>
        <v>#N/A</v>
      </c>
      <c r="BQ915" s="616" t="e">
        <f t="shared" si="1134"/>
        <v>#N/A</v>
      </c>
      <c r="BR915" s="616" t="e">
        <f t="shared" si="1134"/>
        <v>#N/A</v>
      </c>
      <c r="BS915" s="616" t="e">
        <f t="shared" si="1134"/>
        <v>#N/A</v>
      </c>
      <c r="BT915" s="616" t="e">
        <f t="shared" si="1134"/>
        <v>#N/A</v>
      </c>
      <c r="BU915" s="616" t="e">
        <f t="shared" si="1134"/>
        <v>#N/A</v>
      </c>
      <c r="BV915" s="616" t="e">
        <f t="shared" si="1134"/>
        <v>#N/A</v>
      </c>
      <c r="BW915" s="616" t="e">
        <f t="shared" si="1134"/>
        <v>#N/A</v>
      </c>
      <c r="BX915" s="616" t="e">
        <f t="shared" si="1134"/>
        <v>#N/A</v>
      </c>
      <c r="BY915" s="616" t="e">
        <f t="shared" si="1134"/>
        <v>#N/A</v>
      </c>
      <c r="BZ915" s="616" t="e">
        <f t="shared" si="1134"/>
        <v>#N/A</v>
      </c>
      <c r="CA915" s="616" t="e">
        <f t="shared" si="1134"/>
        <v>#N/A</v>
      </c>
      <c r="CB915" s="616" t="e">
        <f t="shared" si="1134"/>
        <v>#N/A</v>
      </c>
      <c r="CC915" s="616" t="e">
        <f t="shared" si="1134"/>
        <v>#N/A</v>
      </c>
      <c r="CD915" s="616" t="e">
        <f t="shared" si="1134"/>
        <v>#N/A</v>
      </c>
      <c r="CE915" s="616" t="e">
        <f t="shared" si="1134"/>
        <v>#N/A</v>
      </c>
      <c r="CF915" s="616" t="e">
        <f t="shared" si="1134"/>
        <v>#N/A</v>
      </c>
      <c r="CG915" s="616" t="e">
        <f t="shared" si="1134"/>
        <v>#N/A</v>
      </c>
      <c r="CH915" s="616" t="e">
        <f t="shared" ref="CH915:CN915" si="1135">CH910*$S$394</f>
        <v>#N/A</v>
      </c>
      <c r="CI915" s="616" t="e">
        <f t="shared" si="1135"/>
        <v>#N/A</v>
      </c>
      <c r="CJ915" s="616" t="e">
        <f t="shared" si="1135"/>
        <v>#N/A</v>
      </c>
      <c r="CK915" s="616" t="e">
        <f t="shared" si="1135"/>
        <v>#N/A</v>
      </c>
      <c r="CL915" s="616" t="e">
        <f t="shared" si="1135"/>
        <v>#N/A</v>
      </c>
      <c r="CM915" s="616" t="e">
        <f t="shared" si="1135"/>
        <v>#N/A</v>
      </c>
      <c r="CN915" s="616" t="e">
        <f t="shared" si="1135"/>
        <v>#N/A</v>
      </c>
    </row>
    <row r="916" spans="8:92">
      <c r="H916" s="602" t="s">
        <v>940</v>
      </c>
      <c r="L916" s="618"/>
      <c r="M916" s="600"/>
      <c r="N916" s="615"/>
      <c r="O916" s="615"/>
      <c r="P916" s="615"/>
      <c r="Q916" s="615"/>
      <c r="R916" s="615"/>
      <c r="S916" s="615"/>
      <c r="U916" s="616"/>
      <c r="V916" s="616"/>
      <c r="W916" s="616"/>
      <c r="X916" s="616"/>
      <c r="Y916" s="616"/>
      <c r="Z916" s="616"/>
      <c r="AA916" s="616"/>
      <c r="AB916" s="616"/>
      <c r="AC916" s="616"/>
      <c r="AD916" s="616"/>
      <c r="AE916" s="616"/>
      <c r="AF916" s="616"/>
      <c r="AG916" s="616"/>
      <c r="AH916" s="616"/>
      <c r="AI916" s="616"/>
      <c r="AJ916" s="616"/>
      <c r="AK916" s="616"/>
      <c r="AL916" s="616"/>
      <c r="AM916" s="616"/>
      <c r="AN916" s="616"/>
      <c r="AO916" s="616"/>
      <c r="AP916" s="616"/>
      <c r="AQ916" s="616"/>
      <c r="AR916" s="616"/>
      <c r="AS916" s="616"/>
      <c r="AT916" s="616"/>
      <c r="AU916" s="616"/>
      <c r="AV916" s="616"/>
      <c r="AW916" s="616"/>
      <c r="AX916" s="616"/>
      <c r="AY916" s="616"/>
      <c r="AZ916" s="616"/>
      <c r="BA916" s="616"/>
      <c r="BB916" s="616"/>
      <c r="BC916" s="616"/>
      <c r="BD916" s="616"/>
      <c r="BE916" s="616"/>
      <c r="BF916" s="616"/>
      <c r="BG916" s="616"/>
      <c r="BH916" s="616"/>
      <c r="BI916" s="616"/>
      <c r="BJ916" s="616"/>
      <c r="BK916" s="616"/>
      <c r="BL916" s="616"/>
      <c r="BM916" s="616"/>
      <c r="BN916" s="616"/>
      <c r="BO916" s="616"/>
      <c r="BP916" s="616"/>
      <c r="BQ916" s="616"/>
      <c r="BR916" s="616"/>
      <c r="BS916" s="616"/>
      <c r="BT916" s="616"/>
      <c r="BU916" s="616"/>
      <c r="BV916" s="616"/>
      <c r="BW916" s="616"/>
      <c r="BX916" s="616"/>
      <c r="BY916" s="616"/>
      <c r="BZ916" s="616"/>
      <c r="CA916" s="616"/>
      <c r="CB916" s="616"/>
      <c r="CC916" s="616"/>
      <c r="CD916" s="616"/>
      <c r="CE916" s="616"/>
      <c r="CF916" s="616"/>
      <c r="CG916" s="616"/>
      <c r="CH916" s="616"/>
      <c r="CI916" s="616"/>
      <c r="CJ916" s="616"/>
      <c r="CK916" s="616"/>
      <c r="CL916" s="616"/>
      <c r="CM916" s="616"/>
      <c r="CN916" s="616"/>
    </row>
    <row r="917" spans="8:92">
      <c r="H917" s="602" t="s">
        <v>940</v>
      </c>
      <c r="L917" s="618" t="s">
        <v>1247</v>
      </c>
      <c r="M917" s="600" t="s">
        <v>974</v>
      </c>
      <c r="N917" s="615">
        <f>SUM(U917:AF917)</f>
        <v>0</v>
      </c>
      <c r="O917" s="615">
        <f>SUM(AG917:AR917)</f>
        <v>0</v>
      </c>
      <c r="P917" s="615">
        <f>SUM(AS917:BD917)</f>
        <v>0</v>
      </c>
      <c r="Q917" s="615">
        <f>SUM(BE917:BP917)</f>
        <v>0</v>
      </c>
      <c r="R917" s="615">
        <f>SUM(BQ917:CB917)</f>
        <v>0</v>
      </c>
      <c r="S917" s="615">
        <f>SUM(CC917:CN917)</f>
        <v>0</v>
      </c>
      <c r="U917" s="616">
        <f>$S$372</f>
        <v>0</v>
      </c>
      <c r="V917" s="616">
        <f t="shared" ref="V917:CG917" si="1136">$S$372</f>
        <v>0</v>
      </c>
      <c r="W917" s="616">
        <f t="shared" si="1136"/>
        <v>0</v>
      </c>
      <c r="X917" s="616">
        <f t="shared" si="1136"/>
        <v>0</v>
      </c>
      <c r="Y917" s="616">
        <f t="shared" si="1136"/>
        <v>0</v>
      </c>
      <c r="Z917" s="616">
        <f t="shared" si="1136"/>
        <v>0</v>
      </c>
      <c r="AA917" s="616">
        <f t="shared" si="1136"/>
        <v>0</v>
      </c>
      <c r="AB917" s="616">
        <f t="shared" si="1136"/>
        <v>0</v>
      </c>
      <c r="AC917" s="616">
        <f t="shared" si="1136"/>
        <v>0</v>
      </c>
      <c r="AD917" s="616">
        <f t="shared" si="1136"/>
        <v>0</v>
      </c>
      <c r="AE917" s="616">
        <f t="shared" si="1136"/>
        <v>0</v>
      </c>
      <c r="AF917" s="616">
        <f t="shared" si="1136"/>
        <v>0</v>
      </c>
      <c r="AG917" s="616">
        <f t="shared" si="1136"/>
        <v>0</v>
      </c>
      <c r="AH917" s="616">
        <f t="shared" si="1136"/>
        <v>0</v>
      </c>
      <c r="AI917" s="616">
        <f t="shared" si="1136"/>
        <v>0</v>
      </c>
      <c r="AJ917" s="616">
        <f t="shared" si="1136"/>
        <v>0</v>
      </c>
      <c r="AK917" s="616">
        <f t="shared" si="1136"/>
        <v>0</v>
      </c>
      <c r="AL917" s="616">
        <f t="shared" si="1136"/>
        <v>0</v>
      </c>
      <c r="AM917" s="616">
        <f t="shared" si="1136"/>
        <v>0</v>
      </c>
      <c r="AN917" s="616">
        <f t="shared" si="1136"/>
        <v>0</v>
      </c>
      <c r="AO917" s="616">
        <f t="shared" si="1136"/>
        <v>0</v>
      </c>
      <c r="AP917" s="616">
        <f t="shared" si="1136"/>
        <v>0</v>
      </c>
      <c r="AQ917" s="616">
        <f t="shared" si="1136"/>
        <v>0</v>
      </c>
      <c r="AR917" s="616">
        <f t="shared" si="1136"/>
        <v>0</v>
      </c>
      <c r="AS917" s="616">
        <f t="shared" si="1136"/>
        <v>0</v>
      </c>
      <c r="AT917" s="616">
        <f t="shared" si="1136"/>
        <v>0</v>
      </c>
      <c r="AU917" s="616">
        <f t="shared" si="1136"/>
        <v>0</v>
      </c>
      <c r="AV917" s="616">
        <f t="shared" si="1136"/>
        <v>0</v>
      </c>
      <c r="AW917" s="616">
        <f t="shared" si="1136"/>
        <v>0</v>
      </c>
      <c r="AX917" s="616">
        <f t="shared" si="1136"/>
        <v>0</v>
      </c>
      <c r="AY917" s="616">
        <f t="shared" si="1136"/>
        <v>0</v>
      </c>
      <c r="AZ917" s="616">
        <f t="shared" si="1136"/>
        <v>0</v>
      </c>
      <c r="BA917" s="616">
        <f t="shared" si="1136"/>
        <v>0</v>
      </c>
      <c r="BB917" s="616">
        <f t="shared" si="1136"/>
        <v>0</v>
      </c>
      <c r="BC917" s="616">
        <f t="shared" si="1136"/>
        <v>0</v>
      </c>
      <c r="BD917" s="616">
        <f t="shared" si="1136"/>
        <v>0</v>
      </c>
      <c r="BE917" s="616">
        <f t="shared" si="1136"/>
        <v>0</v>
      </c>
      <c r="BF917" s="616">
        <f t="shared" si="1136"/>
        <v>0</v>
      </c>
      <c r="BG917" s="616">
        <f t="shared" si="1136"/>
        <v>0</v>
      </c>
      <c r="BH917" s="616">
        <f t="shared" si="1136"/>
        <v>0</v>
      </c>
      <c r="BI917" s="616">
        <f t="shared" si="1136"/>
        <v>0</v>
      </c>
      <c r="BJ917" s="616">
        <f t="shared" si="1136"/>
        <v>0</v>
      </c>
      <c r="BK917" s="616">
        <f t="shared" si="1136"/>
        <v>0</v>
      </c>
      <c r="BL917" s="616">
        <f t="shared" si="1136"/>
        <v>0</v>
      </c>
      <c r="BM917" s="616">
        <f t="shared" si="1136"/>
        <v>0</v>
      </c>
      <c r="BN917" s="616">
        <f t="shared" si="1136"/>
        <v>0</v>
      </c>
      <c r="BO917" s="616">
        <f t="shared" si="1136"/>
        <v>0</v>
      </c>
      <c r="BP917" s="616">
        <f t="shared" si="1136"/>
        <v>0</v>
      </c>
      <c r="BQ917" s="616">
        <f t="shared" si="1136"/>
        <v>0</v>
      </c>
      <c r="BR917" s="616">
        <f t="shared" si="1136"/>
        <v>0</v>
      </c>
      <c r="BS917" s="616">
        <f t="shared" si="1136"/>
        <v>0</v>
      </c>
      <c r="BT917" s="616">
        <f t="shared" si="1136"/>
        <v>0</v>
      </c>
      <c r="BU917" s="616">
        <f t="shared" si="1136"/>
        <v>0</v>
      </c>
      <c r="BV917" s="616">
        <f t="shared" si="1136"/>
        <v>0</v>
      </c>
      <c r="BW917" s="616">
        <f t="shared" si="1136"/>
        <v>0</v>
      </c>
      <c r="BX917" s="616">
        <f t="shared" si="1136"/>
        <v>0</v>
      </c>
      <c r="BY917" s="616">
        <f t="shared" si="1136"/>
        <v>0</v>
      </c>
      <c r="BZ917" s="616">
        <f t="shared" si="1136"/>
        <v>0</v>
      </c>
      <c r="CA917" s="616">
        <f t="shared" si="1136"/>
        <v>0</v>
      </c>
      <c r="CB917" s="616">
        <f t="shared" si="1136"/>
        <v>0</v>
      </c>
      <c r="CC917" s="616">
        <f t="shared" si="1136"/>
        <v>0</v>
      </c>
      <c r="CD917" s="616">
        <f t="shared" si="1136"/>
        <v>0</v>
      </c>
      <c r="CE917" s="616">
        <f t="shared" si="1136"/>
        <v>0</v>
      </c>
      <c r="CF917" s="616">
        <f t="shared" si="1136"/>
        <v>0</v>
      </c>
      <c r="CG917" s="616">
        <f t="shared" si="1136"/>
        <v>0</v>
      </c>
      <c r="CH917" s="616">
        <f t="shared" ref="CH917:CN917" si="1137">$S$372</f>
        <v>0</v>
      </c>
      <c r="CI917" s="616">
        <f t="shared" si="1137"/>
        <v>0</v>
      </c>
      <c r="CJ917" s="616">
        <f t="shared" si="1137"/>
        <v>0</v>
      </c>
      <c r="CK917" s="616">
        <f t="shared" si="1137"/>
        <v>0</v>
      </c>
      <c r="CL917" s="616">
        <f t="shared" si="1137"/>
        <v>0</v>
      </c>
      <c r="CM917" s="616">
        <f t="shared" si="1137"/>
        <v>0</v>
      </c>
      <c r="CN917" s="616">
        <f t="shared" si="1137"/>
        <v>0</v>
      </c>
    </row>
    <row r="918" spans="8:92">
      <c r="H918" s="602" t="s">
        <v>940</v>
      </c>
      <c r="L918" s="618" t="s">
        <v>908</v>
      </c>
      <c r="M918" s="600" t="s">
        <v>974</v>
      </c>
      <c r="N918" s="615" t="e">
        <f>SUM(U918:AF918)</f>
        <v>#N/A</v>
      </c>
      <c r="O918" s="615" t="e">
        <f>SUM(AG918:AR918)</f>
        <v>#N/A</v>
      </c>
      <c r="P918" s="615" t="e">
        <f>SUM(AS918:BD918)</f>
        <v>#N/A</v>
      </c>
      <c r="Q918" s="615" t="e">
        <f>SUM(BE918:BP918)</f>
        <v>#N/A</v>
      </c>
      <c r="R918" s="615" t="e">
        <f>SUM(BQ918:CB918)</f>
        <v>#N/A</v>
      </c>
      <c r="S918" s="615" t="e">
        <f>SUM(CC918:CN918)</f>
        <v>#N/A</v>
      </c>
      <c r="U918" s="616" t="e">
        <f>U905*$S$373</f>
        <v>#N/A</v>
      </c>
      <c r="V918" s="616" t="e">
        <f t="shared" ref="V918:CG918" si="1138">V905*$S$373</f>
        <v>#N/A</v>
      </c>
      <c r="W918" s="616" t="e">
        <f t="shared" si="1138"/>
        <v>#N/A</v>
      </c>
      <c r="X918" s="616" t="e">
        <f t="shared" si="1138"/>
        <v>#N/A</v>
      </c>
      <c r="Y918" s="616" t="e">
        <f t="shared" si="1138"/>
        <v>#N/A</v>
      </c>
      <c r="Z918" s="616" t="e">
        <f t="shared" si="1138"/>
        <v>#N/A</v>
      </c>
      <c r="AA918" s="616" t="e">
        <f t="shared" si="1138"/>
        <v>#N/A</v>
      </c>
      <c r="AB918" s="616" t="e">
        <f t="shared" si="1138"/>
        <v>#N/A</v>
      </c>
      <c r="AC918" s="616" t="e">
        <f t="shared" si="1138"/>
        <v>#N/A</v>
      </c>
      <c r="AD918" s="616" t="e">
        <f t="shared" si="1138"/>
        <v>#N/A</v>
      </c>
      <c r="AE918" s="616" t="e">
        <f t="shared" si="1138"/>
        <v>#N/A</v>
      </c>
      <c r="AF918" s="616" t="e">
        <f t="shared" si="1138"/>
        <v>#N/A</v>
      </c>
      <c r="AG918" s="616" t="e">
        <f t="shared" si="1138"/>
        <v>#N/A</v>
      </c>
      <c r="AH918" s="616" t="e">
        <f t="shared" si="1138"/>
        <v>#N/A</v>
      </c>
      <c r="AI918" s="616" t="e">
        <f t="shared" si="1138"/>
        <v>#N/A</v>
      </c>
      <c r="AJ918" s="616" t="e">
        <f t="shared" si="1138"/>
        <v>#N/A</v>
      </c>
      <c r="AK918" s="616" t="e">
        <f t="shared" si="1138"/>
        <v>#N/A</v>
      </c>
      <c r="AL918" s="616" t="e">
        <f t="shared" si="1138"/>
        <v>#N/A</v>
      </c>
      <c r="AM918" s="616" t="e">
        <f t="shared" si="1138"/>
        <v>#N/A</v>
      </c>
      <c r="AN918" s="616" t="e">
        <f t="shared" si="1138"/>
        <v>#N/A</v>
      </c>
      <c r="AO918" s="616" t="e">
        <f t="shared" si="1138"/>
        <v>#N/A</v>
      </c>
      <c r="AP918" s="616" t="e">
        <f t="shared" si="1138"/>
        <v>#N/A</v>
      </c>
      <c r="AQ918" s="616" t="e">
        <f t="shared" si="1138"/>
        <v>#N/A</v>
      </c>
      <c r="AR918" s="616" t="e">
        <f t="shared" si="1138"/>
        <v>#N/A</v>
      </c>
      <c r="AS918" s="616" t="e">
        <f t="shared" si="1138"/>
        <v>#N/A</v>
      </c>
      <c r="AT918" s="616" t="e">
        <f t="shared" si="1138"/>
        <v>#N/A</v>
      </c>
      <c r="AU918" s="616" t="e">
        <f t="shared" si="1138"/>
        <v>#N/A</v>
      </c>
      <c r="AV918" s="616" t="e">
        <f t="shared" si="1138"/>
        <v>#N/A</v>
      </c>
      <c r="AW918" s="616" t="e">
        <f t="shared" si="1138"/>
        <v>#N/A</v>
      </c>
      <c r="AX918" s="616" t="e">
        <f t="shared" si="1138"/>
        <v>#N/A</v>
      </c>
      <c r="AY918" s="616" t="e">
        <f t="shared" si="1138"/>
        <v>#N/A</v>
      </c>
      <c r="AZ918" s="616" t="e">
        <f t="shared" si="1138"/>
        <v>#N/A</v>
      </c>
      <c r="BA918" s="616" t="e">
        <f t="shared" si="1138"/>
        <v>#N/A</v>
      </c>
      <c r="BB918" s="616" t="e">
        <f t="shared" si="1138"/>
        <v>#N/A</v>
      </c>
      <c r="BC918" s="616" t="e">
        <f t="shared" si="1138"/>
        <v>#N/A</v>
      </c>
      <c r="BD918" s="616" t="e">
        <f t="shared" si="1138"/>
        <v>#N/A</v>
      </c>
      <c r="BE918" s="616" t="e">
        <f t="shared" si="1138"/>
        <v>#N/A</v>
      </c>
      <c r="BF918" s="616" t="e">
        <f t="shared" si="1138"/>
        <v>#N/A</v>
      </c>
      <c r="BG918" s="616" t="e">
        <f t="shared" si="1138"/>
        <v>#N/A</v>
      </c>
      <c r="BH918" s="616" t="e">
        <f t="shared" si="1138"/>
        <v>#N/A</v>
      </c>
      <c r="BI918" s="616" t="e">
        <f t="shared" si="1138"/>
        <v>#N/A</v>
      </c>
      <c r="BJ918" s="616" t="e">
        <f t="shared" si="1138"/>
        <v>#N/A</v>
      </c>
      <c r="BK918" s="616" t="e">
        <f t="shared" si="1138"/>
        <v>#N/A</v>
      </c>
      <c r="BL918" s="616" t="e">
        <f t="shared" si="1138"/>
        <v>#N/A</v>
      </c>
      <c r="BM918" s="616" t="e">
        <f t="shared" si="1138"/>
        <v>#N/A</v>
      </c>
      <c r="BN918" s="616" t="e">
        <f t="shared" si="1138"/>
        <v>#N/A</v>
      </c>
      <c r="BO918" s="616" t="e">
        <f t="shared" si="1138"/>
        <v>#N/A</v>
      </c>
      <c r="BP918" s="616" t="e">
        <f t="shared" si="1138"/>
        <v>#N/A</v>
      </c>
      <c r="BQ918" s="616" t="e">
        <f t="shared" si="1138"/>
        <v>#N/A</v>
      </c>
      <c r="BR918" s="616" t="e">
        <f t="shared" si="1138"/>
        <v>#N/A</v>
      </c>
      <c r="BS918" s="616" t="e">
        <f t="shared" si="1138"/>
        <v>#N/A</v>
      </c>
      <c r="BT918" s="616" t="e">
        <f t="shared" si="1138"/>
        <v>#N/A</v>
      </c>
      <c r="BU918" s="616" t="e">
        <f t="shared" si="1138"/>
        <v>#N/A</v>
      </c>
      <c r="BV918" s="616" t="e">
        <f t="shared" si="1138"/>
        <v>#N/A</v>
      </c>
      <c r="BW918" s="616" t="e">
        <f t="shared" si="1138"/>
        <v>#N/A</v>
      </c>
      <c r="BX918" s="616" t="e">
        <f t="shared" si="1138"/>
        <v>#N/A</v>
      </c>
      <c r="BY918" s="616" t="e">
        <f t="shared" si="1138"/>
        <v>#N/A</v>
      </c>
      <c r="BZ918" s="616" t="e">
        <f t="shared" si="1138"/>
        <v>#N/A</v>
      </c>
      <c r="CA918" s="616" t="e">
        <f t="shared" si="1138"/>
        <v>#N/A</v>
      </c>
      <c r="CB918" s="616" t="e">
        <f t="shared" si="1138"/>
        <v>#N/A</v>
      </c>
      <c r="CC918" s="616" t="e">
        <f t="shared" si="1138"/>
        <v>#N/A</v>
      </c>
      <c r="CD918" s="616" t="e">
        <f t="shared" si="1138"/>
        <v>#N/A</v>
      </c>
      <c r="CE918" s="616" t="e">
        <f t="shared" si="1138"/>
        <v>#N/A</v>
      </c>
      <c r="CF918" s="616" t="e">
        <f t="shared" si="1138"/>
        <v>#N/A</v>
      </c>
      <c r="CG918" s="616" t="e">
        <f t="shared" si="1138"/>
        <v>#N/A</v>
      </c>
      <c r="CH918" s="616" t="e">
        <f t="shared" ref="CH918:CN918" si="1139">CH905*$S$373</f>
        <v>#N/A</v>
      </c>
      <c r="CI918" s="616" t="e">
        <f t="shared" si="1139"/>
        <v>#N/A</v>
      </c>
      <c r="CJ918" s="616" t="e">
        <f t="shared" si="1139"/>
        <v>#N/A</v>
      </c>
      <c r="CK918" s="616" t="e">
        <f t="shared" si="1139"/>
        <v>#N/A</v>
      </c>
      <c r="CL918" s="616" t="e">
        <f t="shared" si="1139"/>
        <v>#N/A</v>
      </c>
      <c r="CM918" s="616" t="e">
        <f t="shared" si="1139"/>
        <v>#N/A</v>
      </c>
      <c r="CN918" s="616" t="e">
        <f t="shared" si="1139"/>
        <v>#N/A</v>
      </c>
    </row>
    <row r="919" spans="8:92">
      <c r="H919" s="602" t="s">
        <v>940</v>
      </c>
      <c r="L919" s="618" t="s">
        <v>1304</v>
      </c>
      <c r="M919" s="600" t="s">
        <v>974</v>
      </c>
      <c r="N919" s="615" t="e">
        <f>SUM(U919:AF919)</f>
        <v>#N/A</v>
      </c>
      <c r="O919" s="615" t="e">
        <f>SUM(AG919:AR919)</f>
        <v>#N/A</v>
      </c>
      <c r="P919" s="615" t="e">
        <f>SUM(AS919:BD919)</f>
        <v>#N/A</v>
      </c>
      <c r="Q919" s="615" t="e">
        <f>SUM(BE919:BP919)</f>
        <v>#N/A</v>
      </c>
      <c r="R919" s="615" t="e">
        <f>SUM(BQ919:CB919)</f>
        <v>#N/A</v>
      </c>
      <c r="S919" s="615" t="e">
        <f>SUM(CC919:CN919)</f>
        <v>#N/A</v>
      </c>
      <c r="U919" s="616" t="e">
        <f>SUM(U912:U915,U917:U918)</f>
        <v>#N/A</v>
      </c>
      <c r="V919" s="616" t="e">
        <f t="shared" ref="V919:CG919" si="1140">SUM(V912:V915,V917:V918)</f>
        <v>#N/A</v>
      </c>
      <c r="W919" s="616" t="e">
        <f t="shared" si="1140"/>
        <v>#N/A</v>
      </c>
      <c r="X919" s="616" t="e">
        <f t="shared" si="1140"/>
        <v>#N/A</v>
      </c>
      <c r="Y919" s="616" t="e">
        <f t="shared" si="1140"/>
        <v>#N/A</v>
      </c>
      <c r="Z919" s="616" t="e">
        <f t="shared" si="1140"/>
        <v>#N/A</v>
      </c>
      <c r="AA919" s="616" t="e">
        <f t="shared" si="1140"/>
        <v>#N/A</v>
      </c>
      <c r="AB919" s="616" t="e">
        <f t="shared" si="1140"/>
        <v>#N/A</v>
      </c>
      <c r="AC919" s="616" t="e">
        <f t="shared" si="1140"/>
        <v>#N/A</v>
      </c>
      <c r="AD919" s="616" t="e">
        <f t="shared" si="1140"/>
        <v>#N/A</v>
      </c>
      <c r="AE919" s="616" t="e">
        <f t="shared" si="1140"/>
        <v>#N/A</v>
      </c>
      <c r="AF919" s="616" t="e">
        <f t="shared" si="1140"/>
        <v>#N/A</v>
      </c>
      <c r="AG919" s="616" t="e">
        <f t="shared" si="1140"/>
        <v>#N/A</v>
      </c>
      <c r="AH919" s="616" t="e">
        <f t="shared" si="1140"/>
        <v>#N/A</v>
      </c>
      <c r="AI919" s="616" t="e">
        <f t="shared" si="1140"/>
        <v>#N/A</v>
      </c>
      <c r="AJ919" s="616" t="e">
        <f t="shared" si="1140"/>
        <v>#N/A</v>
      </c>
      <c r="AK919" s="616" t="e">
        <f t="shared" si="1140"/>
        <v>#N/A</v>
      </c>
      <c r="AL919" s="616" t="e">
        <f t="shared" si="1140"/>
        <v>#N/A</v>
      </c>
      <c r="AM919" s="616" t="e">
        <f t="shared" si="1140"/>
        <v>#N/A</v>
      </c>
      <c r="AN919" s="616" t="e">
        <f t="shared" si="1140"/>
        <v>#N/A</v>
      </c>
      <c r="AO919" s="616" t="e">
        <f t="shared" si="1140"/>
        <v>#N/A</v>
      </c>
      <c r="AP919" s="616" t="e">
        <f t="shared" si="1140"/>
        <v>#N/A</v>
      </c>
      <c r="AQ919" s="616" t="e">
        <f t="shared" si="1140"/>
        <v>#N/A</v>
      </c>
      <c r="AR919" s="616" t="e">
        <f t="shared" si="1140"/>
        <v>#N/A</v>
      </c>
      <c r="AS919" s="616" t="e">
        <f t="shared" si="1140"/>
        <v>#N/A</v>
      </c>
      <c r="AT919" s="616" t="e">
        <f t="shared" si="1140"/>
        <v>#N/A</v>
      </c>
      <c r="AU919" s="616" t="e">
        <f t="shared" si="1140"/>
        <v>#N/A</v>
      </c>
      <c r="AV919" s="616" t="e">
        <f t="shared" si="1140"/>
        <v>#N/A</v>
      </c>
      <c r="AW919" s="616" t="e">
        <f t="shared" si="1140"/>
        <v>#N/A</v>
      </c>
      <c r="AX919" s="616" t="e">
        <f t="shared" si="1140"/>
        <v>#N/A</v>
      </c>
      <c r="AY919" s="616" t="e">
        <f t="shared" si="1140"/>
        <v>#N/A</v>
      </c>
      <c r="AZ919" s="616" t="e">
        <f t="shared" si="1140"/>
        <v>#N/A</v>
      </c>
      <c r="BA919" s="616" t="e">
        <f t="shared" si="1140"/>
        <v>#N/A</v>
      </c>
      <c r="BB919" s="616" t="e">
        <f t="shared" si="1140"/>
        <v>#N/A</v>
      </c>
      <c r="BC919" s="616" t="e">
        <f t="shared" si="1140"/>
        <v>#N/A</v>
      </c>
      <c r="BD919" s="616" t="e">
        <f t="shared" si="1140"/>
        <v>#N/A</v>
      </c>
      <c r="BE919" s="616" t="e">
        <f t="shared" si="1140"/>
        <v>#N/A</v>
      </c>
      <c r="BF919" s="616" t="e">
        <f t="shared" si="1140"/>
        <v>#N/A</v>
      </c>
      <c r="BG919" s="616" t="e">
        <f t="shared" si="1140"/>
        <v>#N/A</v>
      </c>
      <c r="BH919" s="616" t="e">
        <f t="shared" si="1140"/>
        <v>#N/A</v>
      </c>
      <c r="BI919" s="616" t="e">
        <f t="shared" si="1140"/>
        <v>#N/A</v>
      </c>
      <c r="BJ919" s="616" t="e">
        <f t="shared" si="1140"/>
        <v>#N/A</v>
      </c>
      <c r="BK919" s="616" t="e">
        <f t="shared" si="1140"/>
        <v>#N/A</v>
      </c>
      <c r="BL919" s="616" t="e">
        <f t="shared" si="1140"/>
        <v>#N/A</v>
      </c>
      <c r="BM919" s="616" t="e">
        <f t="shared" si="1140"/>
        <v>#N/A</v>
      </c>
      <c r="BN919" s="616" t="e">
        <f t="shared" si="1140"/>
        <v>#N/A</v>
      </c>
      <c r="BO919" s="616" t="e">
        <f t="shared" si="1140"/>
        <v>#N/A</v>
      </c>
      <c r="BP919" s="616" t="e">
        <f t="shared" si="1140"/>
        <v>#N/A</v>
      </c>
      <c r="BQ919" s="616" t="e">
        <f t="shared" si="1140"/>
        <v>#N/A</v>
      </c>
      <c r="BR919" s="616" t="e">
        <f t="shared" si="1140"/>
        <v>#N/A</v>
      </c>
      <c r="BS919" s="616" t="e">
        <f t="shared" si="1140"/>
        <v>#N/A</v>
      </c>
      <c r="BT919" s="616" t="e">
        <f t="shared" si="1140"/>
        <v>#N/A</v>
      </c>
      <c r="BU919" s="616" t="e">
        <f t="shared" si="1140"/>
        <v>#N/A</v>
      </c>
      <c r="BV919" s="616" t="e">
        <f t="shared" si="1140"/>
        <v>#N/A</v>
      </c>
      <c r="BW919" s="616" t="e">
        <f t="shared" si="1140"/>
        <v>#N/A</v>
      </c>
      <c r="BX919" s="616" t="e">
        <f t="shared" si="1140"/>
        <v>#N/A</v>
      </c>
      <c r="BY919" s="616" t="e">
        <f t="shared" si="1140"/>
        <v>#N/A</v>
      </c>
      <c r="BZ919" s="616" t="e">
        <f t="shared" si="1140"/>
        <v>#N/A</v>
      </c>
      <c r="CA919" s="616" t="e">
        <f t="shared" si="1140"/>
        <v>#N/A</v>
      </c>
      <c r="CB919" s="616" t="e">
        <f t="shared" si="1140"/>
        <v>#N/A</v>
      </c>
      <c r="CC919" s="616" t="e">
        <f t="shared" si="1140"/>
        <v>#N/A</v>
      </c>
      <c r="CD919" s="616" t="e">
        <f t="shared" si="1140"/>
        <v>#N/A</v>
      </c>
      <c r="CE919" s="616" t="e">
        <f t="shared" si="1140"/>
        <v>#N/A</v>
      </c>
      <c r="CF919" s="616" t="e">
        <f t="shared" si="1140"/>
        <v>#N/A</v>
      </c>
      <c r="CG919" s="616" t="e">
        <f t="shared" si="1140"/>
        <v>#N/A</v>
      </c>
      <c r="CH919" s="616" t="e">
        <f t="shared" ref="CH919:CN919" si="1141">SUM(CH912:CH915,CH917:CH918)</f>
        <v>#N/A</v>
      </c>
      <c r="CI919" s="616" t="e">
        <f t="shared" si="1141"/>
        <v>#N/A</v>
      </c>
      <c r="CJ919" s="616" t="e">
        <f t="shared" si="1141"/>
        <v>#N/A</v>
      </c>
      <c r="CK919" s="616" t="e">
        <f t="shared" si="1141"/>
        <v>#N/A</v>
      </c>
      <c r="CL919" s="616" t="e">
        <f t="shared" si="1141"/>
        <v>#N/A</v>
      </c>
      <c r="CM919" s="616" t="e">
        <f t="shared" si="1141"/>
        <v>#N/A</v>
      </c>
      <c r="CN919" s="616" t="e">
        <f t="shared" si="1141"/>
        <v>#N/A</v>
      </c>
    </row>
    <row r="920" spans="8:92">
      <c r="H920" s="602" t="s">
        <v>940</v>
      </c>
      <c r="L920" s="618" t="s">
        <v>909</v>
      </c>
      <c r="M920" s="600" t="s">
        <v>974</v>
      </c>
      <c r="N920" s="615" t="e">
        <f>SUM(U920:AF920)</f>
        <v>#N/A</v>
      </c>
      <c r="O920" s="615" t="e">
        <f>SUM(AG920:AR920)</f>
        <v>#N/A</v>
      </c>
      <c r="P920" s="615" t="e">
        <f>SUM(AS920:BD920)</f>
        <v>#N/A</v>
      </c>
      <c r="Q920" s="615" t="e">
        <f>SUM(BE920:BP920)</f>
        <v>#N/A</v>
      </c>
      <c r="R920" s="615" t="e">
        <f>SUM(BQ920:CB920)</f>
        <v>#N/A</v>
      </c>
      <c r="S920" s="615" t="e">
        <f>SUM(CC920:CN920)</f>
        <v>#N/A</v>
      </c>
      <c r="U920" s="616" t="e">
        <f>U919*$S$374/100</f>
        <v>#N/A</v>
      </c>
      <c r="V920" s="616" t="e">
        <f t="shared" ref="V920:CG920" si="1142">V919*$S$374/100</f>
        <v>#N/A</v>
      </c>
      <c r="W920" s="616" t="e">
        <f t="shared" si="1142"/>
        <v>#N/A</v>
      </c>
      <c r="X920" s="616" t="e">
        <f t="shared" si="1142"/>
        <v>#N/A</v>
      </c>
      <c r="Y920" s="616" t="e">
        <f t="shared" si="1142"/>
        <v>#N/A</v>
      </c>
      <c r="Z920" s="616" t="e">
        <f t="shared" si="1142"/>
        <v>#N/A</v>
      </c>
      <c r="AA920" s="616" t="e">
        <f t="shared" si="1142"/>
        <v>#N/A</v>
      </c>
      <c r="AB920" s="616" t="e">
        <f t="shared" si="1142"/>
        <v>#N/A</v>
      </c>
      <c r="AC920" s="616" t="e">
        <f t="shared" si="1142"/>
        <v>#N/A</v>
      </c>
      <c r="AD920" s="616" t="e">
        <f t="shared" si="1142"/>
        <v>#N/A</v>
      </c>
      <c r="AE920" s="616" t="e">
        <f t="shared" si="1142"/>
        <v>#N/A</v>
      </c>
      <c r="AF920" s="616" t="e">
        <f t="shared" si="1142"/>
        <v>#N/A</v>
      </c>
      <c r="AG920" s="616" t="e">
        <f t="shared" si="1142"/>
        <v>#N/A</v>
      </c>
      <c r="AH920" s="616" t="e">
        <f t="shared" si="1142"/>
        <v>#N/A</v>
      </c>
      <c r="AI920" s="616" t="e">
        <f t="shared" si="1142"/>
        <v>#N/A</v>
      </c>
      <c r="AJ920" s="616" t="e">
        <f t="shared" si="1142"/>
        <v>#N/A</v>
      </c>
      <c r="AK920" s="616" t="e">
        <f t="shared" si="1142"/>
        <v>#N/A</v>
      </c>
      <c r="AL920" s="616" t="e">
        <f t="shared" si="1142"/>
        <v>#N/A</v>
      </c>
      <c r="AM920" s="616" t="e">
        <f t="shared" si="1142"/>
        <v>#N/A</v>
      </c>
      <c r="AN920" s="616" t="e">
        <f t="shared" si="1142"/>
        <v>#N/A</v>
      </c>
      <c r="AO920" s="616" t="e">
        <f t="shared" si="1142"/>
        <v>#N/A</v>
      </c>
      <c r="AP920" s="616" t="e">
        <f t="shared" si="1142"/>
        <v>#N/A</v>
      </c>
      <c r="AQ920" s="616" t="e">
        <f t="shared" si="1142"/>
        <v>#N/A</v>
      </c>
      <c r="AR920" s="616" t="e">
        <f t="shared" si="1142"/>
        <v>#N/A</v>
      </c>
      <c r="AS920" s="616" t="e">
        <f t="shared" si="1142"/>
        <v>#N/A</v>
      </c>
      <c r="AT920" s="616" t="e">
        <f t="shared" si="1142"/>
        <v>#N/A</v>
      </c>
      <c r="AU920" s="616" t="e">
        <f t="shared" si="1142"/>
        <v>#N/A</v>
      </c>
      <c r="AV920" s="616" t="e">
        <f t="shared" si="1142"/>
        <v>#N/A</v>
      </c>
      <c r="AW920" s="616" t="e">
        <f t="shared" si="1142"/>
        <v>#N/A</v>
      </c>
      <c r="AX920" s="616" t="e">
        <f t="shared" si="1142"/>
        <v>#N/A</v>
      </c>
      <c r="AY920" s="616" t="e">
        <f t="shared" si="1142"/>
        <v>#N/A</v>
      </c>
      <c r="AZ920" s="616" t="e">
        <f t="shared" si="1142"/>
        <v>#N/A</v>
      </c>
      <c r="BA920" s="616" t="e">
        <f t="shared" si="1142"/>
        <v>#N/A</v>
      </c>
      <c r="BB920" s="616" t="e">
        <f t="shared" si="1142"/>
        <v>#N/A</v>
      </c>
      <c r="BC920" s="616" t="e">
        <f t="shared" si="1142"/>
        <v>#N/A</v>
      </c>
      <c r="BD920" s="616" t="e">
        <f t="shared" si="1142"/>
        <v>#N/A</v>
      </c>
      <c r="BE920" s="616" t="e">
        <f t="shared" si="1142"/>
        <v>#N/A</v>
      </c>
      <c r="BF920" s="616" t="e">
        <f t="shared" si="1142"/>
        <v>#N/A</v>
      </c>
      <c r="BG920" s="616" t="e">
        <f t="shared" si="1142"/>
        <v>#N/A</v>
      </c>
      <c r="BH920" s="616" t="e">
        <f t="shared" si="1142"/>
        <v>#N/A</v>
      </c>
      <c r="BI920" s="616" t="e">
        <f t="shared" si="1142"/>
        <v>#N/A</v>
      </c>
      <c r="BJ920" s="616" t="e">
        <f t="shared" si="1142"/>
        <v>#N/A</v>
      </c>
      <c r="BK920" s="616" t="e">
        <f t="shared" si="1142"/>
        <v>#N/A</v>
      </c>
      <c r="BL920" s="616" t="e">
        <f t="shared" si="1142"/>
        <v>#N/A</v>
      </c>
      <c r="BM920" s="616" t="e">
        <f t="shared" si="1142"/>
        <v>#N/A</v>
      </c>
      <c r="BN920" s="616" t="e">
        <f t="shared" si="1142"/>
        <v>#N/A</v>
      </c>
      <c r="BO920" s="616" t="e">
        <f t="shared" si="1142"/>
        <v>#N/A</v>
      </c>
      <c r="BP920" s="616" t="e">
        <f t="shared" si="1142"/>
        <v>#N/A</v>
      </c>
      <c r="BQ920" s="616" t="e">
        <f t="shared" si="1142"/>
        <v>#N/A</v>
      </c>
      <c r="BR920" s="616" t="e">
        <f t="shared" si="1142"/>
        <v>#N/A</v>
      </c>
      <c r="BS920" s="616" t="e">
        <f t="shared" si="1142"/>
        <v>#N/A</v>
      </c>
      <c r="BT920" s="616" t="e">
        <f t="shared" si="1142"/>
        <v>#N/A</v>
      </c>
      <c r="BU920" s="616" t="e">
        <f t="shared" si="1142"/>
        <v>#N/A</v>
      </c>
      <c r="BV920" s="616" t="e">
        <f t="shared" si="1142"/>
        <v>#N/A</v>
      </c>
      <c r="BW920" s="616" t="e">
        <f t="shared" si="1142"/>
        <v>#N/A</v>
      </c>
      <c r="BX920" s="616" t="e">
        <f t="shared" si="1142"/>
        <v>#N/A</v>
      </c>
      <c r="BY920" s="616" t="e">
        <f t="shared" si="1142"/>
        <v>#N/A</v>
      </c>
      <c r="BZ920" s="616" t="e">
        <f t="shared" si="1142"/>
        <v>#N/A</v>
      </c>
      <c r="CA920" s="616" t="e">
        <f t="shared" si="1142"/>
        <v>#N/A</v>
      </c>
      <c r="CB920" s="616" t="e">
        <f t="shared" si="1142"/>
        <v>#N/A</v>
      </c>
      <c r="CC920" s="616" t="e">
        <f t="shared" si="1142"/>
        <v>#N/A</v>
      </c>
      <c r="CD920" s="616" t="e">
        <f t="shared" si="1142"/>
        <v>#N/A</v>
      </c>
      <c r="CE920" s="616" t="e">
        <f t="shared" si="1142"/>
        <v>#N/A</v>
      </c>
      <c r="CF920" s="616" t="e">
        <f t="shared" si="1142"/>
        <v>#N/A</v>
      </c>
      <c r="CG920" s="616" t="e">
        <f t="shared" si="1142"/>
        <v>#N/A</v>
      </c>
      <c r="CH920" s="616" t="e">
        <f t="shared" ref="CH920:CN920" si="1143">CH919*$S$374/100</f>
        <v>#N/A</v>
      </c>
      <c r="CI920" s="616" t="e">
        <f t="shared" si="1143"/>
        <v>#N/A</v>
      </c>
      <c r="CJ920" s="616" t="e">
        <f t="shared" si="1143"/>
        <v>#N/A</v>
      </c>
      <c r="CK920" s="616" t="e">
        <f t="shared" si="1143"/>
        <v>#N/A</v>
      </c>
      <c r="CL920" s="616" t="e">
        <f t="shared" si="1143"/>
        <v>#N/A</v>
      </c>
      <c r="CM920" s="616" t="e">
        <f t="shared" si="1143"/>
        <v>#N/A</v>
      </c>
      <c r="CN920" s="616" t="e">
        <f t="shared" si="1143"/>
        <v>#N/A</v>
      </c>
    </row>
    <row r="921" spans="8:92">
      <c r="H921" s="602" t="s">
        <v>940</v>
      </c>
      <c r="L921" s="618"/>
      <c r="M921" s="600"/>
      <c r="N921" s="615"/>
      <c r="O921" s="615"/>
      <c r="P921" s="615"/>
      <c r="Q921" s="615"/>
      <c r="R921" s="615"/>
      <c r="S921" s="615"/>
      <c r="U921" s="616"/>
      <c r="V921" s="616"/>
      <c r="W921" s="616"/>
      <c r="X921" s="616"/>
      <c r="Y921" s="616"/>
      <c r="Z921" s="616"/>
      <c r="AA921" s="616"/>
      <c r="AB921" s="616"/>
      <c r="AC921" s="616"/>
      <c r="AD921" s="616"/>
      <c r="AE921" s="616"/>
      <c r="AF921" s="616"/>
      <c r="AG921" s="616"/>
      <c r="AH921" s="616"/>
      <c r="AI921" s="616"/>
      <c r="AJ921" s="616"/>
      <c r="AK921" s="616"/>
      <c r="AL921" s="616"/>
      <c r="AM921" s="616"/>
      <c r="AN921" s="616"/>
      <c r="AO921" s="616"/>
      <c r="AP921" s="616"/>
      <c r="AQ921" s="616"/>
      <c r="AR921" s="616"/>
      <c r="AS921" s="616"/>
      <c r="AT921" s="616"/>
      <c r="AU921" s="616"/>
      <c r="AV921" s="616"/>
      <c r="AW921" s="616"/>
      <c r="AX921" s="616"/>
      <c r="AY921" s="616"/>
      <c r="AZ921" s="616"/>
      <c r="BA921" s="616"/>
      <c r="BB921" s="616"/>
      <c r="BC921" s="616"/>
      <c r="BD921" s="616"/>
      <c r="BE921" s="616"/>
      <c r="BF921" s="616"/>
      <c r="BG921" s="616"/>
      <c r="BH921" s="616"/>
      <c r="BI921" s="616"/>
      <c r="BJ921" s="616"/>
      <c r="BK921" s="616"/>
      <c r="BL921" s="616"/>
      <c r="BM921" s="616"/>
      <c r="BN921" s="616"/>
      <c r="BO921" s="616"/>
      <c r="BP921" s="616"/>
      <c r="BQ921" s="616"/>
      <c r="BR921" s="616"/>
      <c r="BS921" s="616"/>
      <c r="BT921" s="616"/>
      <c r="BU921" s="616"/>
      <c r="BV921" s="616"/>
      <c r="BW921" s="616"/>
      <c r="BX921" s="616"/>
      <c r="BY921" s="616"/>
      <c r="BZ921" s="616"/>
      <c r="CA921" s="616"/>
      <c r="CB921" s="616"/>
      <c r="CC921" s="616"/>
      <c r="CD921" s="616"/>
      <c r="CE921" s="616"/>
      <c r="CF921" s="616"/>
      <c r="CG921" s="616"/>
      <c r="CH921" s="616"/>
      <c r="CI921" s="616"/>
      <c r="CJ921" s="616"/>
      <c r="CK921" s="616"/>
      <c r="CL921" s="616"/>
      <c r="CM921" s="616"/>
      <c r="CN921" s="616"/>
    </row>
    <row r="922" spans="8:92">
      <c r="H922" s="602" t="s">
        <v>940</v>
      </c>
      <c r="L922" s="618" t="s">
        <v>1305</v>
      </c>
      <c r="M922" s="600" t="s">
        <v>974</v>
      </c>
      <c r="N922" s="615" t="e">
        <f>SUM(U922:AF922)</f>
        <v>#N/A</v>
      </c>
      <c r="O922" s="615" t="e">
        <f>SUM(AG922:AR922)</f>
        <v>#N/A</v>
      </c>
      <c r="P922" s="615" t="e">
        <f>SUM(AS922:BD922)</f>
        <v>#N/A</v>
      </c>
      <c r="Q922" s="615" t="e">
        <f>SUM(BE922:BP922)</f>
        <v>#N/A</v>
      </c>
      <c r="R922" s="615" t="e">
        <f>SUM(BQ922:CB922)</f>
        <v>#N/A</v>
      </c>
      <c r="S922" s="615" t="e">
        <f>SUM(CC922:CN922)</f>
        <v>#N/A</v>
      </c>
      <c r="U922" s="616" t="e">
        <f>SUM(U919:U920)</f>
        <v>#N/A</v>
      </c>
      <c r="V922" s="616" t="e">
        <f t="shared" ref="V922:CG922" si="1144">SUM(V919:V920)</f>
        <v>#N/A</v>
      </c>
      <c r="W922" s="616" t="e">
        <f t="shared" si="1144"/>
        <v>#N/A</v>
      </c>
      <c r="X922" s="616" t="e">
        <f t="shared" si="1144"/>
        <v>#N/A</v>
      </c>
      <c r="Y922" s="616" t="e">
        <f t="shared" si="1144"/>
        <v>#N/A</v>
      </c>
      <c r="Z922" s="616" t="e">
        <f t="shared" si="1144"/>
        <v>#N/A</v>
      </c>
      <c r="AA922" s="616" t="e">
        <f t="shared" si="1144"/>
        <v>#N/A</v>
      </c>
      <c r="AB922" s="616" t="e">
        <f t="shared" si="1144"/>
        <v>#N/A</v>
      </c>
      <c r="AC922" s="616" t="e">
        <f t="shared" si="1144"/>
        <v>#N/A</v>
      </c>
      <c r="AD922" s="616" t="e">
        <f t="shared" si="1144"/>
        <v>#N/A</v>
      </c>
      <c r="AE922" s="616" t="e">
        <f t="shared" si="1144"/>
        <v>#N/A</v>
      </c>
      <c r="AF922" s="616" t="e">
        <f t="shared" si="1144"/>
        <v>#N/A</v>
      </c>
      <c r="AG922" s="616" t="e">
        <f t="shared" si="1144"/>
        <v>#N/A</v>
      </c>
      <c r="AH922" s="616" t="e">
        <f t="shared" si="1144"/>
        <v>#N/A</v>
      </c>
      <c r="AI922" s="616" t="e">
        <f t="shared" si="1144"/>
        <v>#N/A</v>
      </c>
      <c r="AJ922" s="616" t="e">
        <f t="shared" si="1144"/>
        <v>#N/A</v>
      </c>
      <c r="AK922" s="616" t="e">
        <f t="shared" si="1144"/>
        <v>#N/A</v>
      </c>
      <c r="AL922" s="616" t="e">
        <f t="shared" si="1144"/>
        <v>#N/A</v>
      </c>
      <c r="AM922" s="616" t="e">
        <f t="shared" si="1144"/>
        <v>#N/A</v>
      </c>
      <c r="AN922" s="616" t="e">
        <f t="shared" si="1144"/>
        <v>#N/A</v>
      </c>
      <c r="AO922" s="616" t="e">
        <f t="shared" si="1144"/>
        <v>#N/A</v>
      </c>
      <c r="AP922" s="616" t="e">
        <f t="shared" si="1144"/>
        <v>#N/A</v>
      </c>
      <c r="AQ922" s="616" t="e">
        <f t="shared" si="1144"/>
        <v>#N/A</v>
      </c>
      <c r="AR922" s="616" t="e">
        <f t="shared" si="1144"/>
        <v>#N/A</v>
      </c>
      <c r="AS922" s="616" t="e">
        <f t="shared" si="1144"/>
        <v>#N/A</v>
      </c>
      <c r="AT922" s="616" t="e">
        <f t="shared" si="1144"/>
        <v>#N/A</v>
      </c>
      <c r="AU922" s="616" t="e">
        <f t="shared" si="1144"/>
        <v>#N/A</v>
      </c>
      <c r="AV922" s="616" t="e">
        <f t="shared" si="1144"/>
        <v>#N/A</v>
      </c>
      <c r="AW922" s="616" t="e">
        <f t="shared" si="1144"/>
        <v>#N/A</v>
      </c>
      <c r="AX922" s="616" t="e">
        <f t="shared" si="1144"/>
        <v>#N/A</v>
      </c>
      <c r="AY922" s="616" t="e">
        <f t="shared" si="1144"/>
        <v>#N/A</v>
      </c>
      <c r="AZ922" s="616" t="e">
        <f t="shared" si="1144"/>
        <v>#N/A</v>
      </c>
      <c r="BA922" s="616" t="e">
        <f t="shared" si="1144"/>
        <v>#N/A</v>
      </c>
      <c r="BB922" s="616" t="e">
        <f t="shared" si="1144"/>
        <v>#N/A</v>
      </c>
      <c r="BC922" s="616" t="e">
        <f t="shared" si="1144"/>
        <v>#N/A</v>
      </c>
      <c r="BD922" s="616" t="e">
        <f t="shared" si="1144"/>
        <v>#N/A</v>
      </c>
      <c r="BE922" s="616" t="e">
        <f t="shared" si="1144"/>
        <v>#N/A</v>
      </c>
      <c r="BF922" s="616" t="e">
        <f t="shared" si="1144"/>
        <v>#N/A</v>
      </c>
      <c r="BG922" s="616" t="e">
        <f t="shared" si="1144"/>
        <v>#N/A</v>
      </c>
      <c r="BH922" s="616" t="e">
        <f t="shared" si="1144"/>
        <v>#N/A</v>
      </c>
      <c r="BI922" s="616" t="e">
        <f t="shared" si="1144"/>
        <v>#N/A</v>
      </c>
      <c r="BJ922" s="616" t="e">
        <f t="shared" si="1144"/>
        <v>#N/A</v>
      </c>
      <c r="BK922" s="616" t="e">
        <f t="shared" si="1144"/>
        <v>#N/A</v>
      </c>
      <c r="BL922" s="616" t="e">
        <f t="shared" si="1144"/>
        <v>#N/A</v>
      </c>
      <c r="BM922" s="616" t="e">
        <f t="shared" si="1144"/>
        <v>#N/A</v>
      </c>
      <c r="BN922" s="616" t="e">
        <f t="shared" si="1144"/>
        <v>#N/A</v>
      </c>
      <c r="BO922" s="616" t="e">
        <f t="shared" si="1144"/>
        <v>#N/A</v>
      </c>
      <c r="BP922" s="616" t="e">
        <f t="shared" si="1144"/>
        <v>#N/A</v>
      </c>
      <c r="BQ922" s="616" t="e">
        <f t="shared" si="1144"/>
        <v>#N/A</v>
      </c>
      <c r="BR922" s="616" t="e">
        <f t="shared" si="1144"/>
        <v>#N/A</v>
      </c>
      <c r="BS922" s="616" t="e">
        <f t="shared" si="1144"/>
        <v>#N/A</v>
      </c>
      <c r="BT922" s="616" t="e">
        <f t="shared" si="1144"/>
        <v>#N/A</v>
      </c>
      <c r="BU922" s="616" t="e">
        <f t="shared" si="1144"/>
        <v>#N/A</v>
      </c>
      <c r="BV922" s="616" t="e">
        <f t="shared" si="1144"/>
        <v>#N/A</v>
      </c>
      <c r="BW922" s="616" t="e">
        <f t="shared" si="1144"/>
        <v>#N/A</v>
      </c>
      <c r="BX922" s="616" t="e">
        <f t="shared" si="1144"/>
        <v>#N/A</v>
      </c>
      <c r="BY922" s="616" t="e">
        <f t="shared" si="1144"/>
        <v>#N/A</v>
      </c>
      <c r="BZ922" s="616" t="e">
        <f t="shared" si="1144"/>
        <v>#N/A</v>
      </c>
      <c r="CA922" s="616" t="e">
        <f t="shared" si="1144"/>
        <v>#N/A</v>
      </c>
      <c r="CB922" s="616" t="e">
        <f t="shared" si="1144"/>
        <v>#N/A</v>
      </c>
      <c r="CC922" s="616" t="e">
        <f t="shared" si="1144"/>
        <v>#N/A</v>
      </c>
      <c r="CD922" s="616" t="e">
        <f t="shared" si="1144"/>
        <v>#N/A</v>
      </c>
      <c r="CE922" s="616" t="e">
        <f t="shared" si="1144"/>
        <v>#N/A</v>
      </c>
      <c r="CF922" s="616" t="e">
        <f t="shared" si="1144"/>
        <v>#N/A</v>
      </c>
      <c r="CG922" s="616" t="e">
        <f t="shared" si="1144"/>
        <v>#N/A</v>
      </c>
      <c r="CH922" s="616" t="e">
        <f t="shared" ref="CH922:CN922" si="1145">SUM(CH919:CH920)</f>
        <v>#N/A</v>
      </c>
      <c r="CI922" s="616" t="e">
        <f t="shared" si="1145"/>
        <v>#N/A</v>
      </c>
      <c r="CJ922" s="616" t="e">
        <f t="shared" si="1145"/>
        <v>#N/A</v>
      </c>
      <c r="CK922" s="616" t="e">
        <f t="shared" si="1145"/>
        <v>#N/A</v>
      </c>
      <c r="CL922" s="616" t="e">
        <f t="shared" si="1145"/>
        <v>#N/A</v>
      </c>
      <c r="CM922" s="616" t="e">
        <f t="shared" si="1145"/>
        <v>#N/A</v>
      </c>
      <c r="CN922" s="616" t="e">
        <f t="shared" si="1145"/>
        <v>#N/A</v>
      </c>
    </row>
    <row r="923" spans="8:92">
      <c r="H923" s="602" t="s">
        <v>940</v>
      </c>
    </row>
    <row r="924" spans="8:92" ht="18">
      <c r="H924" s="602" t="s">
        <v>940</v>
      </c>
      <c r="L924" s="652" t="s">
        <v>1323</v>
      </c>
      <c r="M924" s="551"/>
      <c r="N924" s="551"/>
      <c r="O924" s="551"/>
      <c r="P924" s="551"/>
      <c r="Q924" s="551"/>
      <c r="R924" s="551"/>
      <c r="S924" s="551"/>
    </row>
    <row r="925" spans="8:92">
      <c r="H925" s="602" t="s">
        <v>940</v>
      </c>
      <c r="N925" s="556">
        <v>0</v>
      </c>
      <c r="O925" s="556">
        <v>0</v>
      </c>
      <c r="P925" s="556">
        <v>0</v>
      </c>
      <c r="Q925" s="556">
        <v>0</v>
      </c>
      <c r="R925" s="556">
        <v>0</v>
      </c>
      <c r="S925" s="556">
        <v>0</v>
      </c>
    </row>
    <row r="926" spans="8:92">
      <c r="H926" s="602" t="s">
        <v>940</v>
      </c>
      <c r="I926" s="556" t="s">
        <v>1070</v>
      </c>
      <c r="M926" s="609" t="s">
        <v>359</v>
      </c>
      <c r="N926" s="643" t="s">
        <v>1022</v>
      </c>
      <c r="O926" s="643" t="s">
        <v>1023</v>
      </c>
      <c r="P926" s="643" t="s">
        <v>1024</v>
      </c>
      <c r="Q926" s="643" t="s">
        <v>1025</v>
      </c>
      <c r="R926" s="643" t="s">
        <v>1026</v>
      </c>
      <c r="S926" s="643" t="s">
        <v>1027</v>
      </c>
    </row>
    <row r="927" spans="8:92">
      <c r="H927" s="602" t="s">
        <v>940</v>
      </c>
      <c r="L927" s="609" t="s">
        <v>1206</v>
      </c>
    </row>
    <row r="928" spans="8:92">
      <c r="H928" s="602" t="s">
        <v>940</v>
      </c>
      <c r="L928" s="556" t="s">
        <v>1035</v>
      </c>
      <c r="M928" s="556" t="s">
        <v>974</v>
      </c>
      <c r="N928" s="616">
        <f t="shared" ref="N928:S928" si="1146">N535/12</f>
        <v>0</v>
      </c>
      <c r="O928" s="616">
        <f t="shared" si="1146"/>
        <v>0</v>
      </c>
      <c r="P928" s="616">
        <f t="shared" si="1146"/>
        <v>0</v>
      </c>
      <c r="Q928" s="616">
        <f t="shared" si="1146"/>
        <v>0</v>
      </c>
      <c r="R928" s="616">
        <f t="shared" si="1146"/>
        <v>0</v>
      </c>
      <c r="S928" s="616">
        <f t="shared" si="1146"/>
        <v>0</v>
      </c>
    </row>
    <row r="929" spans="6:19">
      <c r="H929" s="602" t="s">
        <v>940</v>
      </c>
      <c r="I929" s="556" t="s">
        <v>1046</v>
      </c>
      <c r="L929" s="556" t="s">
        <v>254</v>
      </c>
      <c r="M929" s="556" t="s">
        <v>974</v>
      </c>
      <c r="N929" s="686">
        <f>N559/12</f>
        <v>0</v>
      </c>
      <c r="O929" s="616">
        <f t="shared" ref="O929:S929" si="1147">O559/12</f>
        <v>0</v>
      </c>
      <c r="P929" s="616">
        <f t="shared" si="1147"/>
        <v>0</v>
      </c>
      <c r="Q929" s="616">
        <f t="shared" si="1147"/>
        <v>0</v>
      </c>
      <c r="R929" s="616">
        <f t="shared" si="1147"/>
        <v>0</v>
      </c>
      <c r="S929" s="616">
        <f t="shared" si="1147"/>
        <v>0</v>
      </c>
    </row>
    <row r="930" spans="6:19">
      <c r="F930" s="616"/>
      <c r="H930" s="602" t="s">
        <v>940</v>
      </c>
      <c r="I930" s="556" t="s">
        <v>1046</v>
      </c>
      <c r="L930" s="556" t="s">
        <v>1038</v>
      </c>
      <c r="M930" s="556" t="s">
        <v>974</v>
      </c>
      <c r="N930" s="616" t="e">
        <f t="shared" ref="N930:S930" si="1148">N583/12</f>
        <v>#N/A</v>
      </c>
      <c r="O930" s="616" t="e">
        <f t="shared" si="1148"/>
        <v>#N/A</v>
      </c>
      <c r="P930" s="616" t="e">
        <f t="shared" si="1148"/>
        <v>#N/A</v>
      </c>
      <c r="Q930" s="616" t="e">
        <f t="shared" si="1148"/>
        <v>#N/A</v>
      </c>
      <c r="R930" s="616" t="e">
        <f t="shared" si="1148"/>
        <v>#N/A</v>
      </c>
      <c r="S930" s="616" t="e">
        <f t="shared" si="1148"/>
        <v>#N/A</v>
      </c>
    </row>
    <row r="931" spans="6:19">
      <c r="H931" s="602" t="s">
        <v>940</v>
      </c>
      <c r="I931" s="556" t="s">
        <v>1046</v>
      </c>
      <c r="L931" s="556" t="s">
        <v>253</v>
      </c>
      <c r="M931" s="556" t="s">
        <v>974</v>
      </c>
      <c r="N931" s="616" t="e">
        <f t="shared" ref="N931:S931" si="1149">N607/12</f>
        <v>#N/A</v>
      </c>
      <c r="O931" s="616" t="e">
        <f t="shared" si="1149"/>
        <v>#N/A</v>
      </c>
      <c r="P931" s="616" t="e">
        <f t="shared" si="1149"/>
        <v>#N/A</v>
      </c>
      <c r="Q931" s="616" t="e">
        <f t="shared" si="1149"/>
        <v>#N/A</v>
      </c>
      <c r="R931" s="616" t="e">
        <f t="shared" si="1149"/>
        <v>#N/A</v>
      </c>
      <c r="S931" s="616" t="e">
        <f t="shared" si="1149"/>
        <v>#N/A</v>
      </c>
    </row>
    <row r="932" spans="6:19">
      <c r="H932" s="602" t="s">
        <v>940</v>
      </c>
      <c r="I932" s="556" t="s">
        <v>1079</v>
      </c>
      <c r="L932" s="556" t="s">
        <v>253</v>
      </c>
      <c r="M932" s="556" t="s">
        <v>974</v>
      </c>
      <c r="N932" s="616" t="e">
        <f t="shared" ref="N932:S932" si="1150">N655/12</f>
        <v>#N/A</v>
      </c>
      <c r="O932" s="616" t="e">
        <f t="shared" si="1150"/>
        <v>#N/A</v>
      </c>
      <c r="P932" s="616" t="e">
        <f t="shared" si="1150"/>
        <v>#N/A</v>
      </c>
      <c r="Q932" s="616" t="e">
        <f t="shared" si="1150"/>
        <v>#N/A</v>
      </c>
      <c r="R932" s="616" t="e">
        <f t="shared" si="1150"/>
        <v>#N/A</v>
      </c>
      <c r="S932" s="616" t="e">
        <f t="shared" si="1150"/>
        <v>#N/A</v>
      </c>
    </row>
    <row r="933" spans="6:19">
      <c r="H933" s="602" t="s">
        <v>940</v>
      </c>
      <c r="I933" s="556" t="s">
        <v>1082</v>
      </c>
      <c r="L933" s="556" t="s">
        <v>1037</v>
      </c>
      <c r="M933" s="556" t="s">
        <v>974</v>
      </c>
      <c r="N933" s="616" t="e">
        <f t="shared" ref="N933:S933" si="1151">N631/12</f>
        <v>#N/A</v>
      </c>
      <c r="O933" s="616" t="e">
        <f t="shared" si="1151"/>
        <v>#N/A</v>
      </c>
      <c r="P933" s="616" t="e">
        <f t="shared" si="1151"/>
        <v>#N/A</v>
      </c>
      <c r="Q933" s="616" t="e">
        <f t="shared" si="1151"/>
        <v>#N/A</v>
      </c>
      <c r="R933" s="616" t="e">
        <f t="shared" si="1151"/>
        <v>#N/A</v>
      </c>
      <c r="S933" s="616" t="e">
        <f t="shared" si="1151"/>
        <v>#N/A</v>
      </c>
    </row>
    <row r="934" spans="6:19">
      <c r="H934" s="602" t="s">
        <v>940</v>
      </c>
      <c r="I934" s="556" t="s">
        <v>1046</v>
      </c>
      <c r="N934" s="616"/>
      <c r="O934" s="616"/>
      <c r="P934" s="616"/>
      <c r="Q934" s="616"/>
      <c r="R934" s="616"/>
      <c r="S934" s="616"/>
    </row>
    <row r="935" spans="6:19">
      <c r="H935" s="602" t="s">
        <v>940</v>
      </c>
      <c r="L935" s="609" t="s">
        <v>1213</v>
      </c>
      <c r="N935" s="616"/>
      <c r="O935" s="616"/>
      <c r="P935" s="616"/>
      <c r="Q935" s="616"/>
      <c r="R935" s="616"/>
      <c r="S935" s="616"/>
    </row>
    <row r="936" spans="6:19">
      <c r="H936" s="602" t="s">
        <v>940</v>
      </c>
      <c r="L936" s="556" t="s">
        <v>254</v>
      </c>
      <c r="M936" s="556" t="s">
        <v>974</v>
      </c>
      <c r="N936" s="616">
        <f t="shared" ref="N936:S936" si="1152">N704/12</f>
        <v>0</v>
      </c>
      <c r="O936" s="616">
        <f t="shared" si="1152"/>
        <v>0</v>
      </c>
      <c r="P936" s="616">
        <f t="shared" si="1152"/>
        <v>0</v>
      </c>
      <c r="Q936" s="616">
        <f t="shared" si="1152"/>
        <v>0</v>
      </c>
      <c r="R936" s="616">
        <f t="shared" si="1152"/>
        <v>0</v>
      </c>
      <c r="S936" s="616">
        <f t="shared" si="1152"/>
        <v>0</v>
      </c>
    </row>
    <row r="937" spans="6:19">
      <c r="H937" s="602" t="s">
        <v>940</v>
      </c>
      <c r="I937" s="556" t="s">
        <v>1048</v>
      </c>
      <c r="L937" s="556" t="s">
        <v>1038</v>
      </c>
      <c r="M937" s="556" t="s">
        <v>974</v>
      </c>
      <c r="N937" s="616" t="e">
        <f t="shared" ref="N937:S937" si="1153">N728/12</f>
        <v>#N/A</v>
      </c>
      <c r="O937" s="616" t="e">
        <f t="shared" si="1153"/>
        <v>#N/A</v>
      </c>
      <c r="P937" s="616" t="e">
        <f t="shared" si="1153"/>
        <v>#N/A</v>
      </c>
      <c r="Q937" s="616" t="e">
        <f t="shared" si="1153"/>
        <v>#N/A</v>
      </c>
      <c r="R937" s="616" t="e">
        <f t="shared" si="1153"/>
        <v>#N/A</v>
      </c>
      <c r="S937" s="616" t="e">
        <f t="shared" si="1153"/>
        <v>#N/A</v>
      </c>
    </row>
    <row r="938" spans="6:19">
      <c r="H938" s="602" t="s">
        <v>940</v>
      </c>
      <c r="I938" s="556" t="s">
        <v>1048</v>
      </c>
      <c r="L938" s="556" t="s">
        <v>253</v>
      </c>
      <c r="M938" s="556" t="s">
        <v>974</v>
      </c>
      <c r="N938" s="616" t="e">
        <f>N752/12</f>
        <v>#N/A</v>
      </c>
      <c r="O938" s="616" t="e">
        <f t="shared" ref="O938:S938" si="1154">O752/12</f>
        <v>#N/A</v>
      </c>
      <c r="P938" s="616" t="e">
        <f t="shared" si="1154"/>
        <v>#N/A</v>
      </c>
      <c r="Q938" s="616" t="e">
        <f t="shared" si="1154"/>
        <v>#N/A</v>
      </c>
      <c r="R938" s="616" t="e">
        <f t="shared" si="1154"/>
        <v>#N/A</v>
      </c>
      <c r="S938" s="616" t="e">
        <f t="shared" si="1154"/>
        <v>#N/A</v>
      </c>
    </row>
    <row r="939" spans="6:19">
      <c r="H939" s="602" t="s">
        <v>940</v>
      </c>
      <c r="I939" s="556" t="s">
        <v>1048</v>
      </c>
      <c r="N939" s="616"/>
      <c r="O939" s="616"/>
      <c r="P939" s="616"/>
      <c r="Q939" s="616"/>
      <c r="R939" s="616"/>
      <c r="S939" s="616"/>
    </row>
    <row r="940" spans="6:19">
      <c r="H940" s="602" t="s">
        <v>940</v>
      </c>
      <c r="L940" s="609" t="s">
        <v>1242</v>
      </c>
      <c r="N940" s="616"/>
      <c r="O940" s="616"/>
      <c r="P940" s="616"/>
      <c r="Q940" s="616"/>
      <c r="R940" s="616"/>
      <c r="S940" s="616"/>
    </row>
    <row r="941" spans="6:19">
      <c r="H941" s="602" t="s">
        <v>940</v>
      </c>
      <c r="L941" s="556" t="s">
        <v>254</v>
      </c>
      <c r="M941" s="556" t="s">
        <v>974</v>
      </c>
      <c r="N941" s="616">
        <f t="shared" ref="N941:S941" si="1155">N777/12</f>
        <v>0</v>
      </c>
      <c r="O941" s="616">
        <f t="shared" si="1155"/>
        <v>0</v>
      </c>
      <c r="P941" s="616">
        <f t="shared" si="1155"/>
        <v>0</v>
      </c>
      <c r="Q941" s="616">
        <f t="shared" si="1155"/>
        <v>0</v>
      </c>
      <c r="R941" s="616">
        <f t="shared" si="1155"/>
        <v>0</v>
      </c>
      <c r="S941" s="616">
        <f t="shared" si="1155"/>
        <v>0</v>
      </c>
    </row>
    <row r="942" spans="6:19">
      <c r="H942" s="602" t="s">
        <v>940</v>
      </c>
      <c r="I942" s="556" t="s">
        <v>1077</v>
      </c>
      <c r="L942" s="556" t="s">
        <v>1038</v>
      </c>
      <c r="M942" s="556" t="s">
        <v>974</v>
      </c>
      <c r="N942" s="616" t="e">
        <f t="shared" ref="N942:S942" si="1156">N801/12</f>
        <v>#N/A</v>
      </c>
      <c r="O942" s="616" t="e">
        <f t="shared" si="1156"/>
        <v>#N/A</v>
      </c>
      <c r="P942" s="616" t="e">
        <f t="shared" si="1156"/>
        <v>#N/A</v>
      </c>
      <c r="Q942" s="616" t="e">
        <f t="shared" si="1156"/>
        <v>#N/A</v>
      </c>
      <c r="R942" s="616" t="e">
        <f t="shared" si="1156"/>
        <v>#N/A</v>
      </c>
      <c r="S942" s="616" t="e">
        <f t="shared" si="1156"/>
        <v>#N/A</v>
      </c>
    </row>
    <row r="943" spans="6:19">
      <c r="H943" s="602" t="s">
        <v>940</v>
      </c>
      <c r="I943" s="556" t="s">
        <v>1077</v>
      </c>
      <c r="L943" s="556" t="s">
        <v>253</v>
      </c>
      <c r="M943" s="556" t="s">
        <v>974</v>
      </c>
      <c r="N943" s="616" t="e">
        <f t="shared" ref="N943:S943" si="1157">N825/12</f>
        <v>#N/A</v>
      </c>
      <c r="O943" s="616" t="e">
        <f t="shared" si="1157"/>
        <v>#N/A</v>
      </c>
      <c r="P943" s="616" t="e">
        <f t="shared" si="1157"/>
        <v>#N/A</v>
      </c>
      <c r="Q943" s="616" t="e">
        <f t="shared" si="1157"/>
        <v>#N/A</v>
      </c>
      <c r="R943" s="616" t="e">
        <f t="shared" si="1157"/>
        <v>#N/A</v>
      </c>
      <c r="S943" s="616" t="e">
        <f t="shared" si="1157"/>
        <v>#N/A</v>
      </c>
    </row>
    <row r="944" spans="6:19">
      <c r="H944" s="602" t="s">
        <v>940</v>
      </c>
      <c r="I944" s="556" t="s">
        <v>1077</v>
      </c>
      <c r="N944" s="616"/>
      <c r="O944" s="616"/>
      <c r="P944" s="616"/>
      <c r="Q944" s="616"/>
      <c r="R944" s="616"/>
      <c r="S944" s="616"/>
    </row>
    <row r="945" spans="7:19">
      <c r="H945" s="602" t="s">
        <v>940</v>
      </c>
      <c r="L945" s="609" t="s">
        <v>1216</v>
      </c>
      <c r="N945" s="616"/>
      <c r="O945" s="616"/>
      <c r="P945" s="616"/>
      <c r="Q945" s="616"/>
      <c r="R945" s="616"/>
      <c r="S945" s="616"/>
    </row>
    <row r="946" spans="7:19">
      <c r="H946" s="602" t="s">
        <v>940</v>
      </c>
      <c r="L946" s="556" t="s">
        <v>1038</v>
      </c>
      <c r="M946" s="556" t="s">
        <v>974</v>
      </c>
      <c r="N946" s="616" t="e">
        <f t="shared" ref="N946:S946" si="1158">N850/12</f>
        <v>#N/A</v>
      </c>
      <c r="O946" s="616" t="e">
        <f t="shared" si="1158"/>
        <v>#N/A</v>
      </c>
      <c r="P946" s="616" t="e">
        <f t="shared" si="1158"/>
        <v>#N/A</v>
      </c>
      <c r="Q946" s="616" t="e">
        <f t="shared" si="1158"/>
        <v>#N/A</v>
      </c>
      <c r="R946" s="616" t="e">
        <f t="shared" si="1158"/>
        <v>#N/A</v>
      </c>
      <c r="S946" s="616" t="e">
        <f t="shared" si="1158"/>
        <v>#N/A</v>
      </c>
    </row>
    <row r="947" spans="7:19">
      <c r="H947" s="602" t="s">
        <v>940</v>
      </c>
      <c r="I947" s="556" t="s">
        <v>1050</v>
      </c>
      <c r="L947" s="556" t="s">
        <v>253</v>
      </c>
      <c r="M947" s="556" t="s">
        <v>974</v>
      </c>
      <c r="N947" s="616" t="e">
        <f t="shared" ref="N947:S947" si="1159">N874/12</f>
        <v>#N/A</v>
      </c>
      <c r="O947" s="616" t="e">
        <f t="shared" si="1159"/>
        <v>#N/A</v>
      </c>
      <c r="P947" s="616" t="e">
        <f t="shared" si="1159"/>
        <v>#N/A</v>
      </c>
      <c r="Q947" s="616" t="e">
        <f t="shared" si="1159"/>
        <v>#N/A</v>
      </c>
      <c r="R947" s="616" t="e">
        <f t="shared" si="1159"/>
        <v>#N/A</v>
      </c>
      <c r="S947" s="616" t="e">
        <f t="shared" si="1159"/>
        <v>#N/A</v>
      </c>
    </row>
    <row r="948" spans="7:19">
      <c r="H948" s="602" t="s">
        <v>940</v>
      </c>
      <c r="I948" s="556" t="s">
        <v>1050</v>
      </c>
      <c r="N948" s="616"/>
      <c r="O948" s="616"/>
      <c r="P948" s="616"/>
      <c r="Q948" s="616"/>
      <c r="R948" s="616"/>
      <c r="S948" s="616"/>
    </row>
    <row r="949" spans="7:19">
      <c r="H949" s="602" t="s">
        <v>940</v>
      </c>
      <c r="L949" s="609" t="s">
        <v>1047</v>
      </c>
      <c r="M949" s="556" t="s">
        <v>974</v>
      </c>
      <c r="N949" s="616" t="e">
        <f t="shared" ref="N949:S949" si="1160">N898/12</f>
        <v>#N/A</v>
      </c>
      <c r="O949" s="616" t="e">
        <f t="shared" si="1160"/>
        <v>#N/A</v>
      </c>
      <c r="P949" s="616" t="e">
        <f t="shared" si="1160"/>
        <v>#N/A</v>
      </c>
      <c r="Q949" s="616" t="e">
        <f t="shared" si="1160"/>
        <v>#N/A</v>
      </c>
      <c r="R949" s="616" t="e">
        <f t="shared" si="1160"/>
        <v>#N/A</v>
      </c>
      <c r="S949" s="616" t="e">
        <f t="shared" si="1160"/>
        <v>#N/A</v>
      </c>
    </row>
    <row r="950" spans="7:19">
      <c r="H950" s="602" t="s">
        <v>940</v>
      </c>
      <c r="I950" s="556" t="s">
        <v>1071</v>
      </c>
      <c r="L950" s="609" t="s">
        <v>1049</v>
      </c>
      <c r="M950" s="556" t="s">
        <v>974</v>
      </c>
      <c r="N950" s="616" t="e">
        <f t="shared" ref="N950:S950" si="1161">N922/12</f>
        <v>#N/A</v>
      </c>
      <c r="O950" s="616" t="e">
        <f t="shared" si="1161"/>
        <v>#N/A</v>
      </c>
      <c r="P950" s="616" t="e">
        <f t="shared" si="1161"/>
        <v>#N/A</v>
      </c>
      <c r="Q950" s="616" t="e">
        <f t="shared" si="1161"/>
        <v>#N/A</v>
      </c>
      <c r="R950" s="616" t="e">
        <f t="shared" si="1161"/>
        <v>#N/A</v>
      </c>
      <c r="S950" s="616" t="e">
        <f t="shared" si="1161"/>
        <v>#N/A</v>
      </c>
    </row>
    <row r="951" spans="7:19">
      <c r="H951" s="602" t="s">
        <v>940</v>
      </c>
      <c r="I951" s="556" t="s">
        <v>1071</v>
      </c>
      <c r="N951" s="616"/>
    </row>
    <row r="952" spans="7:19" ht="18">
      <c r="H952" s="602" t="s">
        <v>940</v>
      </c>
      <c r="L952" s="652" t="s">
        <v>1324</v>
      </c>
      <c r="M952" s="551"/>
      <c r="N952" s="551"/>
      <c r="O952" s="551"/>
      <c r="P952" s="551"/>
      <c r="Q952" s="551"/>
      <c r="R952" s="551"/>
      <c r="S952" s="551"/>
    </row>
    <row r="953" spans="7:19">
      <c r="H953" s="602" t="s">
        <v>940</v>
      </c>
      <c r="L953" s="609"/>
    </row>
    <row r="954" spans="7:19">
      <c r="H954" s="602" t="s">
        <v>940</v>
      </c>
      <c r="M954" s="609" t="s">
        <v>359</v>
      </c>
      <c r="N954" s="704" t="s">
        <v>929</v>
      </c>
      <c r="O954" s="704" t="s">
        <v>1193</v>
      </c>
      <c r="P954" s="704" t="s">
        <v>1194</v>
      </c>
      <c r="Q954" s="704" t="s">
        <v>1195</v>
      </c>
      <c r="R954" s="704" t="s">
        <v>1196</v>
      </c>
      <c r="S954" s="704" t="s">
        <v>1197</v>
      </c>
    </row>
    <row r="955" spans="7:19">
      <c r="G955" s="615"/>
      <c r="H955" s="602" t="s">
        <v>940</v>
      </c>
    </row>
    <row r="956" spans="7:19">
      <c r="G956" s="759"/>
      <c r="L956" s="556" t="s">
        <v>1046</v>
      </c>
      <c r="M956" s="556" t="s">
        <v>974</v>
      </c>
      <c r="N956" s="738" t="e">
        <f>SUM(N928:N931,N933)*12-N630</f>
        <v>#N/A</v>
      </c>
      <c r="O956" s="738" t="e">
        <f t="shared" ref="O956:S956" si="1162">SUM(O928:O931,O933)*12-O630</f>
        <v>#N/A</v>
      </c>
      <c r="P956" s="738" t="e">
        <f t="shared" si="1162"/>
        <v>#N/A</v>
      </c>
      <c r="Q956" s="738" t="e">
        <f t="shared" si="1162"/>
        <v>#N/A</v>
      </c>
      <c r="R956" s="738" t="e">
        <f t="shared" si="1162"/>
        <v>#N/A</v>
      </c>
      <c r="S956" s="738" t="e">
        <f t="shared" si="1162"/>
        <v>#N/A</v>
      </c>
    </row>
    <row r="957" spans="7:19">
      <c r="H957" s="602" t="s">
        <v>940</v>
      </c>
      <c r="L957" s="556" t="s">
        <v>1325</v>
      </c>
      <c r="M957" s="556" t="s">
        <v>974</v>
      </c>
      <c r="N957" s="738" t="e">
        <f t="shared" ref="N957:S957" si="1163">SUM(N936:N938)*12-N751</f>
        <v>#N/A</v>
      </c>
      <c r="O957" s="738" t="e">
        <f t="shared" si="1163"/>
        <v>#N/A</v>
      </c>
      <c r="P957" s="738" t="e">
        <f t="shared" si="1163"/>
        <v>#N/A</v>
      </c>
      <c r="Q957" s="738" t="e">
        <f t="shared" si="1163"/>
        <v>#N/A</v>
      </c>
      <c r="R957" s="738" t="e">
        <f t="shared" si="1163"/>
        <v>#N/A</v>
      </c>
      <c r="S957" s="738" t="e">
        <f t="shared" si="1163"/>
        <v>#N/A</v>
      </c>
    </row>
    <row r="958" spans="7:19">
      <c r="H958" s="602" t="s">
        <v>940</v>
      </c>
      <c r="L958" s="556" t="s">
        <v>1326</v>
      </c>
      <c r="M958" s="556" t="s">
        <v>974</v>
      </c>
      <c r="N958" s="738" t="e">
        <f t="shared" ref="N958:S958" si="1164">SUM(N941:N943)*12-N824</f>
        <v>#N/A</v>
      </c>
      <c r="O958" s="738" t="e">
        <f t="shared" si="1164"/>
        <v>#N/A</v>
      </c>
      <c r="P958" s="738" t="e">
        <f t="shared" si="1164"/>
        <v>#N/A</v>
      </c>
      <c r="Q958" s="738" t="e">
        <f t="shared" si="1164"/>
        <v>#N/A</v>
      </c>
      <c r="R958" s="738" t="e">
        <f t="shared" si="1164"/>
        <v>#N/A</v>
      </c>
      <c r="S958" s="738" t="e">
        <f t="shared" si="1164"/>
        <v>#N/A</v>
      </c>
    </row>
    <row r="959" spans="7:19">
      <c r="H959" s="602" t="s">
        <v>940</v>
      </c>
      <c r="L959" s="556" t="s">
        <v>1050</v>
      </c>
      <c r="M959" s="556" t="s">
        <v>974</v>
      </c>
      <c r="N959" s="738" t="e">
        <f t="shared" ref="N959:S959" si="1165">SUM(N946:N947)*12-N873</f>
        <v>#N/A</v>
      </c>
      <c r="O959" s="738" t="e">
        <f t="shared" si="1165"/>
        <v>#N/A</v>
      </c>
      <c r="P959" s="738" t="e">
        <f t="shared" si="1165"/>
        <v>#N/A</v>
      </c>
      <c r="Q959" s="738" t="e">
        <f t="shared" si="1165"/>
        <v>#N/A</v>
      </c>
      <c r="R959" s="738" t="e">
        <f t="shared" si="1165"/>
        <v>#N/A</v>
      </c>
      <c r="S959" s="738" t="e">
        <f t="shared" si="1165"/>
        <v>#N/A</v>
      </c>
    </row>
    <row r="960" spans="7:19">
      <c r="H960" s="602" t="s">
        <v>940</v>
      </c>
    </row>
    <row r="961" spans="8:19" ht="18">
      <c r="H961" s="602" t="s">
        <v>940</v>
      </c>
      <c r="L961" s="652" t="s">
        <v>1327</v>
      </c>
      <c r="M961" s="551"/>
      <c r="N961" s="551"/>
      <c r="O961" s="551"/>
      <c r="P961" s="551"/>
      <c r="Q961" s="551"/>
      <c r="R961" s="551"/>
      <c r="S961" s="551"/>
    </row>
    <row r="962" spans="8:19">
      <c r="H962" s="602" t="s">
        <v>940</v>
      </c>
    </row>
    <row r="963" spans="8:19">
      <c r="H963" s="602" t="s">
        <v>940</v>
      </c>
      <c r="M963" s="609" t="s">
        <v>359</v>
      </c>
      <c r="N963" s="704" t="s">
        <v>929</v>
      </c>
      <c r="O963" s="704" t="s">
        <v>1193</v>
      </c>
      <c r="P963" s="704" t="s">
        <v>1194</v>
      </c>
      <c r="Q963" s="704" t="s">
        <v>1195</v>
      </c>
      <c r="R963" s="704" t="s">
        <v>1196</v>
      </c>
      <c r="S963" s="704" t="s">
        <v>1197</v>
      </c>
    </row>
    <row r="964" spans="8:19">
      <c r="H964" s="602" t="s">
        <v>940</v>
      </c>
      <c r="N964" s="556">
        <v>0</v>
      </c>
      <c r="O964" s="556">
        <v>0</v>
      </c>
      <c r="P964" s="556">
        <v>0</v>
      </c>
      <c r="Q964" s="556">
        <v>0</v>
      </c>
      <c r="R964" s="556">
        <v>0</v>
      </c>
      <c r="S964" s="556">
        <v>0</v>
      </c>
    </row>
    <row r="965" spans="8:19">
      <c r="H965" s="602" t="s">
        <v>940</v>
      </c>
      <c r="I965" s="556" t="s">
        <v>1070</v>
      </c>
      <c r="L965" s="556" t="s">
        <v>263</v>
      </c>
      <c r="M965" s="556" t="s">
        <v>974</v>
      </c>
      <c r="N965" s="616" t="e">
        <f t="shared" ref="N965:S965" si="1166">N949+N950</f>
        <v>#N/A</v>
      </c>
      <c r="O965" s="616" t="e">
        <f t="shared" si="1166"/>
        <v>#N/A</v>
      </c>
      <c r="P965" s="616" t="e">
        <f t="shared" si="1166"/>
        <v>#N/A</v>
      </c>
      <c r="Q965" s="616" t="e">
        <f t="shared" si="1166"/>
        <v>#N/A</v>
      </c>
      <c r="R965" s="616" t="e">
        <f t="shared" si="1166"/>
        <v>#N/A</v>
      </c>
      <c r="S965" s="616" t="e">
        <f t="shared" si="1166"/>
        <v>#N/A</v>
      </c>
    </row>
    <row r="966" spans="8:19">
      <c r="H966" s="602" t="s">
        <v>940</v>
      </c>
      <c r="I966" s="556" t="s">
        <v>1071</v>
      </c>
      <c r="L966" s="556" t="s">
        <v>1051</v>
      </c>
      <c r="M966" s="556" t="s">
        <v>974</v>
      </c>
      <c r="N966" s="556">
        <f>Tariffs!F234</f>
        <v>0</v>
      </c>
      <c r="O966" s="556">
        <f>Tariffs!F235</f>
        <v>0</v>
      </c>
      <c r="P966" s="556">
        <f>Tariffs!F236</f>
        <v>0</v>
      </c>
      <c r="Q966" s="556">
        <f>Tariffs!F237</f>
        <v>0</v>
      </c>
      <c r="R966" s="556">
        <f>Tariffs!F238</f>
        <v>0</v>
      </c>
      <c r="S966" s="556">
        <f>Tariffs!F239</f>
        <v>0</v>
      </c>
    </row>
    <row r="967" spans="8:19">
      <c r="H967" s="602" t="s">
        <v>940</v>
      </c>
      <c r="I967" s="556" t="s">
        <v>1071</v>
      </c>
      <c r="L967" s="556" t="s">
        <v>1053</v>
      </c>
      <c r="M967" s="556" t="s">
        <v>974</v>
      </c>
      <c r="N967" s="556">
        <f>Tariffs!F243</f>
        <v>0</v>
      </c>
      <c r="O967" s="556">
        <f>Tariffs!F244</f>
        <v>0</v>
      </c>
      <c r="P967" s="556">
        <f>Tariffs!F245</f>
        <v>0</v>
      </c>
      <c r="Q967" s="556">
        <f>Tariffs!F246</f>
        <v>0</v>
      </c>
      <c r="R967" s="556">
        <f>Tariffs!F247</f>
        <v>0</v>
      </c>
      <c r="S967" s="556">
        <f>Tariffs!F248</f>
        <v>0</v>
      </c>
    </row>
    <row r="968" spans="8:19">
      <c r="H968" s="602" t="s">
        <v>940</v>
      </c>
      <c r="I968" s="556" t="s">
        <v>1071</v>
      </c>
      <c r="L968" s="556" t="s">
        <v>76</v>
      </c>
      <c r="M968" s="556" t="s">
        <v>974</v>
      </c>
      <c r="N968" s="556">
        <f>Tariffs!F252</f>
        <v>0</v>
      </c>
      <c r="O968" s="556">
        <f>Tariffs!F253</f>
        <v>0</v>
      </c>
      <c r="P968" s="556">
        <f>Tariffs!F254</f>
        <v>0</v>
      </c>
      <c r="Q968" s="556">
        <f>Tariffs!F255</f>
        <v>0</v>
      </c>
      <c r="R968" s="556">
        <f>Tariffs!F256</f>
        <v>0</v>
      </c>
      <c r="S968" s="556">
        <f>Tariffs!F257</f>
        <v>0</v>
      </c>
    </row>
    <row r="969" spans="8:19">
      <c r="H969" s="602" t="s">
        <v>940</v>
      </c>
      <c r="I969" s="556" t="s">
        <v>1071</v>
      </c>
      <c r="L969" s="556" t="s">
        <v>1328</v>
      </c>
      <c r="M969" s="556" t="s">
        <v>974</v>
      </c>
      <c r="N969" s="556">
        <f>Tariffs!F261</f>
        <v>0</v>
      </c>
      <c r="O969" s="556">
        <f>Tariffs!F262</f>
        <v>0</v>
      </c>
      <c r="P969" s="556">
        <f>Tariffs!F263</f>
        <v>0</v>
      </c>
      <c r="Q969" s="556">
        <f>Tariffs!F264</f>
        <v>0</v>
      </c>
      <c r="R969" s="556">
        <f>Tariffs!F265</f>
        <v>0</v>
      </c>
      <c r="S969" s="556">
        <f>Tariffs!F266</f>
        <v>0</v>
      </c>
    </row>
    <row r="970" spans="8:19">
      <c r="H970" s="602" t="s">
        <v>940</v>
      </c>
      <c r="I970" s="556" t="s">
        <v>1071</v>
      </c>
    </row>
    <row r="971" spans="8:19" ht="18">
      <c r="H971" s="602" t="s">
        <v>940</v>
      </c>
      <c r="L971" s="652" t="s">
        <v>1329</v>
      </c>
      <c r="M971" s="551"/>
      <c r="N971" s="551"/>
      <c r="O971" s="551"/>
      <c r="P971" s="551"/>
      <c r="Q971" s="551"/>
      <c r="R971" s="551"/>
      <c r="S971" s="551"/>
    </row>
    <row r="972" spans="8:19">
      <c r="H972" s="602" t="s">
        <v>940</v>
      </c>
    </row>
    <row r="973" spans="8:19">
      <c r="H973" s="602" t="s">
        <v>940</v>
      </c>
      <c r="L973" s="609" t="s">
        <v>1330</v>
      </c>
      <c r="M973" s="609" t="s">
        <v>359</v>
      </c>
      <c r="N973" s="704" t="s">
        <v>929</v>
      </c>
      <c r="O973" s="704" t="s">
        <v>1193</v>
      </c>
      <c r="P973" s="704" t="s">
        <v>1194</v>
      </c>
      <c r="Q973" s="704" t="s">
        <v>1195</v>
      </c>
      <c r="R973" s="704" t="s">
        <v>1196</v>
      </c>
      <c r="S973" s="704" t="s">
        <v>1197</v>
      </c>
    </row>
    <row r="974" spans="8:19">
      <c r="H974" s="602" t="s">
        <v>940</v>
      </c>
      <c r="L974" s="609"/>
      <c r="N974" s="609"/>
      <c r="O974" s="609"/>
      <c r="P974" s="609"/>
    </row>
    <row r="975" spans="8:19">
      <c r="H975" s="602" t="s">
        <v>940</v>
      </c>
      <c r="L975" s="556" t="s">
        <v>1331</v>
      </c>
      <c r="M975" s="556" t="s">
        <v>974</v>
      </c>
      <c r="N975" s="616" t="e">
        <f t="shared" ref="N975:S975" si="1167">N$928+N$933+N936</f>
        <v>#N/A</v>
      </c>
      <c r="O975" s="616" t="e">
        <f t="shared" si="1167"/>
        <v>#N/A</v>
      </c>
      <c r="P975" s="616" t="e">
        <f t="shared" si="1167"/>
        <v>#N/A</v>
      </c>
      <c r="Q975" s="616" t="e">
        <f t="shared" si="1167"/>
        <v>#N/A</v>
      </c>
      <c r="R975" s="616" t="e">
        <f t="shared" si="1167"/>
        <v>#N/A</v>
      </c>
      <c r="S975" s="616" t="e">
        <f t="shared" si="1167"/>
        <v>#N/A</v>
      </c>
    </row>
    <row r="976" spans="8:19">
      <c r="H976" s="602" t="s">
        <v>940</v>
      </c>
      <c r="L976" s="556" t="s">
        <v>1332</v>
      </c>
      <c r="M976" s="556" t="s">
        <v>974</v>
      </c>
      <c r="N976" s="616" t="e">
        <f t="shared" ref="N976:S976" si="1168">N$928+N$933+N941</f>
        <v>#N/A</v>
      </c>
      <c r="O976" s="616" t="e">
        <f t="shared" si="1168"/>
        <v>#N/A</v>
      </c>
      <c r="P976" s="616" t="e">
        <f t="shared" si="1168"/>
        <v>#N/A</v>
      </c>
      <c r="Q976" s="616" t="e">
        <f t="shared" si="1168"/>
        <v>#N/A</v>
      </c>
      <c r="R976" s="616" t="e">
        <f t="shared" si="1168"/>
        <v>#N/A</v>
      </c>
      <c r="S976" s="616" t="e">
        <f t="shared" si="1168"/>
        <v>#N/A</v>
      </c>
    </row>
    <row r="977" spans="8:20">
      <c r="H977" s="602" t="s">
        <v>940</v>
      </c>
      <c r="L977" s="556" t="s">
        <v>1333</v>
      </c>
      <c r="M977" s="556" t="s">
        <v>974</v>
      </c>
      <c r="N977" s="616" t="e">
        <f t="shared" ref="N977:S977" si="1169">N$928+N$933+N929</f>
        <v>#N/A</v>
      </c>
      <c r="O977" s="616" t="e">
        <f t="shared" si="1169"/>
        <v>#N/A</v>
      </c>
      <c r="P977" s="616" t="e">
        <f t="shared" si="1169"/>
        <v>#N/A</v>
      </c>
      <c r="Q977" s="616" t="e">
        <f t="shared" si="1169"/>
        <v>#N/A</v>
      </c>
      <c r="R977" s="616" t="e">
        <f t="shared" si="1169"/>
        <v>#N/A</v>
      </c>
      <c r="S977" s="616" t="e">
        <f t="shared" si="1169"/>
        <v>#N/A</v>
      </c>
    </row>
    <row r="978" spans="8:20">
      <c r="H978" s="602" t="s">
        <v>940</v>
      </c>
      <c r="L978" s="556" t="s">
        <v>1334</v>
      </c>
      <c r="M978" s="556" t="s">
        <v>974</v>
      </c>
      <c r="N978" s="616" t="e">
        <f t="shared" ref="N978:S978" si="1170">N$928+N$933+N937+N936</f>
        <v>#N/A</v>
      </c>
      <c r="O978" s="616" t="e">
        <f t="shared" si="1170"/>
        <v>#N/A</v>
      </c>
      <c r="P978" s="616" t="e">
        <f t="shared" si="1170"/>
        <v>#N/A</v>
      </c>
      <c r="Q978" s="616" t="e">
        <f t="shared" si="1170"/>
        <v>#N/A</v>
      </c>
      <c r="R978" s="616" t="e">
        <f t="shared" si="1170"/>
        <v>#N/A</v>
      </c>
      <c r="S978" s="616" t="e">
        <f t="shared" si="1170"/>
        <v>#N/A</v>
      </c>
    </row>
    <row r="979" spans="8:20">
      <c r="H979" s="602" t="s">
        <v>940</v>
      </c>
      <c r="L979" s="556" t="s">
        <v>1335</v>
      </c>
      <c r="M979" s="556" t="s">
        <v>974</v>
      </c>
      <c r="N979" s="616" t="e">
        <f t="shared" ref="N979:S979" si="1171">N$928+N$933+N937+N929</f>
        <v>#N/A</v>
      </c>
      <c r="O979" s="616" t="e">
        <f t="shared" si="1171"/>
        <v>#N/A</v>
      </c>
      <c r="P979" s="616" t="e">
        <f t="shared" si="1171"/>
        <v>#N/A</v>
      </c>
      <c r="Q979" s="616" t="e">
        <f t="shared" si="1171"/>
        <v>#N/A</v>
      </c>
      <c r="R979" s="616" t="e">
        <f t="shared" si="1171"/>
        <v>#N/A</v>
      </c>
      <c r="S979" s="616" t="e">
        <f t="shared" si="1171"/>
        <v>#N/A</v>
      </c>
    </row>
    <row r="980" spans="8:20">
      <c r="H980" s="602" t="s">
        <v>940</v>
      </c>
      <c r="L980" s="556" t="s">
        <v>1336</v>
      </c>
      <c r="M980" s="556" t="s">
        <v>974</v>
      </c>
      <c r="N980" s="616" t="e">
        <f t="shared" ref="N980:S980" si="1172">N$928+N$933+N942+N941</f>
        <v>#N/A</v>
      </c>
      <c r="O980" s="616" t="e">
        <f t="shared" si="1172"/>
        <v>#N/A</v>
      </c>
      <c r="P980" s="616" t="e">
        <f t="shared" si="1172"/>
        <v>#N/A</v>
      </c>
      <c r="Q980" s="616" t="e">
        <f t="shared" si="1172"/>
        <v>#N/A</v>
      </c>
      <c r="R980" s="616" t="e">
        <f t="shared" si="1172"/>
        <v>#N/A</v>
      </c>
      <c r="S980" s="616" t="e">
        <f t="shared" si="1172"/>
        <v>#N/A</v>
      </c>
    </row>
    <row r="981" spans="8:20">
      <c r="H981" s="602" t="s">
        <v>940</v>
      </c>
      <c r="L981" s="556" t="s">
        <v>1337</v>
      </c>
      <c r="M981" s="556" t="s">
        <v>974</v>
      </c>
      <c r="N981" s="616" t="e">
        <f t="shared" ref="N981:S981" si="1173">N$928+N$933+N942+N929</f>
        <v>#N/A</v>
      </c>
      <c r="O981" s="616" t="e">
        <f t="shared" si="1173"/>
        <v>#N/A</v>
      </c>
      <c r="P981" s="616" t="e">
        <f t="shared" si="1173"/>
        <v>#N/A</v>
      </c>
      <c r="Q981" s="616" t="e">
        <f t="shared" si="1173"/>
        <v>#N/A</v>
      </c>
      <c r="R981" s="616" t="e">
        <f t="shared" si="1173"/>
        <v>#N/A</v>
      </c>
      <c r="S981" s="616" t="e">
        <f t="shared" si="1173"/>
        <v>#N/A</v>
      </c>
    </row>
    <row r="982" spans="8:20">
      <c r="H982" s="602" t="s">
        <v>940</v>
      </c>
      <c r="L982" s="556" t="s">
        <v>1338</v>
      </c>
      <c r="M982" s="556" t="s">
        <v>974</v>
      </c>
      <c r="N982" s="616" t="e">
        <f t="shared" ref="N982:S982" si="1174">N$928+N$933+N930+N936</f>
        <v>#N/A</v>
      </c>
      <c r="O982" s="616" t="e">
        <f t="shared" si="1174"/>
        <v>#N/A</v>
      </c>
      <c r="P982" s="616" t="e">
        <f t="shared" si="1174"/>
        <v>#N/A</v>
      </c>
      <c r="Q982" s="616" t="e">
        <f t="shared" si="1174"/>
        <v>#N/A</v>
      </c>
      <c r="R982" s="616" t="e">
        <f t="shared" si="1174"/>
        <v>#N/A</v>
      </c>
      <c r="S982" s="616" t="e">
        <f t="shared" si="1174"/>
        <v>#N/A</v>
      </c>
    </row>
    <row r="983" spans="8:20">
      <c r="H983" s="602" t="s">
        <v>940</v>
      </c>
      <c r="L983" s="556" t="s">
        <v>1339</v>
      </c>
      <c r="M983" s="556" t="s">
        <v>974</v>
      </c>
      <c r="N983" s="616" t="e">
        <f t="shared" ref="N983:S983" si="1175">N$928+N$933+N930+N941</f>
        <v>#N/A</v>
      </c>
      <c r="O983" s="616" t="e">
        <f t="shared" si="1175"/>
        <v>#N/A</v>
      </c>
      <c r="P983" s="616" t="e">
        <f t="shared" si="1175"/>
        <v>#N/A</v>
      </c>
      <c r="Q983" s="616" t="e">
        <f t="shared" si="1175"/>
        <v>#N/A</v>
      </c>
      <c r="R983" s="616" t="e">
        <f t="shared" si="1175"/>
        <v>#N/A</v>
      </c>
      <c r="S983" s="616" t="e">
        <f t="shared" si="1175"/>
        <v>#N/A</v>
      </c>
    </row>
    <row r="984" spans="8:20">
      <c r="H984" s="602" t="s">
        <v>940</v>
      </c>
      <c r="L984" s="556" t="s">
        <v>1340</v>
      </c>
      <c r="M984" s="556" t="s">
        <v>974</v>
      </c>
      <c r="N984" s="616" t="e">
        <f t="shared" ref="N984:S984" si="1176">N$928+N$933+N930+N929</f>
        <v>#N/A</v>
      </c>
      <c r="O984" s="616" t="e">
        <f t="shared" si="1176"/>
        <v>#N/A</v>
      </c>
      <c r="P984" s="616" t="e">
        <f t="shared" si="1176"/>
        <v>#N/A</v>
      </c>
      <c r="Q984" s="616" t="e">
        <f t="shared" si="1176"/>
        <v>#N/A</v>
      </c>
      <c r="R984" s="616" t="e">
        <f t="shared" si="1176"/>
        <v>#N/A</v>
      </c>
      <c r="S984" s="616" t="e">
        <f t="shared" si="1176"/>
        <v>#N/A</v>
      </c>
    </row>
    <row r="985" spans="8:20">
      <c r="H985" s="602" t="s">
        <v>940</v>
      </c>
      <c r="L985" s="556" t="s">
        <v>1341</v>
      </c>
      <c r="M985" s="556" t="s">
        <v>974</v>
      </c>
      <c r="N985" s="616" t="e">
        <f t="shared" ref="N985:S985" si="1177">N$928+N$933+N$938+N936</f>
        <v>#N/A</v>
      </c>
      <c r="O985" s="616" t="e">
        <f t="shared" si="1177"/>
        <v>#N/A</v>
      </c>
      <c r="P985" s="616" t="e">
        <f t="shared" si="1177"/>
        <v>#N/A</v>
      </c>
      <c r="Q985" s="616" t="e">
        <f t="shared" si="1177"/>
        <v>#N/A</v>
      </c>
      <c r="R985" s="616" t="e">
        <f t="shared" si="1177"/>
        <v>#N/A</v>
      </c>
      <c r="S985" s="616" t="e">
        <f t="shared" si="1177"/>
        <v>#N/A</v>
      </c>
    </row>
    <row r="986" spans="8:20">
      <c r="H986" s="602" t="s">
        <v>940</v>
      </c>
      <c r="L986" s="556" t="s">
        <v>1342</v>
      </c>
      <c r="M986" s="556" t="s">
        <v>974</v>
      </c>
      <c r="N986" s="616" t="e">
        <f t="shared" ref="N986:S986" si="1178">N$928+N$933+N$938+N929</f>
        <v>#N/A</v>
      </c>
      <c r="O986" s="616" t="e">
        <f t="shared" si="1178"/>
        <v>#N/A</v>
      </c>
      <c r="P986" s="616" t="e">
        <f t="shared" si="1178"/>
        <v>#N/A</v>
      </c>
      <c r="Q986" s="616" t="e">
        <f t="shared" si="1178"/>
        <v>#N/A</v>
      </c>
      <c r="R986" s="616" t="e">
        <f t="shared" si="1178"/>
        <v>#N/A</v>
      </c>
      <c r="S986" s="616" t="e">
        <f t="shared" si="1178"/>
        <v>#N/A</v>
      </c>
    </row>
    <row r="987" spans="8:20">
      <c r="H987" s="602" t="s">
        <v>940</v>
      </c>
      <c r="L987" s="556" t="s">
        <v>1343</v>
      </c>
      <c r="M987" s="556" t="s">
        <v>974</v>
      </c>
      <c r="N987" s="616" t="e">
        <f t="shared" ref="N987:S987" si="1179">N$928+N$933+N$938+N937+N936</f>
        <v>#N/A</v>
      </c>
      <c r="O987" s="616" t="e">
        <f t="shared" si="1179"/>
        <v>#N/A</v>
      </c>
      <c r="P987" s="616" t="e">
        <f t="shared" si="1179"/>
        <v>#N/A</v>
      </c>
      <c r="Q987" s="616" t="e">
        <f t="shared" si="1179"/>
        <v>#N/A</v>
      </c>
      <c r="R987" s="616" t="e">
        <f t="shared" si="1179"/>
        <v>#N/A</v>
      </c>
      <c r="S987" s="616" t="e">
        <f t="shared" si="1179"/>
        <v>#N/A</v>
      </c>
      <c r="T987" s="681" t="s">
        <v>1201</v>
      </c>
    </row>
    <row r="988" spans="8:20">
      <c r="H988" s="602" t="s">
        <v>940</v>
      </c>
      <c r="L988" s="556" t="s">
        <v>1344</v>
      </c>
      <c r="M988" s="556" t="s">
        <v>974</v>
      </c>
      <c r="N988" s="616" t="e">
        <f t="shared" ref="N988:S988" si="1180">N$928+N$933+N$938+N937+N929</f>
        <v>#N/A</v>
      </c>
      <c r="O988" s="616" t="e">
        <f t="shared" si="1180"/>
        <v>#N/A</v>
      </c>
      <c r="P988" s="616" t="e">
        <f t="shared" si="1180"/>
        <v>#N/A</v>
      </c>
      <c r="Q988" s="616" t="e">
        <f t="shared" si="1180"/>
        <v>#N/A</v>
      </c>
      <c r="R988" s="616" t="e">
        <f t="shared" si="1180"/>
        <v>#N/A</v>
      </c>
      <c r="S988" s="616" t="e">
        <f t="shared" si="1180"/>
        <v>#N/A</v>
      </c>
    </row>
    <row r="989" spans="8:20">
      <c r="H989" s="602" t="s">
        <v>940</v>
      </c>
      <c r="L989" s="556" t="s">
        <v>1345</v>
      </c>
      <c r="M989" s="556" t="s">
        <v>974</v>
      </c>
      <c r="N989" s="616" t="e">
        <f t="shared" ref="N989:S989" si="1181">N$928+N$933+N$938+N930+N936</f>
        <v>#N/A</v>
      </c>
      <c r="O989" s="616" t="e">
        <f t="shared" si="1181"/>
        <v>#N/A</v>
      </c>
      <c r="P989" s="616" t="e">
        <f t="shared" si="1181"/>
        <v>#N/A</v>
      </c>
      <c r="Q989" s="616" t="e">
        <f t="shared" si="1181"/>
        <v>#N/A</v>
      </c>
      <c r="R989" s="616" t="e">
        <f t="shared" si="1181"/>
        <v>#N/A</v>
      </c>
      <c r="S989" s="616" t="e">
        <f t="shared" si="1181"/>
        <v>#N/A</v>
      </c>
    </row>
    <row r="990" spans="8:20">
      <c r="H990" s="602" t="s">
        <v>940</v>
      </c>
      <c r="L990" s="556" t="s">
        <v>1346</v>
      </c>
      <c r="M990" s="556" t="s">
        <v>974</v>
      </c>
      <c r="N990" s="616" t="e">
        <f t="shared" ref="N990:S990" si="1182">N$928+N$933+N$938+N930+N929</f>
        <v>#N/A</v>
      </c>
      <c r="O990" s="616" t="e">
        <f t="shared" si="1182"/>
        <v>#N/A</v>
      </c>
      <c r="P990" s="616" t="e">
        <f t="shared" si="1182"/>
        <v>#N/A</v>
      </c>
      <c r="Q990" s="616" t="e">
        <f t="shared" si="1182"/>
        <v>#N/A</v>
      </c>
      <c r="R990" s="616" t="e">
        <f t="shared" si="1182"/>
        <v>#N/A</v>
      </c>
      <c r="S990" s="616" t="e">
        <f t="shared" si="1182"/>
        <v>#N/A</v>
      </c>
    </row>
    <row r="991" spans="8:20">
      <c r="H991" s="602" t="s">
        <v>940</v>
      </c>
      <c r="L991" s="556" t="s">
        <v>1347</v>
      </c>
      <c r="M991" s="556" t="s">
        <v>974</v>
      </c>
      <c r="N991" s="616" t="e">
        <f t="shared" ref="N991:S991" si="1183">N$928+N$933+N$943+N941</f>
        <v>#N/A</v>
      </c>
      <c r="O991" s="616" t="e">
        <f t="shared" si="1183"/>
        <v>#N/A</v>
      </c>
      <c r="P991" s="616" t="e">
        <f t="shared" si="1183"/>
        <v>#N/A</v>
      </c>
      <c r="Q991" s="616" t="e">
        <f t="shared" si="1183"/>
        <v>#N/A</v>
      </c>
      <c r="R991" s="616" t="e">
        <f t="shared" si="1183"/>
        <v>#N/A</v>
      </c>
      <c r="S991" s="616" t="e">
        <f t="shared" si="1183"/>
        <v>#N/A</v>
      </c>
    </row>
    <row r="992" spans="8:20">
      <c r="H992" s="602" t="s">
        <v>940</v>
      </c>
      <c r="L992" s="556" t="s">
        <v>1348</v>
      </c>
      <c r="M992" s="556" t="s">
        <v>974</v>
      </c>
      <c r="N992" s="616" t="e">
        <f t="shared" ref="N992:S992" si="1184">N$928+N$933+N$943+N929</f>
        <v>#N/A</v>
      </c>
      <c r="O992" s="616" t="e">
        <f t="shared" si="1184"/>
        <v>#N/A</v>
      </c>
      <c r="P992" s="616" t="e">
        <f t="shared" si="1184"/>
        <v>#N/A</v>
      </c>
      <c r="Q992" s="616" t="e">
        <f t="shared" si="1184"/>
        <v>#N/A</v>
      </c>
      <c r="R992" s="616" t="e">
        <f t="shared" si="1184"/>
        <v>#N/A</v>
      </c>
      <c r="S992" s="616" t="e">
        <f t="shared" si="1184"/>
        <v>#N/A</v>
      </c>
    </row>
    <row r="993" spans="8:19">
      <c r="H993" s="602" t="s">
        <v>940</v>
      </c>
      <c r="L993" s="556" t="s">
        <v>1349</v>
      </c>
      <c r="M993" s="556" t="s">
        <v>974</v>
      </c>
      <c r="N993" s="616" t="e">
        <f t="shared" ref="N993:S993" si="1185">N$928+N$933+N$943+N942+N941</f>
        <v>#N/A</v>
      </c>
      <c r="O993" s="616" t="e">
        <f t="shared" si="1185"/>
        <v>#N/A</v>
      </c>
      <c r="P993" s="616" t="e">
        <f t="shared" si="1185"/>
        <v>#N/A</v>
      </c>
      <c r="Q993" s="616" t="e">
        <f t="shared" si="1185"/>
        <v>#N/A</v>
      </c>
      <c r="R993" s="616" t="e">
        <f t="shared" si="1185"/>
        <v>#N/A</v>
      </c>
      <c r="S993" s="616" t="e">
        <f t="shared" si="1185"/>
        <v>#N/A</v>
      </c>
    </row>
    <row r="994" spans="8:19">
      <c r="H994" s="602" t="s">
        <v>940</v>
      </c>
      <c r="L994" s="556" t="s">
        <v>1350</v>
      </c>
      <c r="M994" s="556" t="s">
        <v>974</v>
      </c>
      <c r="N994" s="616" t="e">
        <f t="shared" ref="N994:S994" si="1186">N$928+N$933+N$943+N942+N929</f>
        <v>#N/A</v>
      </c>
      <c r="O994" s="616" t="e">
        <f t="shared" si="1186"/>
        <v>#N/A</v>
      </c>
      <c r="P994" s="616" t="e">
        <f t="shared" si="1186"/>
        <v>#N/A</v>
      </c>
      <c r="Q994" s="616" t="e">
        <f t="shared" si="1186"/>
        <v>#N/A</v>
      </c>
      <c r="R994" s="616" t="e">
        <f t="shared" si="1186"/>
        <v>#N/A</v>
      </c>
      <c r="S994" s="616" t="e">
        <f t="shared" si="1186"/>
        <v>#N/A</v>
      </c>
    </row>
    <row r="995" spans="8:19">
      <c r="H995" s="602" t="s">
        <v>940</v>
      </c>
      <c r="L995" s="556" t="s">
        <v>1351</v>
      </c>
      <c r="M995" s="556" t="s">
        <v>974</v>
      </c>
      <c r="N995" s="616" t="e">
        <f t="shared" ref="N995:S995" si="1187">N$928+N$933+N$943+N930+N941</f>
        <v>#N/A</v>
      </c>
      <c r="O995" s="616" t="e">
        <f t="shared" si="1187"/>
        <v>#N/A</v>
      </c>
      <c r="P995" s="616" t="e">
        <f t="shared" si="1187"/>
        <v>#N/A</v>
      </c>
      <c r="Q995" s="616" t="e">
        <f t="shared" si="1187"/>
        <v>#N/A</v>
      </c>
      <c r="R995" s="616" t="e">
        <f t="shared" si="1187"/>
        <v>#N/A</v>
      </c>
      <c r="S995" s="616" t="e">
        <f t="shared" si="1187"/>
        <v>#N/A</v>
      </c>
    </row>
    <row r="996" spans="8:19">
      <c r="H996" s="602" t="s">
        <v>940</v>
      </c>
      <c r="L996" s="556" t="s">
        <v>1352</v>
      </c>
      <c r="M996" s="556" t="s">
        <v>974</v>
      </c>
      <c r="N996" s="616" t="e">
        <f t="shared" ref="N996:S996" si="1188">N$928+N$933+N$943+N930+N929</f>
        <v>#N/A</v>
      </c>
      <c r="O996" s="616" t="e">
        <f t="shared" si="1188"/>
        <v>#N/A</v>
      </c>
      <c r="P996" s="616" t="e">
        <f t="shared" si="1188"/>
        <v>#N/A</v>
      </c>
      <c r="Q996" s="616" t="e">
        <f t="shared" si="1188"/>
        <v>#N/A</v>
      </c>
      <c r="R996" s="616" t="e">
        <f t="shared" si="1188"/>
        <v>#N/A</v>
      </c>
      <c r="S996" s="616" t="e">
        <f t="shared" si="1188"/>
        <v>#N/A</v>
      </c>
    </row>
    <row r="997" spans="8:19">
      <c r="H997" s="602" t="s">
        <v>940</v>
      </c>
      <c r="L997" s="556" t="s">
        <v>1353</v>
      </c>
      <c r="M997" s="556" t="s">
        <v>974</v>
      </c>
      <c r="N997" s="616" t="e">
        <f t="shared" ref="N997:S997" si="1189">N$928+N$933+N$931+N936</f>
        <v>#N/A</v>
      </c>
      <c r="O997" s="616" t="e">
        <f t="shared" si="1189"/>
        <v>#N/A</v>
      </c>
      <c r="P997" s="616" t="e">
        <f t="shared" si="1189"/>
        <v>#N/A</v>
      </c>
      <c r="Q997" s="616" t="e">
        <f t="shared" si="1189"/>
        <v>#N/A</v>
      </c>
      <c r="R997" s="616" t="e">
        <f t="shared" si="1189"/>
        <v>#N/A</v>
      </c>
      <c r="S997" s="616" t="e">
        <f t="shared" si="1189"/>
        <v>#N/A</v>
      </c>
    </row>
    <row r="998" spans="8:19">
      <c r="H998" s="602" t="s">
        <v>940</v>
      </c>
      <c r="L998" s="556" t="s">
        <v>1354</v>
      </c>
      <c r="M998" s="556" t="s">
        <v>974</v>
      </c>
      <c r="N998" s="616" t="e">
        <f t="shared" ref="N998:S998" si="1190">N$928+N$933+N$931+N941</f>
        <v>#N/A</v>
      </c>
      <c r="O998" s="616" t="e">
        <f t="shared" si="1190"/>
        <v>#N/A</v>
      </c>
      <c r="P998" s="616" t="e">
        <f t="shared" si="1190"/>
        <v>#N/A</v>
      </c>
      <c r="Q998" s="616" t="e">
        <f t="shared" si="1190"/>
        <v>#N/A</v>
      </c>
      <c r="R998" s="616" t="e">
        <f t="shared" si="1190"/>
        <v>#N/A</v>
      </c>
      <c r="S998" s="616" t="e">
        <f t="shared" si="1190"/>
        <v>#N/A</v>
      </c>
    </row>
    <row r="999" spans="8:19">
      <c r="H999" s="602" t="s">
        <v>940</v>
      </c>
      <c r="L999" s="556" t="s">
        <v>1355</v>
      </c>
      <c r="M999" s="556" t="s">
        <v>974</v>
      </c>
      <c r="N999" s="616" t="e">
        <f t="shared" ref="N999:S999" si="1191">N$928+N$933+N$931+N929</f>
        <v>#N/A</v>
      </c>
      <c r="O999" s="616" t="e">
        <f t="shared" si="1191"/>
        <v>#N/A</v>
      </c>
      <c r="P999" s="616" t="e">
        <f t="shared" si="1191"/>
        <v>#N/A</v>
      </c>
      <c r="Q999" s="616" t="e">
        <f t="shared" si="1191"/>
        <v>#N/A</v>
      </c>
      <c r="R999" s="616" t="e">
        <f t="shared" si="1191"/>
        <v>#N/A</v>
      </c>
      <c r="S999" s="616" t="e">
        <f t="shared" si="1191"/>
        <v>#N/A</v>
      </c>
    </row>
    <row r="1000" spans="8:19">
      <c r="H1000" s="602" t="s">
        <v>940</v>
      </c>
      <c r="L1000" s="556" t="s">
        <v>1356</v>
      </c>
      <c r="M1000" s="556" t="s">
        <v>974</v>
      </c>
      <c r="N1000" s="616" t="e">
        <f t="shared" ref="N1000:S1000" si="1192">N$928+N$933+N$931+N937+N936</f>
        <v>#N/A</v>
      </c>
      <c r="O1000" s="616" t="e">
        <f t="shared" si="1192"/>
        <v>#N/A</v>
      </c>
      <c r="P1000" s="616" t="e">
        <f t="shared" si="1192"/>
        <v>#N/A</v>
      </c>
      <c r="Q1000" s="616" t="e">
        <f t="shared" si="1192"/>
        <v>#N/A</v>
      </c>
      <c r="R1000" s="616" t="e">
        <f t="shared" si="1192"/>
        <v>#N/A</v>
      </c>
      <c r="S1000" s="616" t="e">
        <f t="shared" si="1192"/>
        <v>#N/A</v>
      </c>
    </row>
    <row r="1001" spans="8:19">
      <c r="H1001" s="602" t="s">
        <v>940</v>
      </c>
      <c r="L1001" s="556" t="s">
        <v>1357</v>
      </c>
      <c r="M1001" s="556" t="s">
        <v>974</v>
      </c>
      <c r="N1001" s="616" t="e">
        <f t="shared" ref="N1001:S1001" si="1193">N$928+N$933+N$931+N937+N929</f>
        <v>#N/A</v>
      </c>
      <c r="O1001" s="616" t="e">
        <f t="shared" si="1193"/>
        <v>#N/A</v>
      </c>
      <c r="P1001" s="616" t="e">
        <f t="shared" si="1193"/>
        <v>#N/A</v>
      </c>
      <c r="Q1001" s="616" t="e">
        <f t="shared" si="1193"/>
        <v>#N/A</v>
      </c>
      <c r="R1001" s="616" t="e">
        <f t="shared" si="1193"/>
        <v>#N/A</v>
      </c>
      <c r="S1001" s="616" t="e">
        <f t="shared" si="1193"/>
        <v>#N/A</v>
      </c>
    </row>
    <row r="1002" spans="8:19">
      <c r="H1002" s="602" t="s">
        <v>940</v>
      </c>
      <c r="L1002" s="556" t="s">
        <v>1358</v>
      </c>
      <c r="M1002" s="556" t="s">
        <v>974</v>
      </c>
      <c r="N1002" s="616" t="e">
        <f t="shared" ref="N1002:S1002" si="1194">N$928+N$933+N$931+N942+N941</f>
        <v>#N/A</v>
      </c>
      <c r="O1002" s="616" t="e">
        <f t="shared" si="1194"/>
        <v>#N/A</v>
      </c>
      <c r="P1002" s="616" t="e">
        <f t="shared" si="1194"/>
        <v>#N/A</v>
      </c>
      <c r="Q1002" s="616" t="e">
        <f t="shared" si="1194"/>
        <v>#N/A</v>
      </c>
      <c r="R1002" s="616" t="e">
        <f t="shared" si="1194"/>
        <v>#N/A</v>
      </c>
      <c r="S1002" s="616" t="e">
        <f t="shared" si="1194"/>
        <v>#N/A</v>
      </c>
    </row>
    <row r="1003" spans="8:19">
      <c r="H1003" s="602" t="s">
        <v>940</v>
      </c>
      <c r="L1003" s="556" t="s">
        <v>1359</v>
      </c>
      <c r="M1003" s="556" t="s">
        <v>974</v>
      </c>
      <c r="N1003" s="616" t="e">
        <f t="shared" ref="N1003:S1003" si="1195">N$928+N$933+N$931+N942+N929</f>
        <v>#N/A</v>
      </c>
      <c r="O1003" s="616" t="e">
        <f t="shared" si="1195"/>
        <v>#N/A</v>
      </c>
      <c r="P1003" s="616" t="e">
        <f t="shared" si="1195"/>
        <v>#N/A</v>
      </c>
      <c r="Q1003" s="616" t="e">
        <f t="shared" si="1195"/>
        <v>#N/A</v>
      </c>
      <c r="R1003" s="616" t="e">
        <f t="shared" si="1195"/>
        <v>#N/A</v>
      </c>
      <c r="S1003" s="616" t="e">
        <f t="shared" si="1195"/>
        <v>#N/A</v>
      </c>
    </row>
    <row r="1004" spans="8:19">
      <c r="H1004" s="602" t="s">
        <v>940</v>
      </c>
      <c r="L1004" s="556" t="s">
        <v>1360</v>
      </c>
      <c r="M1004" s="556" t="s">
        <v>974</v>
      </c>
      <c r="N1004" s="616" t="e">
        <f t="shared" ref="N1004:S1004" si="1196">N$928+N$933+N$931+N930+N936</f>
        <v>#N/A</v>
      </c>
      <c r="O1004" s="616" t="e">
        <f t="shared" si="1196"/>
        <v>#N/A</v>
      </c>
      <c r="P1004" s="616" t="e">
        <f t="shared" si="1196"/>
        <v>#N/A</v>
      </c>
      <c r="Q1004" s="616" t="e">
        <f t="shared" si="1196"/>
        <v>#N/A</v>
      </c>
      <c r="R1004" s="616" t="e">
        <f t="shared" si="1196"/>
        <v>#N/A</v>
      </c>
      <c r="S1004" s="616" t="e">
        <f t="shared" si="1196"/>
        <v>#N/A</v>
      </c>
    </row>
    <row r="1005" spans="8:19">
      <c r="H1005" s="602" t="s">
        <v>940</v>
      </c>
      <c r="L1005" s="556" t="s">
        <v>1361</v>
      </c>
      <c r="M1005" s="556" t="s">
        <v>974</v>
      </c>
      <c r="N1005" s="616" t="e">
        <f t="shared" ref="N1005:S1005" si="1197">N$928+N$933+N$931+N930+N941</f>
        <v>#N/A</v>
      </c>
      <c r="O1005" s="616" t="e">
        <f t="shared" si="1197"/>
        <v>#N/A</v>
      </c>
      <c r="P1005" s="616" t="e">
        <f t="shared" si="1197"/>
        <v>#N/A</v>
      </c>
      <c r="Q1005" s="616" t="e">
        <f t="shared" si="1197"/>
        <v>#N/A</v>
      </c>
      <c r="R1005" s="616" t="e">
        <f t="shared" si="1197"/>
        <v>#N/A</v>
      </c>
      <c r="S1005" s="616" t="e">
        <f t="shared" si="1197"/>
        <v>#N/A</v>
      </c>
    </row>
    <row r="1006" spans="8:19">
      <c r="H1006" s="602" t="s">
        <v>940</v>
      </c>
      <c r="L1006" s="556" t="s">
        <v>1362</v>
      </c>
      <c r="M1006" s="556" t="s">
        <v>974</v>
      </c>
      <c r="N1006" s="616" t="e">
        <f t="shared" ref="N1006:S1006" si="1198">N$928+N$933+N$931+N930+N929</f>
        <v>#N/A</v>
      </c>
      <c r="O1006" s="616" t="e">
        <f t="shared" si="1198"/>
        <v>#N/A</v>
      </c>
      <c r="P1006" s="616" t="e">
        <f t="shared" si="1198"/>
        <v>#N/A</v>
      </c>
      <c r="Q1006" s="616" t="e">
        <f t="shared" si="1198"/>
        <v>#N/A</v>
      </c>
      <c r="R1006" s="616" t="e">
        <f t="shared" si="1198"/>
        <v>#N/A</v>
      </c>
      <c r="S1006" s="616" t="e">
        <f t="shared" si="1198"/>
        <v>#N/A</v>
      </c>
    </row>
    <row r="1007" spans="8:19">
      <c r="H1007" s="602" t="s">
        <v>940</v>
      </c>
    </row>
    <row r="1008" spans="8:19" ht="18">
      <c r="H1008" s="602" t="s">
        <v>940</v>
      </c>
      <c r="L1008" s="652" t="s">
        <v>1363</v>
      </c>
      <c r="M1008" s="551"/>
      <c r="N1008" s="551"/>
      <c r="O1008" s="551"/>
      <c r="P1008" s="551"/>
      <c r="Q1008" s="551"/>
      <c r="R1008" s="551"/>
      <c r="S1008" s="551"/>
    </row>
    <row r="1009" spans="8:19">
      <c r="H1009" s="602" t="s">
        <v>940</v>
      </c>
    </row>
    <row r="1010" spans="8:19">
      <c r="H1010" s="602" t="s">
        <v>940</v>
      </c>
      <c r="L1010" s="609" t="s">
        <v>1364</v>
      </c>
      <c r="M1010" s="609" t="s">
        <v>359</v>
      </c>
      <c r="N1010" s="704" t="s">
        <v>929</v>
      </c>
      <c r="O1010" s="704" t="s">
        <v>1193</v>
      </c>
      <c r="P1010" s="704" t="s">
        <v>1194</v>
      </c>
      <c r="Q1010" s="704" t="s">
        <v>1195</v>
      </c>
      <c r="R1010" s="704" t="s">
        <v>1196</v>
      </c>
      <c r="S1010" s="704" t="s">
        <v>1197</v>
      </c>
    </row>
    <row r="1011" spans="8:19">
      <c r="H1011" s="602" t="s">
        <v>940</v>
      </c>
    </row>
    <row r="1012" spans="8:19">
      <c r="H1012" s="602" t="s">
        <v>940</v>
      </c>
      <c r="L1012" s="556" t="s">
        <v>1365</v>
      </c>
      <c r="M1012" s="556" t="s">
        <v>974</v>
      </c>
      <c r="N1012" s="556">
        <v>0</v>
      </c>
      <c r="O1012" s="556">
        <v>0</v>
      </c>
      <c r="P1012" s="556">
        <v>0</v>
      </c>
      <c r="Q1012" s="556">
        <v>0</v>
      </c>
      <c r="R1012" s="556">
        <v>0</v>
      </c>
      <c r="S1012" s="556">
        <v>0</v>
      </c>
    </row>
    <row r="1013" spans="8:19">
      <c r="H1013" s="602" t="s">
        <v>940</v>
      </c>
      <c r="L1013" s="556" t="s">
        <v>1366</v>
      </c>
      <c r="M1013" s="556" t="s">
        <v>974</v>
      </c>
      <c r="N1013" s="556">
        <f t="shared" ref="N1013:S1013" si="1199">N968</f>
        <v>0</v>
      </c>
      <c r="O1013" s="556">
        <f t="shared" si="1199"/>
        <v>0</v>
      </c>
      <c r="P1013" s="556">
        <f t="shared" si="1199"/>
        <v>0</v>
      </c>
      <c r="Q1013" s="556">
        <f t="shared" si="1199"/>
        <v>0</v>
      </c>
      <c r="R1013" s="556">
        <f t="shared" si="1199"/>
        <v>0</v>
      </c>
      <c r="S1013" s="556">
        <f t="shared" si="1199"/>
        <v>0</v>
      </c>
    </row>
    <row r="1014" spans="8:19">
      <c r="H1014" s="602" t="s">
        <v>940</v>
      </c>
      <c r="L1014" s="556" t="s">
        <v>1367</v>
      </c>
      <c r="M1014" s="556" t="s">
        <v>974</v>
      </c>
      <c r="N1014" s="556">
        <f t="shared" ref="N1014:S1014" si="1200">N967</f>
        <v>0</v>
      </c>
      <c r="O1014" s="556">
        <f t="shared" si="1200"/>
        <v>0</v>
      </c>
      <c r="P1014" s="556">
        <f t="shared" si="1200"/>
        <v>0</v>
      </c>
      <c r="Q1014" s="556">
        <f t="shared" si="1200"/>
        <v>0</v>
      </c>
      <c r="R1014" s="556">
        <f t="shared" si="1200"/>
        <v>0</v>
      </c>
      <c r="S1014" s="556">
        <f t="shared" si="1200"/>
        <v>0</v>
      </c>
    </row>
    <row r="1015" spans="8:19">
      <c r="H1015" s="602" t="s">
        <v>940</v>
      </c>
      <c r="L1015" s="556" t="s">
        <v>1368</v>
      </c>
      <c r="M1015" s="556" t="s">
        <v>974</v>
      </c>
      <c r="N1015" s="556">
        <f t="shared" ref="N1015:S1015" si="1201">N967+N968</f>
        <v>0</v>
      </c>
      <c r="O1015" s="556">
        <f t="shared" si="1201"/>
        <v>0</v>
      </c>
      <c r="P1015" s="556">
        <f t="shared" si="1201"/>
        <v>0</v>
      </c>
      <c r="Q1015" s="556">
        <f t="shared" si="1201"/>
        <v>0</v>
      </c>
      <c r="R1015" s="556">
        <f t="shared" si="1201"/>
        <v>0</v>
      </c>
      <c r="S1015" s="556">
        <f t="shared" si="1201"/>
        <v>0</v>
      </c>
    </row>
    <row r="1016" spans="8:19">
      <c r="H1016" s="602" t="s">
        <v>940</v>
      </c>
      <c r="L1016" s="556" t="s">
        <v>1369</v>
      </c>
      <c r="M1016" s="556" t="s">
        <v>974</v>
      </c>
      <c r="N1016" s="556">
        <f t="shared" ref="N1016:S1016" si="1202">N966</f>
        <v>0</v>
      </c>
      <c r="O1016" s="556">
        <f t="shared" si="1202"/>
        <v>0</v>
      </c>
      <c r="P1016" s="556">
        <f t="shared" si="1202"/>
        <v>0</v>
      </c>
      <c r="Q1016" s="556">
        <f t="shared" si="1202"/>
        <v>0</v>
      </c>
      <c r="R1016" s="556">
        <f t="shared" si="1202"/>
        <v>0</v>
      </c>
      <c r="S1016" s="556">
        <f t="shared" si="1202"/>
        <v>0</v>
      </c>
    </row>
    <row r="1017" spans="8:19">
      <c r="H1017" s="602" t="s">
        <v>940</v>
      </c>
      <c r="L1017" s="556" t="s">
        <v>1370</v>
      </c>
      <c r="M1017" s="556" t="s">
        <v>974</v>
      </c>
      <c r="N1017" s="556">
        <f t="shared" ref="N1017:S1017" si="1203">N966+N968</f>
        <v>0</v>
      </c>
      <c r="O1017" s="556">
        <f t="shared" si="1203"/>
        <v>0</v>
      </c>
      <c r="P1017" s="556">
        <f t="shared" si="1203"/>
        <v>0</v>
      </c>
      <c r="Q1017" s="556">
        <f t="shared" si="1203"/>
        <v>0</v>
      </c>
      <c r="R1017" s="556">
        <f t="shared" si="1203"/>
        <v>0</v>
      </c>
      <c r="S1017" s="556">
        <f t="shared" si="1203"/>
        <v>0</v>
      </c>
    </row>
    <row r="1018" spans="8:19">
      <c r="H1018" s="602" t="s">
        <v>940</v>
      </c>
      <c r="L1018" s="556" t="s">
        <v>1371</v>
      </c>
      <c r="M1018" s="556" t="s">
        <v>974</v>
      </c>
      <c r="N1018" s="556">
        <f t="shared" ref="N1018:S1018" si="1204">N966+N967</f>
        <v>0</v>
      </c>
      <c r="O1018" s="556">
        <f t="shared" si="1204"/>
        <v>0</v>
      </c>
      <c r="P1018" s="556">
        <f t="shared" si="1204"/>
        <v>0</v>
      </c>
      <c r="Q1018" s="556">
        <f t="shared" si="1204"/>
        <v>0</v>
      </c>
      <c r="R1018" s="556">
        <f t="shared" si="1204"/>
        <v>0</v>
      </c>
      <c r="S1018" s="556">
        <f t="shared" si="1204"/>
        <v>0</v>
      </c>
    </row>
    <row r="1019" spans="8:19">
      <c r="H1019" s="602" t="s">
        <v>940</v>
      </c>
      <c r="L1019" s="556" t="s">
        <v>1372</v>
      </c>
      <c r="M1019" s="556" t="s">
        <v>974</v>
      </c>
      <c r="N1019" s="556">
        <f t="shared" ref="N1019:S1019" si="1205">N966+N967+N968</f>
        <v>0</v>
      </c>
      <c r="O1019" s="556">
        <f t="shared" si="1205"/>
        <v>0</v>
      </c>
      <c r="P1019" s="556">
        <f t="shared" si="1205"/>
        <v>0</v>
      </c>
      <c r="Q1019" s="556">
        <f t="shared" si="1205"/>
        <v>0</v>
      </c>
      <c r="R1019" s="556">
        <f t="shared" si="1205"/>
        <v>0</v>
      </c>
      <c r="S1019" s="556">
        <f t="shared" si="1205"/>
        <v>0</v>
      </c>
    </row>
    <row r="1020" spans="8:19">
      <c r="H1020" s="602" t="s">
        <v>940</v>
      </c>
      <c r="L1020" s="556" t="s">
        <v>1373</v>
      </c>
      <c r="M1020" s="556" t="s">
        <v>974</v>
      </c>
      <c r="N1020" s="616" t="e">
        <f t="shared" ref="N1020:S1020" si="1206">N965</f>
        <v>#N/A</v>
      </c>
      <c r="O1020" s="616" t="e">
        <f t="shared" si="1206"/>
        <v>#N/A</v>
      </c>
      <c r="P1020" s="616" t="e">
        <f t="shared" si="1206"/>
        <v>#N/A</v>
      </c>
      <c r="Q1020" s="616" t="e">
        <f t="shared" si="1206"/>
        <v>#N/A</v>
      </c>
      <c r="R1020" s="616" t="e">
        <f t="shared" si="1206"/>
        <v>#N/A</v>
      </c>
      <c r="S1020" s="616" t="e">
        <f t="shared" si="1206"/>
        <v>#N/A</v>
      </c>
    </row>
    <row r="1021" spans="8:19">
      <c r="H1021" s="602" t="s">
        <v>940</v>
      </c>
      <c r="L1021" s="556" t="s">
        <v>1374</v>
      </c>
      <c r="M1021" s="556" t="s">
        <v>974</v>
      </c>
      <c r="N1021" s="616" t="e">
        <f t="shared" ref="N1021:S1021" si="1207">N965+N968</f>
        <v>#N/A</v>
      </c>
      <c r="O1021" s="616" t="e">
        <f t="shared" si="1207"/>
        <v>#N/A</v>
      </c>
      <c r="P1021" s="616" t="e">
        <f t="shared" si="1207"/>
        <v>#N/A</v>
      </c>
      <c r="Q1021" s="616" t="e">
        <f t="shared" si="1207"/>
        <v>#N/A</v>
      </c>
      <c r="R1021" s="616" t="e">
        <f t="shared" si="1207"/>
        <v>#N/A</v>
      </c>
      <c r="S1021" s="616" t="e">
        <f t="shared" si="1207"/>
        <v>#N/A</v>
      </c>
    </row>
    <row r="1022" spans="8:19">
      <c r="H1022" s="602" t="s">
        <v>940</v>
      </c>
      <c r="L1022" s="556" t="s">
        <v>1375</v>
      </c>
      <c r="M1022" s="556" t="s">
        <v>974</v>
      </c>
      <c r="N1022" s="616" t="e">
        <f t="shared" ref="N1022:S1022" si="1208">N965+N967</f>
        <v>#N/A</v>
      </c>
      <c r="O1022" s="616" t="e">
        <f t="shared" si="1208"/>
        <v>#N/A</v>
      </c>
      <c r="P1022" s="616" t="e">
        <f t="shared" si="1208"/>
        <v>#N/A</v>
      </c>
      <c r="Q1022" s="616" t="e">
        <f t="shared" si="1208"/>
        <v>#N/A</v>
      </c>
      <c r="R1022" s="616" t="e">
        <f t="shared" si="1208"/>
        <v>#N/A</v>
      </c>
      <c r="S1022" s="616" t="e">
        <f t="shared" si="1208"/>
        <v>#N/A</v>
      </c>
    </row>
    <row r="1023" spans="8:19">
      <c r="H1023" s="602" t="s">
        <v>940</v>
      </c>
      <c r="L1023" s="556" t="s">
        <v>1376</v>
      </c>
      <c r="M1023" s="556" t="s">
        <v>974</v>
      </c>
      <c r="N1023" s="616" t="e">
        <f t="shared" ref="N1023:S1023" si="1209">N965+N967+N968</f>
        <v>#N/A</v>
      </c>
      <c r="O1023" s="616" t="e">
        <f t="shared" si="1209"/>
        <v>#N/A</v>
      </c>
      <c r="P1023" s="616" t="e">
        <f t="shared" si="1209"/>
        <v>#N/A</v>
      </c>
      <c r="Q1023" s="616" t="e">
        <f t="shared" si="1209"/>
        <v>#N/A</v>
      </c>
      <c r="R1023" s="616" t="e">
        <f t="shared" si="1209"/>
        <v>#N/A</v>
      </c>
      <c r="S1023" s="616" t="e">
        <f t="shared" si="1209"/>
        <v>#N/A</v>
      </c>
    </row>
    <row r="1024" spans="8:19">
      <c r="H1024" s="602" t="s">
        <v>940</v>
      </c>
      <c r="L1024" s="556" t="s">
        <v>1377</v>
      </c>
      <c r="M1024" s="556" t="s">
        <v>974</v>
      </c>
      <c r="N1024" s="616" t="e">
        <f t="shared" ref="N1024:S1024" si="1210">N965+N966</f>
        <v>#N/A</v>
      </c>
      <c r="O1024" s="616" t="e">
        <f t="shared" si="1210"/>
        <v>#N/A</v>
      </c>
      <c r="P1024" s="616" t="e">
        <f t="shared" si="1210"/>
        <v>#N/A</v>
      </c>
      <c r="Q1024" s="616" t="e">
        <f t="shared" si="1210"/>
        <v>#N/A</v>
      </c>
      <c r="R1024" s="616" t="e">
        <f t="shared" si="1210"/>
        <v>#N/A</v>
      </c>
      <c r="S1024" s="616" t="e">
        <f t="shared" si="1210"/>
        <v>#N/A</v>
      </c>
    </row>
    <row r="1025" spans="8:19">
      <c r="H1025" s="602" t="s">
        <v>940</v>
      </c>
      <c r="L1025" s="556" t="s">
        <v>1378</v>
      </c>
      <c r="M1025" s="556" t="s">
        <v>974</v>
      </c>
      <c r="N1025" s="616" t="e">
        <f t="shared" ref="N1025:S1025" si="1211">N965+N966+N968</f>
        <v>#N/A</v>
      </c>
      <c r="O1025" s="616" t="e">
        <f t="shared" si="1211"/>
        <v>#N/A</v>
      </c>
      <c r="P1025" s="616" t="e">
        <f t="shared" si="1211"/>
        <v>#N/A</v>
      </c>
      <c r="Q1025" s="616" t="e">
        <f t="shared" si="1211"/>
        <v>#N/A</v>
      </c>
      <c r="R1025" s="616" t="e">
        <f t="shared" si="1211"/>
        <v>#N/A</v>
      </c>
      <c r="S1025" s="616" t="e">
        <f t="shared" si="1211"/>
        <v>#N/A</v>
      </c>
    </row>
    <row r="1026" spans="8:19">
      <c r="H1026" s="602" t="s">
        <v>940</v>
      </c>
      <c r="L1026" s="556" t="s">
        <v>1379</v>
      </c>
      <c r="M1026" s="556" t="s">
        <v>974</v>
      </c>
      <c r="N1026" s="616" t="e">
        <f t="shared" ref="N1026:S1026" si="1212">N965+N966+N967</f>
        <v>#N/A</v>
      </c>
      <c r="O1026" s="616" t="e">
        <f t="shared" si="1212"/>
        <v>#N/A</v>
      </c>
      <c r="P1026" s="616" t="e">
        <f t="shared" si="1212"/>
        <v>#N/A</v>
      </c>
      <c r="Q1026" s="616" t="e">
        <f t="shared" si="1212"/>
        <v>#N/A</v>
      </c>
      <c r="R1026" s="616" t="e">
        <f t="shared" si="1212"/>
        <v>#N/A</v>
      </c>
      <c r="S1026" s="616" t="e">
        <f t="shared" si="1212"/>
        <v>#N/A</v>
      </c>
    </row>
    <row r="1027" spans="8:19">
      <c r="H1027" s="602" t="s">
        <v>940</v>
      </c>
      <c r="L1027" s="556" t="s">
        <v>1380</v>
      </c>
      <c r="M1027" s="556" t="s">
        <v>974</v>
      </c>
      <c r="N1027" s="616" t="e">
        <f t="shared" ref="N1027:S1027" si="1213">N965+N966+N967+N968</f>
        <v>#N/A</v>
      </c>
      <c r="O1027" s="616" t="e">
        <f t="shared" si="1213"/>
        <v>#N/A</v>
      </c>
      <c r="P1027" s="616" t="e">
        <f t="shared" si="1213"/>
        <v>#N/A</v>
      </c>
      <c r="Q1027" s="616" t="e">
        <f t="shared" si="1213"/>
        <v>#N/A</v>
      </c>
      <c r="R1027" s="616" t="e">
        <f t="shared" si="1213"/>
        <v>#N/A</v>
      </c>
      <c r="S1027" s="616" t="e">
        <f t="shared" si="1213"/>
        <v>#N/A</v>
      </c>
    </row>
    <row r="1028" spans="8:19">
      <c r="H1028" s="602" t="s">
        <v>940</v>
      </c>
    </row>
    <row r="1029" spans="8:19">
      <c r="H1029" s="602" t="s">
        <v>940</v>
      </c>
    </row>
    <row r="1030" spans="8:19">
      <c r="H1030" s="602" t="s">
        <v>940</v>
      </c>
    </row>
    <row r="1031" spans="8:19">
      <c r="H1031" s="537" t="s">
        <v>1000</v>
      </c>
    </row>
  </sheetData>
  <autoFilter ref="H72:H1031" xr:uid="{00000000-0009-0000-0000-000004000000}"/>
  <conditionalFormatting sqref="N52:S62">
    <cfRule type="cellIs" dxfId="0" priority="1" operator="equal">
      <formula>1</formula>
    </cfRule>
  </conditionalFormatting>
  <pageMargins left="0.7" right="0.7" top="0.75" bottom="0.75" header="0.3" footer="0.3"/>
  <pageSetup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Drop Down 1">
              <controlPr defaultSize="0" autoLine="0" autoPict="0">
                <anchor moveWithCells="1">
                  <from>
                    <xdr:col>3</xdr:col>
                    <xdr:colOff>28575</xdr:colOff>
                    <xdr:row>2</xdr:row>
                    <xdr:rowOff>180975</xdr:rowOff>
                  </from>
                  <to>
                    <xdr:col>5</xdr:col>
                    <xdr:colOff>352425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47625</xdr:rowOff>
                  </from>
                  <to>
                    <xdr:col>5</xdr:col>
                    <xdr:colOff>352425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5</xdr:col>
                    <xdr:colOff>371475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Drop Down 26">
              <controlPr defaultSize="0" autoLine="0" autoPict="0" macro="[8]!Module1.ScheduleType">
                <anchor moveWithCells="1">
                  <from>
                    <xdr:col>3</xdr:col>
                    <xdr:colOff>38100</xdr:colOff>
                    <xdr:row>5</xdr:row>
                    <xdr:rowOff>28575</xdr:rowOff>
                  </from>
                  <to>
                    <xdr:col>5</xdr:col>
                    <xdr:colOff>371475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15A0-2FD2-8D40-B675-4D37084583AF}">
  <sheetPr codeName="Sheet13">
    <tabColor rgb="FF7030A0"/>
  </sheetPr>
  <dimension ref="A1:I55"/>
  <sheetViews>
    <sheetView workbookViewId="0"/>
  </sheetViews>
  <sheetFormatPr defaultColWidth="7.5546875" defaultRowHeight="12.75"/>
  <cols>
    <col min="1" max="1" width="13.33203125" style="556" customWidth="1"/>
    <col min="2" max="2" width="19.109375" style="556" customWidth="1"/>
    <col min="3" max="3" width="11.6640625" style="556" customWidth="1"/>
    <col min="4" max="4" width="12.109375" style="556" customWidth="1"/>
    <col min="5" max="5" width="11" style="556" customWidth="1"/>
    <col min="6" max="6" width="9.88671875" style="556" customWidth="1"/>
    <col min="7" max="8" width="11.5546875" style="556" customWidth="1"/>
    <col min="9" max="16384" width="7.5546875" style="556"/>
  </cols>
  <sheetData>
    <row r="1" spans="1:9">
      <c r="A1" s="577" t="s">
        <v>1008</v>
      </c>
      <c r="B1" s="551"/>
      <c r="C1" s="551"/>
      <c r="D1" s="551"/>
      <c r="E1" s="551"/>
      <c r="F1" s="551"/>
      <c r="G1" s="551"/>
      <c r="H1" s="551"/>
      <c r="I1" s="551"/>
    </row>
    <row r="2" spans="1:9">
      <c r="A2" s="577" t="s">
        <v>1009</v>
      </c>
      <c r="B2" s="551"/>
      <c r="C2" s="551"/>
      <c r="D2" s="551"/>
      <c r="E2" s="551"/>
      <c r="F2" s="551"/>
      <c r="G2" s="551"/>
      <c r="H2" s="551"/>
      <c r="I2" s="551"/>
    </row>
    <row r="3" spans="1:9">
      <c r="A3" s="551"/>
      <c r="B3" s="551"/>
      <c r="C3" s="551"/>
      <c r="D3" s="551"/>
      <c r="E3" s="551"/>
      <c r="F3" s="551"/>
      <c r="G3" s="551"/>
      <c r="H3" s="551"/>
      <c r="I3" s="551"/>
    </row>
    <row r="4" spans="1:9" ht="15.75">
      <c r="A4" s="626" t="s">
        <v>1011</v>
      </c>
      <c r="D4" s="627" t="s">
        <v>1012</v>
      </c>
      <c r="H4" s="628"/>
      <c r="I4" s="551"/>
    </row>
    <row r="5" spans="1:9" ht="15.75">
      <c r="A5" s="626" t="s">
        <v>1013</v>
      </c>
      <c r="D5" s="627" t="s">
        <v>1014</v>
      </c>
      <c r="H5" s="628"/>
      <c r="I5" s="551"/>
    </row>
    <row r="6" spans="1:9" ht="15.75">
      <c r="A6" s="626" t="s">
        <v>1015</v>
      </c>
      <c r="D6" s="629" t="s">
        <v>1016</v>
      </c>
      <c r="I6" s="551"/>
    </row>
    <row r="7" spans="1:9">
      <c r="I7" s="551"/>
    </row>
    <row r="8" spans="1:9">
      <c r="A8" s="631"/>
      <c r="B8" s="631"/>
      <c r="C8" s="631"/>
      <c r="D8" s="631"/>
      <c r="E8" s="631"/>
      <c r="F8" s="631"/>
      <c r="G8" s="631"/>
      <c r="H8" s="631"/>
      <c r="I8" s="630"/>
    </row>
    <row r="9" spans="1:9">
      <c r="A9" s="632" t="s">
        <v>1017</v>
      </c>
      <c r="B9" s="632"/>
      <c r="C9" s="632" t="s">
        <v>1018</v>
      </c>
      <c r="D9" s="632"/>
      <c r="E9" s="633" t="s">
        <v>262</v>
      </c>
      <c r="F9" s="632"/>
      <c r="G9" s="632"/>
      <c r="H9" s="633" t="s">
        <v>1019</v>
      </c>
      <c r="I9" s="630"/>
    </row>
    <row r="10" spans="1:9">
      <c r="A10" s="635" t="e">
        <f>'Building Characteristics'!B24</f>
        <v>#N/A</v>
      </c>
      <c r="B10" s="636"/>
      <c r="C10" s="635" t="str">
        <f>'Building Characteristics'!D24</f>
        <v>None</v>
      </c>
      <c r="D10" s="636"/>
      <c r="E10" s="637" t="str">
        <f>'Building Characteristics'!F24</f>
        <v>Single Family House</v>
      </c>
      <c r="F10" s="636"/>
      <c r="G10" s="636"/>
      <c r="H10" s="638" t="str">
        <f>'Building Characteristics'!I24</f>
        <v>July 31,2015</v>
      </c>
      <c r="I10" s="634"/>
    </row>
    <row r="11" spans="1:9">
      <c r="A11" s="631" t="s">
        <v>1020</v>
      </c>
      <c r="B11" s="631"/>
      <c r="C11" s="640" t="s">
        <v>1021</v>
      </c>
      <c r="D11" s="641"/>
      <c r="E11" s="641"/>
      <c r="F11" s="641"/>
      <c r="G11" s="641"/>
      <c r="H11" s="641"/>
      <c r="I11" s="630"/>
    </row>
    <row r="12" spans="1:9">
      <c r="A12" s="642"/>
      <c r="B12" s="642"/>
      <c r="C12" s="643" t="s">
        <v>1022</v>
      </c>
      <c r="D12" s="643" t="s">
        <v>1023</v>
      </c>
      <c r="E12" s="643" t="s">
        <v>1024</v>
      </c>
      <c r="F12" s="643" t="s">
        <v>1025</v>
      </c>
      <c r="G12" s="643" t="s">
        <v>1026</v>
      </c>
      <c r="H12" s="643" t="s">
        <v>1027</v>
      </c>
      <c r="I12" s="630"/>
    </row>
    <row r="13" spans="1:9">
      <c r="A13" s="645" t="s">
        <v>253</v>
      </c>
      <c r="B13" s="646" t="s">
        <v>1048</v>
      </c>
      <c r="C13" s="760" t="e">
        <f>'Building Characteristics'!D27+IF('Building Characteristics'!$O$52=1,'Building Characteristics'!$Q$42,0)+IF(AND(SUM('Building Characteristics'!O52:'Building Characteristics'!O62)=0,'Building Characteristics'!Q42&gt;0),'Building Characteristics'!Q42)</f>
        <v>#N/A</v>
      </c>
      <c r="D13" s="760" t="e">
        <f xml:space="preserve"> 'Building Characteristics'!E27+IF('Building Characteristics'!$O$52=1,'Building Characteristics'!$Q$42,0)+IF(AND(SUM('Building Characteristics'!O52:'Building Characteristics'!O62)=0,'Building Characteristics'!Q42&gt;0),'Building Characteristics'!Q42)</f>
        <v>#N/A</v>
      </c>
      <c r="E13" s="760" t="e">
        <f xml:space="preserve"> 'Building Characteristics'!F27+IF('Building Characteristics'!$O$52=1,'Building Characteristics'!$Q$42,0)+IF(AND(SUM('Building Characteristics'!O52:'Building Characteristics'!O62)=0,'Building Characteristics'!Q42&gt;0),'Building Characteristics'!Q42)</f>
        <v>#N/A</v>
      </c>
      <c r="F13" s="760" t="e">
        <f xml:space="preserve"> 'Building Characteristics'!G27+IF('Building Characteristics'!$O$52=1,'Building Characteristics'!$Q$42,0)+IF(AND(SUM('Building Characteristics'!O52:'Building Characteristics'!O62)=0,'Building Characteristics'!Q42&gt;0),'Building Characteristics'!Q42)</f>
        <v>#N/A</v>
      </c>
      <c r="G13" s="760" t="e">
        <f xml:space="preserve"> 'Building Characteristics'!H27+IF('Building Characteristics'!$O$52=1,'Building Characteristics'!$Q$42,0)+IF(AND(SUM('Building Characteristics'!O52:'Building Characteristics'!O62)=0,'Building Characteristics'!Q42&gt;0),'Building Characteristics'!Q42)</f>
        <v>#N/A</v>
      </c>
      <c r="H13" s="760" t="e">
        <f xml:space="preserve"> 'Building Characteristics'!I27+IF('Building Characteristics'!$O$52=1,'Building Characteristics'!$Q$42,0)+IF(AND(SUM('Building Characteristics'!O52:'Building Characteristics'!O62)=0,'Building Characteristics'!Q42&gt;0),'Building Characteristics'!Q42)</f>
        <v>#N/A</v>
      </c>
      <c r="I13" s="644"/>
    </row>
    <row r="14" spans="1:9">
      <c r="A14" s="645"/>
      <c r="B14" s="648" t="s">
        <v>1077</v>
      </c>
      <c r="C14" s="760" t="e">
        <f xml:space="preserve"> 'Building Characteristics'!D28+IF('Building Characteristics'!$Q$52=1,'Building Characteristics'!$Q$44,0)+IF(AND(SUM('Building Characteristics'!Q52:'Building Characteristics'!Q62)=0,'Building Characteristics'!Q44&gt;0),'Building Characteristics'!Q44)</f>
        <v>#N/A</v>
      </c>
      <c r="D14" s="760" t="e">
        <f xml:space="preserve"> 'Building Characteristics'!E28+IF('Building Characteristics'!$Q$52=1,'Building Characteristics'!$Q$44,0)+IF(AND(SUM('Building Characteristics'!Q52:'Building Characteristics'!Q62)=0,'Building Characteristics'!Q44&gt;0),'Building Characteristics'!Q44)</f>
        <v>#N/A</v>
      </c>
      <c r="E14" s="760" t="e">
        <f xml:space="preserve"> 'Building Characteristics'!F28+IF('Building Characteristics'!$Q$52=1,'Building Characteristics'!$Q$44,0)+IF(AND(SUM('Building Characteristics'!Q52:'Building Characteristics'!Q62)=0,'Building Characteristics'!Q44&gt;0),'Building Characteristics'!Q44)</f>
        <v>#N/A</v>
      </c>
      <c r="F14" s="760" t="e">
        <f xml:space="preserve"> 'Building Characteristics'!G28+IF('Building Characteristics'!$Q$52=1,'Building Characteristics'!$Q$44,0)+IF(AND(SUM('Building Characteristics'!Q52:'Building Characteristics'!Q62)=0,'Building Characteristics'!Q44&gt;0),'Building Characteristics'!Q44)</f>
        <v>#N/A</v>
      </c>
      <c r="G14" s="760" t="e">
        <f xml:space="preserve"> 'Building Characteristics'!H28+IF('Building Characteristics'!$Q$52=1,'Building Characteristics'!$Q$44,0)+IF(AND(SUM('Building Characteristics'!Q52:'Building Characteristics'!Q62)=0,'Building Characteristics'!Q44&gt;0),'Building Characteristics'!Q44)</f>
        <v>#N/A</v>
      </c>
      <c r="H14" s="760" t="e">
        <f xml:space="preserve"> 'Building Characteristics'!I28+IF('Building Characteristics'!$Q$52=1,'Building Characteristics'!$Q$44,0)+IF(AND(SUM('Building Characteristics'!Q52:'Building Characteristics'!Q62)=0,'Building Characteristics'!Q44&gt;0),'Building Characteristics'!Q44)</f>
        <v>#N/A</v>
      </c>
      <c r="I14" s="644"/>
    </row>
    <row r="15" spans="1:9">
      <c r="A15" s="645"/>
      <c r="B15" s="646" t="s">
        <v>1079</v>
      </c>
      <c r="C15" s="760" t="e">
        <f xml:space="preserve"> 'Building Characteristics'!D29+IF(AND('Building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D15" s="760" t="e">
        <f xml:space="preserve"> 'Building Characteristics'!E29+IF(AND('Building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E15" s="760" t="e">
        <f xml:space="preserve"> 'Building Characteristics'!F29+IF(AND('Building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F15" s="760" t="e">
        <f xml:space="preserve"> 'Building Characteristics'!G29+IF(AND('Building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G15" s="760" t="e">
        <f xml:space="preserve"> 'Building Characteristics'!H29+IF(AND('Building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H15" s="760" t="e">
        <f xml:space="preserve"> 'Building Characteristics'!I29+IF(AND('Building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I15" s="644"/>
    </row>
    <row r="16" spans="1:9">
      <c r="A16" s="645"/>
      <c r="B16" s="646" t="s">
        <v>1082</v>
      </c>
      <c r="C16" s="760" t="e">
        <f>'Building Characteristics'!D30+IF(AND('Building Characteristics'!$N$52=1,'Building Characteristics'!$C$52="Electric Heat Pump"),'Building Characteristics'!$Q$41,0)</f>
        <v>#N/A</v>
      </c>
      <c r="D16" s="760" t="e">
        <f>'Building Characteristics'!E30+IF(AND('Building Characteristics'!$N$52=1,'Building Characteristics'!$C$52="Electric Heat Pump"),'Building Characteristics'!$Q$41,0)</f>
        <v>#N/A</v>
      </c>
      <c r="E16" s="760" t="e">
        <f>'Building Characteristics'!F30+IF(AND('Building Characteristics'!$N$52=1,'Building Characteristics'!$C$52="Electric Heat Pump"),'Building Characteristics'!$Q$41,0)</f>
        <v>#N/A</v>
      </c>
      <c r="F16" s="760" t="e">
        <f>'Building Characteristics'!G30+IF(AND('Building Characteristics'!$N$52=1,'Building Characteristics'!$C$52="Electric Heat Pump"),'Building Characteristics'!$Q$41,0)</f>
        <v>#N/A</v>
      </c>
      <c r="G16" s="760" t="e">
        <f>'Building Characteristics'!H30+IF(AND('Building Characteristics'!$N$52=1,'Building Characteristics'!$C$52="Electric Heat Pump"),'Building Characteristics'!$Q$41,0)</f>
        <v>#N/A</v>
      </c>
      <c r="H16" s="760" t="e">
        <f>'Building Characteristics'!I30+IF(AND('Building Characteristics'!$N$52=1,'Building Characteristics'!$C$52="Electric Heat Pump"),'Building Characteristics'!$Q$41,0)</f>
        <v>#N/A</v>
      </c>
      <c r="I16" s="644"/>
    </row>
    <row r="17" spans="1:9">
      <c r="A17" s="646"/>
      <c r="B17" s="646" t="s">
        <v>1050</v>
      </c>
      <c r="C17" s="760" t="e">
        <f xml:space="preserve"> 'Building Characteristics'!D31+IF('Building Characteristics'!$P$52=1,'Building Characteristics'!$Q$43,0)+IF(AND(SUM('Building Characteristics'!P52:'Building Characteristics'!P62)=0,'Building Characteristics'!Q43&gt;0),'Building Characteristics'!Q43)</f>
        <v>#N/A</v>
      </c>
      <c r="D17" s="760" t="e">
        <f xml:space="preserve"> 'Building Characteristics'!E31+IF('Building Characteristics'!$P$52=1,'Building Characteristics'!$Q$43,0)+IF(AND(SUM('Building Characteristics'!P52:'Building Characteristics'!P62)=0,'Building Characteristics'!Q43&gt;0),'Building Characteristics'!Q43)</f>
        <v>#N/A</v>
      </c>
      <c r="E17" s="760" t="e">
        <f xml:space="preserve"> 'Building Characteristics'!F31+IF('Building Characteristics'!$P$52=1,'Building Characteristics'!$Q$43,0)+IF(AND(SUM('Building Characteristics'!P52:'Building Characteristics'!P62)=0,'Building Characteristics'!Q43&gt;0),'Building Characteristics'!Q43)</f>
        <v>#N/A</v>
      </c>
      <c r="F17" s="760" t="e">
        <f xml:space="preserve"> 'Building Characteristics'!G31+IF('Building Characteristics'!$P$52=1,'Building Characteristics'!$Q$43,0)+IF(AND(SUM('Building Characteristics'!P52:'Building Characteristics'!P62)=0,'Building Characteristics'!Q43&gt;0),'Building Characteristics'!Q43)</f>
        <v>#N/A</v>
      </c>
      <c r="G17" s="760" t="e">
        <f xml:space="preserve"> 'Building Characteristics'!H31+IF('Building Characteristics'!$P$52=1,'Building Characteristics'!$Q$43,0)+IF(AND(SUM('Building Characteristics'!P52:'Building Characteristics'!P62)=0,'Building Characteristics'!Q43&gt;0),'Building Characteristics'!Q43)</f>
        <v>#N/A</v>
      </c>
      <c r="H17" s="760" t="e">
        <f xml:space="preserve"> 'Building Characteristics'!I31+IF('Building Characteristics'!$P$52=1,'Building Characteristics'!$Q$43,0)+IF(AND(SUM('Building Characteristics'!P52:'Building Characteristics'!P62)=0,'Building Characteristics'!Q43&gt;0),'Building Characteristics'!Q43)</f>
        <v>#N/A</v>
      </c>
      <c r="I17" s="644"/>
    </row>
    <row r="18" spans="1:9">
      <c r="A18" s="645" t="s">
        <v>254</v>
      </c>
      <c r="B18" s="646" t="s">
        <v>1048</v>
      </c>
      <c r="C18" s="760">
        <f xml:space="preserve"> 'Building Characteristics'!D32+IF('Building Characteristics'!$O$53=1,'Building Characteristics'!$Q$42,0)</f>
        <v>0</v>
      </c>
      <c r="D18" s="760">
        <f xml:space="preserve"> 'Building Characteristics'!E32+IF('Building Characteristics'!$O$53=1,'Building Characteristics'!$Q$42,0)</f>
        <v>0</v>
      </c>
      <c r="E18" s="760">
        <f xml:space="preserve"> 'Building Characteristics'!F32+IF('Building Characteristics'!$O$53=1,'Building Characteristics'!$Q$42,0)</f>
        <v>0</v>
      </c>
      <c r="F18" s="760">
        <f xml:space="preserve"> 'Building Characteristics'!G32+IF('Building Characteristics'!$O$53=1,'Building Characteristics'!$Q$42,0)</f>
        <v>0</v>
      </c>
      <c r="G18" s="760">
        <f xml:space="preserve"> 'Building Characteristics'!H32+IF('Building Characteristics'!$O$53=1,'Building Characteristics'!$Q$42,0)</f>
        <v>0</v>
      </c>
      <c r="H18" s="760">
        <f xml:space="preserve"> 'Building Characteristics'!I32+IF('Building Characteristics'!$O$53=1,'Building Characteristics'!$Q$42,0)</f>
        <v>0</v>
      </c>
      <c r="I18" s="644"/>
    </row>
    <row r="19" spans="1:9">
      <c r="A19" s="645"/>
      <c r="B19" s="646" t="s">
        <v>1077</v>
      </c>
      <c r="C19" s="760">
        <f xml:space="preserve"> 'Building Characteristics'!D33+IF('Building Characteristics'!$Q$53=1,'Building Characteristics'!$Q$44,0)</f>
        <v>0</v>
      </c>
      <c r="D19" s="760">
        <f xml:space="preserve"> 'Building Characteristics'!E33+IF('Building Characteristics'!$Q$53=1,'Building Characteristics'!$Q$44,0)</f>
        <v>0</v>
      </c>
      <c r="E19" s="760">
        <f xml:space="preserve"> 'Building Characteristics'!F33+IF('Building Characteristics'!$Q$53=1,'Building Characteristics'!$Q$44,0)</f>
        <v>0</v>
      </c>
      <c r="F19" s="760">
        <f xml:space="preserve"> 'Building Characteristics'!G33+IF('Building Characteristics'!$Q$53=1,'Building Characteristics'!$Q$44,0)</f>
        <v>0</v>
      </c>
      <c r="G19" s="760">
        <f xml:space="preserve"> 'Building Characteristics'!H33+IF('Building Characteristics'!$Q$53=1,'Building Characteristics'!$Q$44,0)</f>
        <v>0</v>
      </c>
      <c r="H19" s="760">
        <f xml:space="preserve"> 'Building Characteristics'!I33+IF('Building Characteristics'!$Q$53=1,'Building Characteristics'!$Q$44,0)</f>
        <v>0</v>
      </c>
      <c r="I19" s="644"/>
    </row>
    <row r="20" spans="1:9">
      <c r="A20" s="645"/>
      <c r="B20" s="646" t="s">
        <v>1046</v>
      </c>
      <c r="C20" s="760">
        <f xml:space="preserve"> 'Building Characteristics'!D34+IF('Building Characteristics'!$N$53=1,'Building Characteristics'!$Q$41,0)</f>
        <v>0</v>
      </c>
      <c r="D20" s="760">
        <f xml:space="preserve"> 'Building Characteristics'!E34+IF('Building Characteristics'!$N$53=1,'Building Characteristics'!$Q$41,0)</f>
        <v>0</v>
      </c>
      <c r="E20" s="760">
        <f xml:space="preserve"> 'Building Characteristics'!F34+IF('Building Characteristics'!$N$53=1,'Building Characteristics'!$Q$41,0)</f>
        <v>0</v>
      </c>
      <c r="F20" s="760">
        <f xml:space="preserve"> 'Building Characteristics'!G34+IF('Building Characteristics'!$N$53=1,'Building Characteristics'!$Q$41,0)</f>
        <v>0</v>
      </c>
      <c r="G20" s="760">
        <f xml:space="preserve"> 'Building Characteristics'!H34+IF('Building Characteristics'!$N$53=1,'Building Characteristics'!$Q$41,0)</f>
        <v>0</v>
      </c>
      <c r="H20" s="760">
        <f xml:space="preserve"> 'Building Characteristics'!I34+IF('Building Characteristics'!$N$53=1,'Building Characteristics'!$Q$41,0)</f>
        <v>0</v>
      </c>
      <c r="I20" s="644"/>
    </row>
    <row r="21" spans="1:9">
      <c r="A21" s="646"/>
      <c r="B21" s="646" t="s">
        <v>348</v>
      </c>
      <c r="C21" s="760">
        <f>'Building Characteristics'!D35</f>
        <v>0</v>
      </c>
      <c r="D21" s="760">
        <f>'Building Characteristics'!E35</f>
        <v>0</v>
      </c>
      <c r="E21" s="760">
        <f>'Building Characteristics'!F35</f>
        <v>0</v>
      </c>
      <c r="F21" s="760">
        <f>'Building Characteristics'!G35</f>
        <v>0</v>
      </c>
      <c r="G21" s="760">
        <f>'Building Characteristics'!H35</f>
        <v>0</v>
      </c>
      <c r="H21" s="760">
        <f>'Building Characteristics'!I35</f>
        <v>0</v>
      </c>
      <c r="I21" s="644"/>
    </row>
    <row r="22" spans="1:9">
      <c r="A22" s="648" t="s">
        <v>1035</v>
      </c>
      <c r="B22" s="648"/>
      <c r="C22" s="760">
        <f xml:space="preserve"> 'Building Characteristics'!D36+IF('Building Characteristics'!$N$54=1,'Building Characteristics'!$Q$41,0)</f>
        <v>0</v>
      </c>
      <c r="D22" s="760">
        <f xml:space="preserve"> 'Building Characteristics'!E36+IF('Building Characteristics'!$N$54=1,'Building Characteristics'!$Q$41,0)</f>
        <v>0</v>
      </c>
      <c r="E22" s="760">
        <f xml:space="preserve"> 'Building Characteristics'!F36+IF('Building Characteristics'!$N$54=1,'Building Characteristics'!$Q$41,0)</f>
        <v>0</v>
      </c>
      <c r="F22" s="760">
        <f xml:space="preserve"> 'Building Characteristics'!G36+IF('Building Characteristics'!$N$54=1,'Building Characteristics'!$Q$41,0)</f>
        <v>0</v>
      </c>
      <c r="G22" s="760">
        <f xml:space="preserve"> 'Building Characteristics'!H36+IF('Building Characteristics'!$N$54=1,'Building Characteristics'!$Q$41,0)</f>
        <v>0</v>
      </c>
      <c r="H22" s="760">
        <f xml:space="preserve"> 'Building Characteristics'!I36+IF('Building Characteristics'!$N$54=1,'Building Characteristics'!$Q$41,0)</f>
        <v>0</v>
      </c>
      <c r="I22" s="644"/>
    </row>
    <row r="23" spans="1:9">
      <c r="A23" s="648" t="s">
        <v>1037</v>
      </c>
      <c r="B23" s="648"/>
      <c r="C23" s="760" t="e">
        <f>'Building Characteristics'!D37+IF('Building Characteristics'!$N$55=1,'Building Characteristics'!$Q$41,0)</f>
        <v>#N/A</v>
      </c>
      <c r="D23" s="760" t="e">
        <f>'Building Characteristics'!E37+IF('Building Characteristics'!$N$55=1,'Building Characteristics'!$Q$41,0)</f>
        <v>#N/A</v>
      </c>
      <c r="E23" s="760" t="e">
        <f>'Building Characteristics'!F37+IF('Building Characteristics'!$N$55=1,'Building Characteristics'!$Q$41,0)</f>
        <v>#N/A</v>
      </c>
      <c r="F23" s="760" t="e">
        <f>'Building Characteristics'!G37+IF('Building Characteristics'!$N$55=1,'Building Characteristics'!$Q$41,0)</f>
        <v>#N/A</v>
      </c>
      <c r="G23" s="760" t="e">
        <f>'Building Characteristics'!H37+IF('Building Characteristics'!$N$55=1,'Building Characteristics'!$Q$41,0)</f>
        <v>#N/A</v>
      </c>
      <c r="H23" s="760" t="e">
        <f>'Building Characteristics'!I37+IF('Building Characteristics'!$N$55=1,'Building Characteristics'!$Q$41,0)</f>
        <v>#N/A</v>
      </c>
      <c r="I23" s="644"/>
    </row>
    <row r="24" spans="1:9">
      <c r="A24" s="645" t="s">
        <v>1038</v>
      </c>
      <c r="B24" s="646" t="s">
        <v>1048</v>
      </c>
      <c r="C24" s="760" t="e">
        <f xml:space="preserve"> 'Building Characteristics'!D38+IF('Building Characteristics'!$O$56=1,'Building Characteristics'!$Q$42,0)</f>
        <v>#N/A</v>
      </c>
      <c r="D24" s="760" t="e">
        <f xml:space="preserve"> 'Building Characteristics'!E38+IF('Building Characteristics'!$O$56=1,'Building Characteristics'!$Q$42,0)</f>
        <v>#N/A</v>
      </c>
      <c r="E24" s="760" t="e">
        <f xml:space="preserve"> 'Building Characteristics'!F38+IF('Building Characteristics'!$O$56=1,'Building Characteristics'!$Q$42,0)</f>
        <v>#N/A</v>
      </c>
      <c r="F24" s="760" t="e">
        <f xml:space="preserve"> 'Building Characteristics'!G38+IF('Building Characteristics'!$O$56=1,'Building Characteristics'!$Q$42,0)</f>
        <v>#N/A</v>
      </c>
      <c r="G24" s="760" t="e">
        <f xml:space="preserve"> 'Building Characteristics'!H38+IF('Building Characteristics'!$O$56=1,'Building Characteristics'!$Q$42,0)</f>
        <v>#N/A</v>
      </c>
      <c r="H24" s="760" t="e">
        <f xml:space="preserve"> 'Building Characteristics'!I38+IF('Building Characteristics'!$O$56=1,'Building Characteristics'!$Q$42,0)</f>
        <v>#N/A</v>
      </c>
      <c r="I24" s="644"/>
    </row>
    <row r="25" spans="1:9">
      <c r="A25" s="645"/>
      <c r="B25" s="648" t="s">
        <v>1077</v>
      </c>
      <c r="C25" s="760" t="e">
        <f xml:space="preserve"> 'Building Characteristics'!D39+IF('Building Characteristics'!$Q$56=1,'Building Characteristics'!$Q$44,0)</f>
        <v>#N/A</v>
      </c>
      <c r="D25" s="760" t="e">
        <f xml:space="preserve"> 'Building Characteristics'!E39+IF('Building Characteristics'!$Q$56=1,'Building Characteristics'!$Q$44,0)</f>
        <v>#N/A</v>
      </c>
      <c r="E25" s="760" t="e">
        <f xml:space="preserve"> 'Building Characteristics'!F39+IF('Building Characteristics'!$Q$56=1,'Building Characteristics'!$Q$44,0)</f>
        <v>#N/A</v>
      </c>
      <c r="F25" s="760" t="e">
        <f xml:space="preserve"> 'Building Characteristics'!G39+IF('Building Characteristics'!$Q$56=1,'Building Characteristics'!$Q$44,0)</f>
        <v>#N/A</v>
      </c>
      <c r="G25" s="760" t="e">
        <f xml:space="preserve"> 'Building Characteristics'!H39+IF('Building Characteristics'!$Q$56=1,'Building Characteristics'!$Q$44,0)</f>
        <v>#N/A</v>
      </c>
      <c r="H25" s="760" t="e">
        <f xml:space="preserve"> 'Building Characteristics'!I39+IF('Building Characteristics'!$Q$56=1,'Building Characteristics'!$Q$44,0)</f>
        <v>#N/A</v>
      </c>
      <c r="I25" s="644"/>
    </row>
    <row r="26" spans="1:9">
      <c r="A26" s="645"/>
      <c r="B26" s="646" t="s">
        <v>1046</v>
      </c>
      <c r="C26" s="760" t="e">
        <f xml:space="preserve"> 'Building Characteristics'!D40+IF('Building Characteristics'!$N$56=1,'Building Characteristics'!$Q$41,0)</f>
        <v>#N/A</v>
      </c>
      <c r="D26" s="760" t="e">
        <f xml:space="preserve"> 'Building Characteristics'!E40+IF('Building Characteristics'!$N$56=1,'Building Characteristics'!$Q$41,0)</f>
        <v>#N/A</v>
      </c>
      <c r="E26" s="760" t="e">
        <f xml:space="preserve"> 'Building Characteristics'!F40+IF('Building Characteristics'!$N$56=1,'Building Characteristics'!$Q$41,0)</f>
        <v>#N/A</v>
      </c>
      <c r="F26" s="760" t="e">
        <f xml:space="preserve"> 'Building Characteristics'!G40+IF('Building Characteristics'!$N$56=1,'Building Characteristics'!$Q$41,0)</f>
        <v>#N/A</v>
      </c>
      <c r="G26" s="760" t="e">
        <f xml:space="preserve"> 'Building Characteristics'!H40+IF('Building Characteristics'!$N$56=1,'Building Characteristics'!$Q$41,0)</f>
        <v>#N/A</v>
      </c>
      <c r="H26" s="760" t="e">
        <f xml:space="preserve"> 'Building Characteristics'!I40+IF('Building Characteristics'!$N$56=1,'Building Characteristics'!$Q$41,0)</f>
        <v>#N/A</v>
      </c>
      <c r="I26" s="644"/>
    </row>
    <row r="27" spans="1:9">
      <c r="A27" s="646"/>
      <c r="B27" s="646" t="s">
        <v>1050</v>
      </c>
      <c r="C27" s="760" t="e">
        <f xml:space="preserve"> 'Building Characteristics'!D41+IF('Building Characteristics'!$P$56=1,'Building Characteristics'!$Q$43,0)</f>
        <v>#N/A</v>
      </c>
      <c r="D27" s="760" t="e">
        <f xml:space="preserve"> 'Building Characteristics'!E41+IF('Building Characteristics'!$P$56=1,'Building Characteristics'!$Q$43,0)</f>
        <v>#N/A</v>
      </c>
      <c r="E27" s="760" t="e">
        <f xml:space="preserve"> 'Building Characteristics'!F41+IF('Building Characteristics'!$P$56=1,'Building Characteristics'!$Q$43,0)</f>
        <v>#N/A</v>
      </c>
      <c r="F27" s="760" t="e">
        <f xml:space="preserve"> 'Building Characteristics'!G41+IF('Building Characteristics'!$P$56=1,'Building Characteristics'!$Q$43,0)</f>
        <v>#N/A</v>
      </c>
      <c r="G27" s="760" t="e">
        <f xml:space="preserve"> 'Building Characteristics'!H41+IF('Building Characteristics'!$P$56=1,'Building Characteristics'!$Q$43,0)</f>
        <v>#N/A</v>
      </c>
      <c r="H27" s="760" t="e">
        <f xml:space="preserve"> 'Building Characteristics'!I41+IF('Building Characteristics'!$P$56=1,'Building Characteristics'!$Q$43,0)</f>
        <v>#N/A</v>
      </c>
      <c r="I27" s="644"/>
    </row>
    <row r="28" spans="1:9">
      <c r="A28" s="648" t="s">
        <v>1047</v>
      </c>
      <c r="B28" s="648"/>
      <c r="C28" s="760" t="e">
        <f xml:space="preserve"> 'Building Characteristics'!D42+IF('Building Characteristics'!$R$57=1,'Building Characteristics'!$Q$45,0)</f>
        <v>#N/A</v>
      </c>
      <c r="D28" s="760" t="e">
        <f xml:space="preserve"> 'Building Characteristics'!E42+IF('Building Characteristics'!$R$57=1,'Building Characteristics'!$Q$45,0)</f>
        <v>#N/A</v>
      </c>
      <c r="E28" s="760" t="e">
        <f xml:space="preserve"> 'Building Characteristics'!F42+IF('Building Characteristics'!$R$57=1,'Building Characteristics'!$Q$45,0)</f>
        <v>#N/A</v>
      </c>
      <c r="F28" s="760" t="e">
        <f xml:space="preserve"> 'Building Characteristics'!G42+IF('Building Characteristics'!$R$57=1,'Building Characteristics'!$Q$45,0)</f>
        <v>#N/A</v>
      </c>
      <c r="G28" s="760" t="e">
        <f xml:space="preserve"> 'Building Characteristics'!H42+IF('Building Characteristics'!$R$57=1,'Building Characteristics'!$Q$45,0)</f>
        <v>#N/A</v>
      </c>
      <c r="H28" s="760" t="e">
        <f xml:space="preserve"> 'Building Characteristics'!I42+IF('Building Characteristics'!$R$57=1,'Building Characteristics'!$Q$45,0)</f>
        <v>#N/A</v>
      </c>
      <c r="I28" s="644"/>
    </row>
    <row r="29" spans="1:9">
      <c r="A29" s="648" t="s">
        <v>1049</v>
      </c>
      <c r="B29" s="648"/>
      <c r="C29" s="760" t="e">
        <f xml:space="preserve"> 'Building Characteristics'!D43+IF('Building Characteristics'!$S$58=1,'Building Characteristics'!$Q$46,0)</f>
        <v>#N/A</v>
      </c>
      <c r="D29" s="760" t="e">
        <f xml:space="preserve"> 'Building Characteristics'!E43+IF('Building Characteristics'!$S$58=1,'Building Characteristics'!$Q$46,0)</f>
        <v>#N/A</v>
      </c>
      <c r="E29" s="760" t="e">
        <f xml:space="preserve"> 'Building Characteristics'!F43+IF('Building Characteristics'!$S$58=1,'Building Characteristics'!$Q$46,0)</f>
        <v>#N/A</v>
      </c>
      <c r="F29" s="760" t="e">
        <f xml:space="preserve"> 'Building Characteristics'!G43+IF('Building Characteristics'!$S$58=1,'Building Characteristics'!$Q$46,0)</f>
        <v>#N/A</v>
      </c>
      <c r="G29" s="760" t="e">
        <f xml:space="preserve"> 'Building Characteristics'!H43+IF('Building Characteristics'!$S$58=1,'Building Characteristics'!$Q$46,0)</f>
        <v>#N/A</v>
      </c>
      <c r="H29" s="760" t="e">
        <f xml:space="preserve"> 'Building Characteristics'!I43+IF('Building Characteristics'!$S$58=1,'Building Characteristics'!$Q$46,0)</f>
        <v>#N/A</v>
      </c>
      <c r="I29" s="644"/>
    </row>
    <row r="30" spans="1:9">
      <c r="A30" s="648" t="s">
        <v>1051</v>
      </c>
      <c r="B30" s="648"/>
      <c r="C30" s="760">
        <f>'Building Characteristics'!D44</f>
        <v>0</v>
      </c>
      <c r="D30" s="760">
        <f>'Building Characteristics'!E44</f>
        <v>0</v>
      </c>
      <c r="E30" s="760">
        <f>'Building Characteristics'!F44</f>
        <v>0</v>
      </c>
      <c r="F30" s="760">
        <f>'Building Characteristics'!G44</f>
        <v>0</v>
      </c>
      <c r="G30" s="760">
        <f>'Building Characteristics'!H44</f>
        <v>0</v>
      </c>
      <c r="H30" s="760">
        <f>'Building Characteristics'!I44</f>
        <v>0</v>
      </c>
      <c r="I30" s="644"/>
    </row>
    <row r="31" spans="1:9">
      <c r="A31" s="648" t="s">
        <v>1053</v>
      </c>
      <c r="B31" s="648"/>
      <c r="C31" s="760">
        <f>'Building Characteristics'!D45</f>
        <v>0</v>
      </c>
      <c r="D31" s="760">
        <f>'Building Characteristics'!E45</f>
        <v>0</v>
      </c>
      <c r="E31" s="760">
        <f>'Building Characteristics'!F45</f>
        <v>0</v>
      </c>
      <c r="F31" s="760">
        <f>'Building Characteristics'!G45</f>
        <v>0</v>
      </c>
      <c r="G31" s="760">
        <f>'Building Characteristics'!H45</f>
        <v>0</v>
      </c>
      <c r="H31" s="760">
        <f>'Building Characteristics'!I45</f>
        <v>0</v>
      </c>
      <c r="I31" s="644"/>
    </row>
    <row r="32" spans="1:9">
      <c r="A32" s="648" t="s">
        <v>76</v>
      </c>
      <c r="B32" s="648"/>
      <c r="C32" s="760">
        <f>'Building Characteristics'!D46</f>
        <v>0</v>
      </c>
      <c r="D32" s="760">
        <f>'Building Characteristics'!E46</f>
        <v>0</v>
      </c>
      <c r="E32" s="760">
        <f>'Building Characteristics'!F46</f>
        <v>0</v>
      </c>
      <c r="F32" s="760">
        <f>'Building Characteristics'!G46</f>
        <v>0</v>
      </c>
      <c r="G32" s="760">
        <f>'Building Characteristics'!H46</f>
        <v>0</v>
      </c>
      <c r="H32" s="760">
        <f>'Building Characteristics'!I46</f>
        <v>0</v>
      </c>
      <c r="I32" s="644"/>
    </row>
    <row r="33" spans="1:9">
      <c r="A33" s="648" t="s">
        <v>1054</v>
      </c>
      <c r="B33" s="648"/>
      <c r="C33" s="760">
        <f>'Building Characteristics'!D47</f>
        <v>0</v>
      </c>
      <c r="D33" s="760">
        <f>'Building Characteristics'!E47</f>
        <v>0</v>
      </c>
      <c r="E33" s="760">
        <f>'Building Characteristics'!F47</f>
        <v>0</v>
      </c>
      <c r="F33" s="760">
        <f>'Building Characteristics'!G47</f>
        <v>0</v>
      </c>
      <c r="G33" s="760">
        <f>'Building Characteristics'!H47</f>
        <v>0</v>
      </c>
      <c r="H33" s="760">
        <f>'Building Characteristics'!I47</f>
        <v>0</v>
      </c>
      <c r="I33" s="644"/>
    </row>
    <row r="34" spans="1:9" hidden="1">
      <c r="A34" s="658" t="s">
        <v>1381</v>
      </c>
      <c r="I34" s="551"/>
    </row>
    <row r="35" spans="1:9" hidden="1">
      <c r="A35" s="658" t="s">
        <v>1056</v>
      </c>
      <c r="B35" s="556" t="str">
        <f>'Building Characteristics'!C49</f>
        <v>0 BR</v>
      </c>
      <c r="I35" s="551"/>
    </row>
    <row r="36" spans="1:9" hidden="1">
      <c r="A36" s="658"/>
      <c r="I36" s="551"/>
    </row>
    <row r="37" spans="1:9" hidden="1">
      <c r="A37" s="659" t="s">
        <v>1020</v>
      </c>
      <c r="B37" s="660" t="s">
        <v>1057</v>
      </c>
      <c r="C37" s="761" t="s">
        <v>1382</v>
      </c>
      <c r="I37" s="551"/>
    </row>
    <row r="38" spans="1:9" hidden="1">
      <c r="A38" s="662" t="s">
        <v>253</v>
      </c>
      <c r="B38" s="663" t="str">
        <f>'Building Characteristics'!C52</f>
        <v>Not Applicable</v>
      </c>
      <c r="C38" s="762">
        <f>IF(B38="Not Applicable",0,INDEX(C13:H17,MATCH(B38,B13:B17,0),MATCH(B35,C12:H12,0)))</f>
        <v>0</v>
      </c>
      <c r="D38" s="763"/>
      <c r="E38" s="763"/>
      <c r="F38" s="763"/>
      <c r="I38" s="551"/>
    </row>
    <row r="39" spans="1:9" hidden="1">
      <c r="A39" s="662" t="s">
        <v>254</v>
      </c>
      <c r="B39" s="663" t="str">
        <f>'Building Characteristics'!C53</f>
        <v>Not Applicable</v>
      </c>
      <c r="C39" s="762">
        <f>IF(B39="Not Applicable",0,INDEX(C18:H21,MATCH(B39,B18:B21,0),MATCH($B$35,C12:H12,0)))</f>
        <v>0</v>
      </c>
      <c r="I39" s="551"/>
    </row>
    <row r="40" spans="1:9" hidden="1">
      <c r="A40" s="662" t="s">
        <v>1035</v>
      </c>
      <c r="B40" s="663" t="str">
        <f>'Building Characteristics'!C54</f>
        <v>Not Applicable</v>
      </c>
      <c r="C40" s="762">
        <f>IF(B40="Not Applicable",0,LOOKUP($B$35,$C$12:$H$12,C22:H22))</f>
        <v>0</v>
      </c>
      <c r="I40" s="551"/>
    </row>
    <row r="41" spans="1:9" hidden="1">
      <c r="A41" s="667" t="s">
        <v>1037</v>
      </c>
      <c r="B41" s="663" t="str">
        <f>'Building Characteristics'!C55</f>
        <v>Not Applicable</v>
      </c>
      <c r="C41" s="762">
        <f>IF(B41="Not Applicable",0,LOOKUP($B$35,$C$12:$H$12,C23:H23))</f>
        <v>0</v>
      </c>
      <c r="D41" s="763"/>
      <c r="E41" s="763"/>
      <c r="F41" s="763"/>
      <c r="I41" s="551"/>
    </row>
    <row r="42" spans="1:9" hidden="1">
      <c r="A42" s="662" t="s">
        <v>1038</v>
      </c>
      <c r="B42" s="663" t="str">
        <f>'Building Characteristics'!C56</f>
        <v>Not Applicable</v>
      </c>
      <c r="C42" s="762">
        <f>IF(B42="Not Applicable",0,INDEX(C24:H27,MATCH(B42,B24:B27,0),MATCH($B$35,C12:H12,0)))</f>
        <v>0</v>
      </c>
      <c r="I42" s="551"/>
    </row>
    <row r="43" spans="1:9" hidden="1">
      <c r="A43" s="662" t="s">
        <v>1047</v>
      </c>
      <c r="B43" s="663" t="str">
        <f>'Building Characteristics'!C57</f>
        <v>Not Applicable</v>
      </c>
      <c r="C43" s="762">
        <f t="shared" ref="C43:C48" si="0">IF(B43="Not Applicable",0,LOOKUP($B$35,$C$12:$H$12,C28:H28))</f>
        <v>0</v>
      </c>
      <c r="I43" s="551"/>
    </row>
    <row r="44" spans="1:9" hidden="1">
      <c r="A44" s="662" t="s">
        <v>1049</v>
      </c>
      <c r="B44" s="663" t="str">
        <f>'Building Characteristics'!C58</f>
        <v>Not Applicable</v>
      </c>
      <c r="C44" s="762">
        <f t="shared" si="0"/>
        <v>0</v>
      </c>
      <c r="I44" s="551"/>
    </row>
    <row r="45" spans="1:9" hidden="1">
      <c r="A45" s="662" t="s">
        <v>1051</v>
      </c>
      <c r="B45" s="663" t="str">
        <f>'Building Characteristics'!C59</f>
        <v>Not Applicable</v>
      </c>
      <c r="C45" s="762">
        <f t="shared" si="0"/>
        <v>0</v>
      </c>
      <c r="I45" s="551"/>
    </row>
    <row r="46" spans="1:9" hidden="1">
      <c r="A46" s="662" t="s">
        <v>1053</v>
      </c>
      <c r="B46" s="663" t="str">
        <f>'Building Characteristics'!C60</f>
        <v>Not Applicable</v>
      </c>
      <c r="C46" s="762">
        <f t="shared" si="0"/>
        <v>0</v>
      </c>
      <c r="I46" s="551"/>
    </row>
    <row r="47" spans="1:9" hidden="1">
      <c r="A47" s="662" t="s">
        <v>76</v>
      </c>
      <c r="B47" s="663" t="str">
        <f>'Building Characteristics'!C61</f>
        <v>Not Applicable</v>
      </c>
      <c r="C47" s="762">
        <f t="shared" si="0"/>
        <v>0</v>
      </c>
      <c r="D47" s="763"/>
      <c r="E47" s="763"/>
      <c r="F47" s="763"/>
      <c r="I47" s="551"/>
    </row>
    <row r="48" spans="1:9" hidden="1">
      <c r="A48" s="662" t="s">
        <v>348</v>
      </c>
      <c r="B48" s="663" t="str">
        <f>'Building Characteristics'!C62</f>
        <v>Not Applicable</v>
      </c>
      <c r="C48" s="762">
        <f t="shared" si="0"/>
        <v>0</v>
      </c>
      <c r="I48" s="551"/>
    </row>
    <row r="49" spans="1:9" hidden="1">
      <c r="A49" s="659"/>
      <c r="B49" s="764"/>
      <c r="C49" s="654"/>
      <c r="I49" s="551"/>
    </row>
    <row r="50" spans="1:9" hidden="1">
      <c r="A50" s="670" t="s">
        <v>344</v>
      </c>
      <c r="B50" s="671"/>
      <c r="C50" s="672">
        <f>SUM(C38:C48)</f>
        <v>0</v>
      </c>
      <c r="D50" s="673"/>
      <c r="E50" s="673"/>
      <c r="F50" s="673"/>
      <c r="G50" s="673"/>
      <c r="H50" s="673"/>
      <c r="I50" s="551"/>
    </row>
    <row r="51" spans="1:9">
      <c r="A51" s="765"/>
      <c r="B51" s="765"/>
      <c r="H51" s="766" t="s">
        <v>1060</v>
      </c>
      <c r="I51" s="551"/>
    </row>
    <row r="52" spans="1:9">
      <c r="A52" s="653" t="s">
        <v>1061</v>
      </c>
      <c r="H52" s="766" t="s">
        <v>1062</v>
      </c>
      <c r="I52" s="551"/>
    </row>
    <row r="53" spans="1:9">
      <c r="A53" s="767" t="s">
        <v>1383</v>
      </c>
      <c r="B53" s="551"/>
      <c r="C53" s="551"/>
      <c r="D53" s="551"/>
      <c r="E53" s="551"/>
      <c r="F53" s="551"/>
      <c r="G53" s="551"/>
      <c r="H53" s="551"/>
      <c r="I53" s="551"/>
    </row>
    <row r="54" spans="1:9">
      <c r="A54" s="767" t="s">
        <v>1384</v>
      </c>
      <c r="B54" s="551"/>
      <c r="C54" s="551"/>
      <c r="D54" s="551"/>
      <c r="E54" s="551"/>
      <c r="F54" s="551"/>
      <c r="G54" s="551"/>
      <c r="H54" s="551"/>
      <c r="I54" s="551"/>
    </row>
    <row r="55" spans="1:9">
      <c r="A55" s="767" t="s">
        <v>1385</v>
      </c>
      <c r="B55" s="551"/>
      <c r="C55" s="551"/>
      <c r="D55" s="551"/>
      <c r="E55" s="551"/>
      <c r="F55" s="551"/>
      <c r="G55" s="551"/>
      <c r="H55" s="551"/>
      <c r="I55" s="551"/>
    </row>
  </sheetData>
  <sheetProtection sheet="1" objects="1" scenarios="1"/>
  <pageMargins left="0.7" right="0.7" top="0.75" bottom="0.75" header="0.3" footer="0.3"/>
  <pageSetup scale="79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8]!ShowStateAverage">
                <anchor moveWithCells="1" sizeWithCells="1">
                  <from>
                    <xdr:col>4</xdr:col>
                    <xdr:colOff>847725</xdr:colOff>
                    <xdr:row>0</xdr:row>
                    <xdr:rowOff>28575</xdr:rowOff>
                  </from>
                  <to>
                    <xdr:col>8</xdr:col>
                    <xdr:colOff>9525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AI173"/>
  <sheetViews>
    <sheetView workbookViewId="0">
      <selection activeCell="M12" sqref="M12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3" width="9.33203125" style="21" customWidth="1"/>
    <col min="4" max="4" width="10.44140625" style="21" customWidth="1"/>
    <col min="5" max="5" width="8" style="21" customWidth="1"/>
    <col min="6" max="8" width="5.6640625" style="21" customWidth="1"/>
    <col min="9" max="9" width="6.6640625" style="21" customWidth="1"/>
    <col min="10" max="10" width="5.109375" style="21" hidden="1" customWidth="1"/>
    <col min="11" max="11" width="5.6640625" style="21" customWidth="1"/>
    <col min="12" max="12" width="5.44140625" style="21" customWidth="1"/>
    <col min="13" max="16" width="4.88671875" style="21" bestFit="1" customWidth="1"/>
    <col min="17" max="17" width="5.6640625" style="21" hidden="1" customWidth="1"/>
    <col min="18" max="18" width="2.33203125" style="21" customWidth="1"/>
    <col min="19" max="19" width="5" style="21" customWidth="1"/>
    <col min="20" max="24" width="6.88671875" style="21" customWidth="1"/>
    <col min="25" max="25" width="2" style="21" customWidth="1"/>
    <col min="26" max="31" width="6.88671875" style="21" customWidth="1"/>
    <col min="32" max="16384" width="9.109375" style="21"/>
  </cols>
  <sheetData>
    <row r="1" spans="1:35" ht="9.9499999999999993" customHeight="1">
      <c r="A1" s="876"/>
      <c r="B1" s="876"/>
      <c r="C1" s="1627"/>
      <c r="D1" s="876"/>
      <c r="E1" s="876"/>
      <c r="F1" s="878"/>
      <c r="G1" s="879"/>
      <c r="H1" s="1342"/>
      <c r="I1" s="878"/>
      <c r="J1" s="878"/>
      <c r="K1" s="878"/>
      <c r="L1" s="878"/>
      <c r="M1" s="878"/>
      <c r="N1" s="878"/>
      <c r="O1" s="878"/>
      <c r="P1" s="878"/>
      <c r="Q1" s="878"/>
      <c r="R1" s="878"/>
    </row>
    <row r="2" spans="1:35" ht="18.75">
      <c r="A2" s="2103" t="s">
        <v>1394</v>
      </c>
      <c r="B2" s="2103"/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3"/>
      <c r="P2" s="2103"/>
      <c r="Q2" s="1628"/>
      <c r="R2" s="1628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1:35">
      <c r="A3" s="876"/>
      <c r="B3" s="876"/>
      <c r="C3" s="878"/>
      <c r="D3" s="876"/>
      <c r="E3" s="876"/>
      <c r="F3" s="2185" t="s">
        <v>249</v>
      </c>
      <c r="G3" s="2186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</row>
    <row r="4" spans="1:35">
      <c r="A4" s="876" t="s">
        <v>508</v>
      </c>
      <c r="B4" s="1629"/>
      <c r="C4" s="1630"/>
      <c r="D4" s="878"/>
      <c r="E4" s="870">
        <f>'Annual HCD Updates'!E5</f>
        <v>68500</v>
      </c>
      <c r="F4" s="2187">
        <f>'Annual HCD Updates'!F5:G5</f>
        <v>2021</v>
      </c>
      <c r="G4" s="218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</row>
    <row r="5" spans="1:35" ht="15.75" hidden="1">
      <c r="A5" s="876" t="s">
        <v>509</v>
      </c>
      <c r="B5" s="1629"/>
      <c r="C5" s="1630"/>
      <c r="D5" s="878"/>
      <c r="E5" s="870">
        <f>E4*2</f>
        <v>137000</v>
      </c>
      <c r="F5" s="2187" t="e">
        <f>_xlfn.SINGLE('Annual HCD Updates'!#REF!)</f>
        <v>#REF!</v>
      </c>
      <c r="G5" s="218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AI5" s="100"/>
    </row>
    <row r="6" spans="1:35">
      <c r="A6" s="876" t="s">
        <v>507</v>
      </c>
      <c r="B6" s="1629"/>
      <c r="C6" s="1630"/>
      <c r="D6" s="878"/>
      <c r="E6" s="870">
        <f>'Annual HCD Updates'!E6</f>
        <v>125600</v>
      </c>
      <c r="F6" s="2187">
        <f>'Annual HCD Updates'!F6:G6</f>
        <v>2021</v>
      </c>
      <c r="G6" s="2189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</row>
    <row r="7" spans="1:35" ht="15.75">
      <c r="A7" s="876" t="s">
        <v>353</v>
      </c>
      <c r="B7" s="1629"/>
      <c r="C7" s="1630"/>
      <c r="D7" s="878"/>
      <c r="E7" s="1631">
        <f>'Annual HCD Updates'!E7</f>
        <v>0.3</v>
      </c>
      <c r="F7" s="2190"/>
      <c r="G7" s="2191"/>
      <c r="H7" s="878"/>
      <c r="I7" s="878"/>
      <c r="J7" s="878"/>
      <c r="K7" s="878"/>
      <c r="L7" s="878"/>
      <c r="M7" s="878"/>
      <c r="N7" s="878"/>
      <c r="O7" s="878"/>
      <c r="P7" s="878"/>
      <c r="Q7" s="878"/>
      <c r="R7" s="878"/>
      <c r="AI7" s="100"/>
    </row>
    <row r="8" spans="1:35" ht="6" customHeight="1" thickBot="1">
      <c r="A8" s="876"/>
      <c r="B8" s="876"/>
      <c r="C8" s="877"/>
      <c r="D8" s="876"/>
      <c r="E8" s="876"/>
      <c r="F8" s="878"/>
      <c r="G8" s="879"/>
      <c r="H8" s="878"/>
      <c r="I8" s="878"/>
      <c r="J8" s="878"/>
      <c r="K8" s="878"/>
      <c r="L8" s="874"/>
      <c r="M8" s="874"/>
      <c r="N8" s="874"/>
      <c r="O8" s="874"/>
      <c r="P8" s="874"/>
      <c r="Q8" s="878"/>
      <c r="R8" s="878"/>
    </row>
    <row r="9" spans="1:35" ht="15.95" customHeight="1">
      <c r="A9" s="1956" t="s">
        <v>250</v>
      </c>
      <c r="B9" s="1957"/>
      <c r="C9" s="1957"/>
      <c r="D9" s="1957"/>
      <c r="E9" s="1957"/>
      <c r="F9" s="1957"/>
      <c r="G9" s="1957"/>
      <c r="H9" s="1957"/>
      <c r="I9" s="1958"/>
      <c r="J9" s="878"/>
      <c r="K9" s="878"/>
      <c r="L9" s="1893" t="s">
        <v>510</v>
      </c>
      <c r="M9" s="1894"/>
      <c r="N9" s="1894"/>
      <c r="O9" s="1894"/>
      <c r="P9" s="1895"/>
      <c r="Q9" s="878"/>
      <c r="R9" s="878"/>
    </row>
    <row r="10" spans="1:35" ht="15.75">
      <c r="A10" s="1632" t="s">
        <v>249</v>
      </c>
      <c r="B10" s="1633"/>
      <c r="C10" s="1634">
        <f>F6</f>
        <v>2021</v>
      </c>
      <c r="D10" s="1635"/>
      <c r="E10" s="1636"/>
      <c r="F10" s="1636"/>
      <c r="G10" s="1636"/>
      <c r="H10" s="1636"/>
      <c r="I10" s="1637"/>
      <c r="J10" s="878"/>
      <c r="K10" s="878"/>
      <c r="L10" s="2201" t="s">
        <v>249</v>
      </c>
      <c r="M10" s="2202"/>
      <c r="N10" s="2199">
        <f>'Annual HCD Updates'!C10</f>
        <v>0</v>
      </c>
      <c r="O10" s="2200"/>
      <c r="P10" s="884"/>
      <c r="Q10" s="878"/>
      <c r="R10" s="878"/>
      <c r="AI10" s="100"/>
    </row>
    <row r="11" spans="1:35" ht="15.75" customHeight="1">
      <c r="A11" s="2203" t="s">
        <v>354</v>
      </c>
      <c r="B11" s="2204"/>
      <c r="C11" s="2204"/>
      <c r="D11" s="2205"/>
      <c r="E11" s="886">
        <v>0</v>
      </c>
      <c r="F11" s="886">
        <v>1</v>
      </c>
      <c r="G11" s="886">
        <v>2</v>
      </c>
      <c r="H11" s="886">
        <v>3</v>
      </c>
      <c r="I11" s="1638">
        <v>4</v>
      </c>
      <c r="J11" s="878"/>
      <c r="K11" s="878"/>
      <c r="L11" s="885">
        <v>0</v>
      </c>
      <c r="M11" s="886">
        <v>1</v>
      </c>
      <c r="N11" s="886">
        <v>2</v>
      </c>
      <c r="O11" s="886">
        <v>3</v>
      </c>
      <c r="P11" s="887">
        <v>4</v>
      </c>
      <c r="Q11" s="878"/>
      <c r="R11" s="878"/>
    </row>
    <row r="12" spans="1:35" ht="14.25" customHeight="1">
      <c r="A12" s="2203" t="s">
        <v>261</v>
      </c>
      <c r="B12" s="2204"/>
      <c r="C12" s="2204"/>
      <c r="D12" s="2205"/>
      <c r="E12" s="1639">
        <v>1</v>
      </c>
      <c r="F12" s="1640">
        <f>F11*1.5</f>
        <v>1.5</v>
      </c>
      <c r="G12" s="1640">
        <f>G11*1.5</f>
        <v>3</v>
      </c>
      <c r="H12" s="1640">
        <v>4.5</v>
      </c>
      <c r="I12" s="1641">
        <v>6</v>
      </c>
      <c r="J12" s="878"/>
      <c r="K12" s="878"/>
      <c r="L12" s="1642">
        <f>'Annual HCD Updates'!A12</f>
        <v>0</v>
      </c>
      <c r="M12" s="1643">
        <f>'Annual HCD Updates'!B12</f>
        <v>0</v>
      </c>
      <c r="N12" s="1643">
        <f>'Annual HCD Updates'!C12</f>
        <v>0</v>
      </c>
      <c r="O12" s="1643">
        <f>'Annual HCD Updates'!D12</f>
        <v>0</v>
      </c>
      <c r="P12" s="1644">
        <f>'Annual HCD Updates'!E12</f>
        <v>0</v>
      </c>
      <c r="Q12" s="878"/>
      <c r="R12" s="878"/>
      <c r="AI12" s="100"/>
    </row>
    <row r="13" spans="1:35" ht="15" customHeight="1" thickBot="1">
      <c r="A13" s="2206" t="s">
        <v>346</v>
      </c>
      <c r="B13" s="2207"/>
      <c r="C13" s="2207"/>
      <c r="D13" s="2208"/>
      <c r="E13" s="1645">
        <v>0.7</v>
      </c>
      <c r="F13" s="1645">
        <v>0.75</v>
      </c>
      <c r="G13" s="1645">
        <v>0.9</v>
      </c>
      <c r="H13" s="1645">
        <v>1.04</v>
      </c>
      <c r="I13" s="1646">
        <v>1.1599999999999999</v>
      </c>
      <c r="J13" s="878"/>
      <c r="K13" s="878"/>
      <c r="L13" s="891" t="s">
        <v>616</v>
      </c>
      <c r="M13" s="2196" t="s">
        <v>617</v>
      </c>
      <c r="N13" s="2197"/>
      <c r="O13" s="2197"/>
      <c r="P13" s="2198"/>
      <c r="Q13" s="878"/>
      <c r="R13" s="878"/>
    </row>
    <row r="14" spans="1:35" ht="15.75" customHeight="1">
      <c r="A14" s="865"/>
      <c r="B14" s="868"/>
      <c r="C14" s="868"/>
      <c r="D14" s="868"/>
      <c r="E14" s="2209" t="s">
        <v>260</v>
      </c>
      <c r="F14" s="2210"/>
      <c r="G14" s="2210"/>
      <c r="H14" s="2210"/>
      <c r="I14" s="2211"/>
      <c r="J14" s="878"/>
      <c r="K14" s="878"/>
      <c r="L14" s="878"/>
      <c r="M14" s="878"/>
      <c r="N14" s="878"/>
      <c r="O14" s="878"/>
      <c r="P14" s="878"/>
      <c r="Q14" s="878"/>
      <c r="R14" s="878"/>
    </row>
    <row r="15" spans="1:35" ht="15.75" customHeight="1">
      <c r="A15" s="865"/>
      <c r="B15" s="868"/>
      <c r="C15" s="2192">
        <v>0.2</v>
      </c>
      <c r="D15" s="2193"/>
      <c r="E15" s="1531">
        <f t="shared" ref="E15:I28" si="0">ROUNDDOWN(+$E$6*$E$7*E$13*$C15/12,0)</f>
        <v>439</v>
      </c>
      <c r="F15" s="1531">
        <f t="shared" si="0"/>
        <v>471</v>
      </c>
      <c r="G15" s="1531">
        <f t="shared" si="0"/>
        <v>565</v>
      </c>
      <c r="H15" s="1531">
        <f t="shared" si="0"/>
        <v>653</v>
      </c>
      <c r="I15" s="1647">
        <f t="shared" si="0"/>
        <v>728</v>
      </c>
      <c r="J15" s="878"/>
      <c r="K15" s="878"/>
      <c r="L15" s="878"/>
      <c r="M15" s="878"/>
      <c r="N15" s="878"/>
      <c r="O15" s="878"/>
      <c r="P15" s="878"/>
      <c r="Q15" s="878"/>
      <c r="R15" s="878"/>
    </row>
    <row r="16" spans="1:35" ht="15.75" customHeight="1">
      <c r="A16" s="865"/>
      <c r="B16" s="868"/>
      <c r="C16" s="2192">
        <v>0.25</v>
      </c>
      <c r="D16" s="2193"/>
      <c r="E16" s="1531">
        <f t="shared" si="0"/>
        <v>549</v>
      </c>
      <c r="F16" s="1531">
        <f t="shared" si="0"/>
        <v>588</v>
      </c>
      <c r="G16" s="1531">
        <f t="shared" si="0"/>
        <v>706</v>
      </c>
      <c r="H16" s="1531">
        <f t="shared" si="0"/>
        <v>816</v>
      </c>
      <c r="I16" s="1647">
        <f t="shared" si="0"/>
        <v>910</v>
      </c>
      <c r="J16" s="878"/>
      <c r="K16" s="878"/>
      <c r="L16" s="878"/>
      <c r="M16" s="878"/>
      <c r="N16" s="878"/>
      <c r="O16" s="878"/>
      <c r="P16" s="878"/>
      <c r="Q16" s="878"/>
      <c r="R16" s="878"/>
    </row>
    <row r="17" spans="1:18" ht="15.75" customHeight="1">
      <c r="A17" s="865"/>
      <c r="B17" s="868"/>
      <c r="C17" s="2192">
        <v>0.3</v>
      </c>
      <c r="D17" s="2193"/>
      <c r="E17" s="1531">
        <f t="shared" si="0"/>
        <v>659</v>
      </c>
      <c r="F17" s="1531">
        <f t="shared" si="0"/>
        <v>706</v>
      </c>
      <c r="G17" s="1531">
        <f t="shared" si="0"/>
        <v>847</v>
      </c>
      <c r="H17" s="1531">
        <f t="shared" si="0"/>
        <v>979</v>
      </c>
      <c r="I17" s="1647">
        <f t="shared" si="0"/>
        <v>1092</v>
      </c>
      <c r="J17" s="878"/>
      <c r="K17" s="878"/>
      <c r="L17" s="878"/>
      <c r="M17" s="878"/>
      <c r="N17" s="878"/>
      <c r="O17" s="878"/>
      <c r="P17" s="878"/>
      <c r="Q17" s="878"/>
      <c r="R17" s="878"/>
    </row>
    <row r="18" spans="1:18" ht="15.75" customHeight="1">
      <c r="A18" s="865"/>
      <c r="B18" s="868"/>
      <c r="C18" s="2192">
        <v>0.35</v>
      </c>
      <c r="D18" s="2193"/>
      <c r="E18" s="1531">
        <f t="shared" si="0"/>
        <v>769</v>
      </c>
      <c r="F18" s="1531">
        <f t="shared" si="0"/>
        <v>824</v>
      </c>
      <c r="G18" s="1531">
        <f t="shared" si="0"/>
        <v>989</v>
      </c>
      <c r="H18" s="1531">
        <f t="shared" si="0"/>
        <v>1142</v>
      </c>
      <c r="I18" s="1647">
        <f t="shared" si="0"/>
        <v>1274</v>
      </c>
      <c r="J18" s="878"/>
      <c r="K18" s="878"/>
      <c r="L18" s="878"/>
      <c r="M18" s="878"/>
      <c r="N18" s="878"/>
      <c r="O18" s="878"/>
      <c r="P18" s="878"/>
      <c r="Q18" s="878"/>
      <c r="R18" s="878"/>
    </row>
    <row r="19" spans="1:18" ht="15.75" customHeight="1">
      <c r="A19" s="865"/>
      <c r="B19" s="868"/>
      <c r="C19" s="2192">
        <v>0.4</v>
      </c>
      <c r="D19" s="2193"/>
      <c r="E19" s="1531">
        <f t="shared" si="0"/>
        <v>879</v>
      </c>
      <c r="F19" s="1531">
        <f t="shared" si="0"/>
        <v>942</v>
      </c>
      <c r="G19" s="1531">
        <f t="shared" si="0"/>
        <v>1130</v>
      </c>
      <c r="H19" s="1531">
        <f t="shared" si="0"/>
        <v>1306</v>
      </c>
      <c r="I19" s="1647">
        <f t="shared" si="0"/>
        <v>1456</v>
      </c>
      <c r="J19" s="878"/>
      <c r="K19" s="878"/>
      <c r="L19" s="878"/>
      <c r="M19" s="878"/>
      <c r="N19" s="878"/>
      <c r="O19" s="878"/>
      <c r="P19" s="878"/>
      <c r="Q19" s="878"/>
      <c r="R19" s="878"/>
    </row>
    <row r="20" spans="1:18" ht="15.75" customHeight="1">
      <c r="A20" s="865"/>
      <c r="B20" s="868"/>
      <c r="C20" s="2192">
        <v>0.45</v>
      </c>
      <c r="D20" s="2193"/>
      <c r="E20" s="1531">
        <f t="shared" si="0"/>
        <v>989</v>
      </c>
      <c r="F20" s="1531">
        <f t="shared" si="0"/>
        <v>1059</v>
      </c>
      <c r="G20" s="1531">
        <f t="shared" si="0"/>
        <v>1271</v>
      </c>
      <c r="H20" s="1531">
        <f t="shared" si="0"/>
        <v>1469</v>
      </c>
      <c r="I20" s="1647">
        <f t="shared" si="0"/>
        <v>1639</v>
      </c>
      <c r="J20" s="878"/>
      <c r="K20" s="878"/>
      <c r="L20" s="878"/>
      <c r="M20" s="878"/>
      <c r="N20" s="878"/>
      <c r="O20" s="878"/>
      <c r="P20" s="878"/>
      <c r="Q20" s="878"/>
      <c r="R20" s="878"/>
    </row>
    <row r="21" spans="1:18" ht="15.75" customHeight="1">
      <c r="A21" s="865"/>
      <c r="B21" s="868"/>
      <c r="C21" s="2192">
        <v>0.5</v>
      </c>
      <c r="D21" s="2193"/>
      <c r="E21" s="1531">
        <f>ROUNDDOWN(+$E$6*$E$7*E$13*$C21/12,0)</f>
        <v>1099</v>
      </c>
      <c r="F21" s="1531">
        <f t="shared" si="0"/>
        <v>1177</v>
      </c>
      <c r="G21" s="1531">
        <f t="shared" si="0"/>
        <v>1413</v>
      </c>
      <c r="H21" s="1531">
        <f t="shared" si="0"/>
        <v>1632</v>
      </c>
      <c r="I21" s="1647">
        <f t="shared" si="0"/>
        <v>1821</v>
      </c>
      <c r="J21" s="878"/>
      <c r="K21" s="878"/>
      <c r="L21" s="878"/>
      <c r="M21" s="878"/>
      <c r="N21" s="878"/>
      <c r="O21" s="878"/>
      <c r="P21" s="878"/>
      <c r="Q21" s="878"/>
      <c r="R21" s="878"/>
    </row>
    <row r="22" spans="1:18" ht="15.75" customHeight="1">
      <c r="A22" s="865"/>
      <c r="B22" s="868"/>
      <c r="C22" s="2192">
        <v>0.55000000000000004</v>
      </c>
      <c r="D22" s="2193"/>
      <c r="E22" s="1531">
        <f t="shared" ref="E22:E28" si="1">ROUNDDOWN(+$E$6*$E$7*E$13*$C22/12,0)</f>
        <v>1208</v>
      </c>
      <c r="F22" s="1531">
        <f t="shared" si="0"/>
        <v>1295</v>
      </c>
      <c r="G22" s="1531">
        <f t="shared" si="0"/>
        <v>1554</v>
      </c>
      <c r="H22" s="1531">
        <f t="shared" si="0"/>
        <v>1796</v>
      </c>
      <c r="I22" s="1647">
        <f t="shared" si="0"/>
        <v>2003</v>
      </c>
      <c r="J22" s="878"/>
      <c r="K22" s="878"/>
      <c r="L22" s="878"/>
      <c r="M22" s="878"/>
      <c r="N22" s="878"/>
      <c r="O22" s="878"/>
      <c r="P22" s="878"/>
      <c r="Q22" s="878"/>
      <c r="R22" s="878"/>
    </row>
    <row r="23" spans="1:18" ht="15.75" customHeight="1">
      <c r="A23" s="865"/>
      <c r="B23" s="868"/>
      <c r="C23" s="2192">
        <v>0.6</v>
      </c>
      <c r="D23" s="2193"/>
      <c r="E23" s="1648">
        <f t="shared" si="1"/>
        <v>1318</v>
      </c>
      <c r="F23" s="1648">
        <f t="shared" si="0"/>
        <v>1413</v>
      </c>
      <c r="G23" s="1648">
        <f t="shared" si="0"/>
        <v>1695</v>
      </c>
      <c r="H23" s="1648">
        <f t="shared" si="0"/>
        <v>1959</v>
      </c>
      <c r="I23" s="1649">
        <f t="shared" si="0"/>
        <v>2185</v>
      </c>
      <c r="J23" s="878"/>
      <c r="K23" s="878"/>
      <c r="L23" s="878"/>
      <c r="M23" s="878"/>
      <c r="N23" s="878"/>
      <c r="O23" s="878"/>
      <c r="P23" s="878"/>
      <c r="Q23" s="878"/>
      <c r="R23" s="878"/>
    </row>
    <row r="24" spans="1:18" ht="15.75" customHeight="1">
      <c r="A24" s="865"/>
      <c r="B24" s="868"/>
      <c r="C24" s="2192">
        <v>0.7</v>
      </c>
      <c r="D24" s="2193"/>
      <c r="E24" s="1531">
        <f t="shared" si="1"/>
        <v>1538</v>
      </c>
      <c r="F24" s="1531">
        <f t="shared" si="0"/>
        <v>1648</v>
      </c>
      <c r="G24" s="1531">
        <f t="shared" si="0"/>
        <v>1978</v>
      </c>
      <c r="H24" s="1531">
        <f t="shared" si="0"/>
        <v>2285</v>
      </c>
      <c r="I24" s="1647">
        <f t="shared" si="0"/>
        <v>2549</v>
      </c>
      <c r="J24" s="878"/>
      <c r="K24" s="878"/>
      <c r="L24" s="878"/>
      <c r="M24" s="878"/>
      <c r="N24" s="878"/>
      <c r="O24" s="878"/>
      <c r="P24" s="878"/>
      <c r="Q24" s="878"/>
      <c r="R24" s="878"/>
    </row>
    <row r="25" spans="1:18" ht="15.75" customHeight="1">
      <c r="A25" s="865"/>
      <c r="B25" s="868"/>
      <c r="C25" s="2192">
        <v>0.8</v>
      </c>
      <c r="D25" s="2193"/>
      <c r="E25" s="1531">
        <f t="shared" si="1"/>
        <v>1758</v>
      </c>
      <c r="F25" s="1531">
        <f t="shared" si="0"/>
        <v>1884</v>
      </c>
      <c r="G25" s="1531">
        <f t="shared" si="0"/>
        <v>2260</v>
      </c>
      <c r="H25" s="1531">
        <f t="shared" si="0"/>
        <v>2612</v>
      </c>
      <c r="I25" s="1647">
        <f t="shared" si="0"/>
        <v>2913</v>
      </c>
      <c r="J25" s="878"/>
      <c r="K25" s="878"/>
      <c r="L25" s="878"/>
      <c r="M25" s="878"/>
      <c r="N25" s="878"/>
      <c r="O25" s="878"/>
      <c r="P25" s="878"/>
      <c r="Q25" s="878"/>
      <c r="R25" s="878"/>
    </row>
    <row r="26" spans="1:18" ht="18" customHeight="1">
      <c r="A26" s="865"/>
      <c r="B26" s="1044"/>
      <c r="C26" s="2192">
        <v>1</v>
      </c>
      <c r="D26" s="2193"/>
      <c r="E26" s="1531">
        <f t="shared" si="1"/>
        <v>2198</v>
      </c>
      <c r="F26" s="1531">
        <f t="shared" si="0"/>
        <v>2355</v>
      </c>
      <c r="G26" s="1531">
        <f t="shared" si="0"/>
        <v>2826</v>
      </c>
      <c r="H26" s="1531">
        <f t="shared" si="0"/>
        <v>3265</v>
      </c>
      <c r="I26" s="1647">
        <f t="shared" si="0"/>
        <v>3642</v>
      </c>
      <c r="J26" s="878"/>
      <c r="K26" s="878"/>
      <c r="L26" s="878"/>
      <c r="M26" s="878"/>
      <c r="N26" s="878"/>
      <c r="O26" s="878"/>
      <c r="P26" s="878"/>
      <c r="Q26" s="878"/>
      <c r="R26" s="878"/>
    </row>
    <row r="27" spans="1:18" ht="18" customHeight="1">
      <c r="A27" s="865"/>
      <c r="B27" s="1044"/>
      <c r="C27" s="2192">
        <v>1.1000000000000001</v>
      </c>
      <c r="D27" s="2193"/>
      <c r="E27" s="1531">
        <f t="shared" si="1"/>
        <v>2417</v>
      </c>
      <c r="F27" s="1531">
        <f t="shared" si="0"/>
        <v>2590</v>
      </c>
      <c r="G27" s="1531">
        <f t="shared" si="0"/>
        <v>3108</v>
      </c>
      <c r="H27" s="1531">
        <f t="shared" si="0"/>
        <v>3592</v>
      </c>
      <c r="I27" s="1647">
        <f t="shared" si="0"/>
        <v>4006</v>
      </c>
      <c r="J27" s="878"/>
      <c r="K27" s="878"/>
      <c r="L27" s="878"/>
      <c r="M27" s="878"/>
      <c r="N27" s="878"/>
      <c r="O27" s="878"/>
      <c r="P27" s="878"/>
      <c r="Q27" s="878"/>
      <c r="R27" s="878"/>
    </row>
    <row r="28" spans="1:18" ht="15.75" thickBot="1">
      <c r="A28" s="1650"/>
      <c r="B28" s="874"/>
      <c r="C28" s="2194">
        <v>1.2</v>
      </c>
      <c r="D28" s="2195"/>
      <c r="E28" s="1651">
        <f t="shared" si="1"/>
        <v>2637</v>
      </c>
      <c r="F28" s="1651">
        <f t="shared" si="0"/>
        <v>2826</v>
      </c>
      <c r="G28" s="1651">
        <f t="shared" si="0"/>
        <v>3391</v>
      </c>
      <c r="H28" s="1651">
        <f t="shared" si="0"/>
        <v>3918</v>
      </c>
      <c r="I28" s="1652">
        <f t="shared" si="0"/>
        <v>4370</v>
      </c>
      <c r="J28" s="878"/>
      <c r="K28" s="878"/>
      <c r="L28" s="878"/>
      <c r="M28" s="878"/>
      <c r="N28" s="878"/>
      <c r="O28" s="878"/>
      <c r="P28" s="878"/>
      <c r="Q28" s="878"/>
      <c r="R28" s="878"/>
    </row>
    <row r="29" spans="1:18">
      <c r="A29" s="878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</row>
    <row r="30" spans="1:18" ht="8.25" customHeight="1">
      <c r="A30" s="9"/>
      <c r="B30" s="9"/>
      <c r="C30" s="24"/>
      <c r="D30" s="9"/>
      <c r="E30" s="9"/>
      <c r="G30" s="22"/>
    </row>
    <row r="31" spans="1:18">
      <c r="A31" s="9"/>
      <c r="B31" s="9"/>
      <c r="C31" s="24"/>
      <c r="D31" s="9"/>
      <c r="E31" s="9"/>
      <c r="G31" s="22"/>
    </row>
    <row r="32" spans="1:18">
      <c r="A32" s="9"/>
      <c r="B32" s="9"/>
      <c r="C32" s="24"/>
      <c r="D32" s="9"/>
      <c r="E32" s="9"/>
      <c r="G32" s="22"/>
    </row>
    <row r="33" spans="1:8">
      <c r="A33" s="9"/>
      <c r="B33" s="9"/>
      <c r="C33" s="24"/>
      <c r="D33" s="9"/>
      <c r="E33" s="9"/>
      <c r="G33" s="22"/>
    </row>
    <row r="34" spans="1:8">
      <c r="A34" s="16"/>
      <c r="B34" s="10"/>
      <c r="C34" s="10"/>
      <c r="D34" s="6"/>
      <c r="E34" s="6"/>
      <c r="F34" s="22"/>
      <c r="G34" s="22"/>
    </row>
    <row r="35" spans="1:8">
      <c r="A35" s="9"/>
      <c r="B35" s="10"/>
      <c r="C35" s="10"/>
      <c r="D35" s="6"/>
      <c r="E35" s="6"/>
      <c r="F35" s="22"/>
      <c r="G35" s="22"/>
    </row>
    <row r="36" spans="1:8">
      <c r="A36" s="60"/>
      <c r="B36" s="128"/>
      <c r="C36" s="124"/>
      <c r="D36" s="136"/>
      <c r="E36" s="60"/>
      <c r="F36" s="137"/>
      <c r="G36" s="137"/>
      <c r="H36" s="133"/>
    </row>
    <row r="37" spans="1:8">
      <c r="A37" s="60"/>
      <c r="B37" s="128"/>
      <c r="C37" s="124"/>
      <c r="D37" s="136"/>
      <c r="E37" s="60"/>
      <c r="F37" s="137"/>
      <c r="G37" s="137"/>
      <c r="H37" s="133"/>
    </row>
    <row r="38" spans="1:8">
      <c r="A38" s="60"/>
      <c r="B38" s="128"/>
      <c r="C38" s="124"/>
      <c r="D38" s="136"/>
      <c r="E38" s="124"/>
      <c r="F38" s="137"/>
      <c r="G38" s="137"/>
      <c r="H38" s="133"/>
    </row>
    <row r="39" spans="1:8">
      <c r="A39" s="60"/>
      <c r="B39" s="60"/>
      <c r="C39" s="60"/>
      <c r="D39" s="60"/>
      <c r="E39" s="60"/>
      <c r="F39" s="134"/>
      <c r="G39" s="137"/>
      <c r="H39" s="133"/>
    </row>
    <row r="40" spans="1:8">
      <c r="A40" s="133"/>
      <c r="B40" s="133"/>
      <c r="C40" s="133"/>
      <c r="D40" s="133"/>
      <c r="E40" s="133"/>
      <c r="F40" s="133"/>
      <c r="G40" s="138"/>
      <c r="H40" s="133"/>
    </row>
    <row r="41" spans="1:8">
      <c r="A41" s="133"/>
      <c r="B41" s="133"/>
      <c r="C41" s="133"/>
      <c r="D41" s="133"/>
      <c r="E41" s="133"/>
      <c r="F41" s="133"/>
      <c r="G41" s="139"/>
      <c r="H41" s="133"/>
    </row>
    <row r="42" spans="1:8">
      <c r="A42" s="133"/>
      <c r="B42" s="133"/>
      <c r="C42" s="133"/>
      <c r="D42" s="133"/>
      <c r="E42" s="133"/>
      <c r="F42" s="133"/>
      <c r="G42" s="124"/>
      <c r="H42" s="137"/>
    </row>
    <row r="43" spans="1:8">
      <c r="A43" s="136"/>
      <c r="B43" s="128"/>
      <c r="C43" s="132"/>
      <c r="D43" s="132"/>
      <c r="E43" s="132"/>
      <c r="F43" s="132"/>
      <c r="G43" s="124"/>
      <c r="H43" s="137"/>
    </row>
    <row r="44" spans="1:8">
      <c r="A44" s="136"/>
      <c r="B44" s="128"/>
      <c r="C44" s="132"/>
      <c r="D44" s="132"/>
      <c r="E44" s="132"/>
      <c r="F44" s="132"/>
      <c r="G44" s="124"/>
      <c r="H44" s="137"/>
    </row>
    <row r="45" spans="1:8">
      <c r="A45" s="60"/>
      <c r="B45" s="128"/>
      <c r="C45" s="132"/>
      <c r="D45" s="132"/>
      <c r="E45" s="132"/>
      <c r="F45" s="132"/>
      <c r="G45" s="124"/>
      <c r="H45" s="137"/>
    </row>
    <row r="46" spans="1:8">
      <c r="A46" s="60"/>
      <c r="B46" s="128"/>
      <c r="C46" s="132"/>
      <c r="D46" s="132"/>
      <c r="E46" s="132"/>
      <c r="F46" s="132"/>
      <c r="G46" s="132"/>
      <c r="H46" s="137"/>
    </row>
    <row r="47" spans="1:8">
      <c r="A47" s="60"/>
      <c r="B47" s="140"/>
      <c r="C47" s="140"/>
      <c r="D47" s="140"/>
      <c r="E47" s="140"/>
      <c r="F47" s="140"/>
      <c r="G47" s="140"/>
      <c r="H47" s="137"/>
    </row>
    <row r="48" spans="1:8">
      <c r="A48" s="60"/>
      <c r="B48" s="140"/>
      <c r="C48" s="140"/>
      <c r="D48" s="140"/>
      <c r="E48" s="140"/>
      <c r="F48" s="140"/>
      <c r="G48" s="140"/>
      <c r="H48" s="132"/>
    </row>
    <row r="49" spans="1:16">
      <c r="A49" s="60"/>
      <c r="B49" s="128"/>
      <c r="C49" s="132"/>
      <c r="D49" s="132"/>
      <c r="E49" s="132"/>
      <c r="F49" s="131"/>
      <c r="G49" s="137"/>
      <c r="H49" s="132"/>
    </row>
    <row r="50" spans="1:16">
      <c r="A50" s="125"/>
      <c r="B50" s="124"/>
      <c r="C50" s="141"/>
      <c r="D50" s="141"/>
      <c r="E50" s="130"/>
      <c r="F50" s="133"/>
      <c r="G50" s="133"/>
      <c r="H50" s="132"/>
    </row>
    <row r="51" spans="1:16">
      <c r="A51" s="60"/>
      <c r="B51" s="124"/>
      <c r="C51" s="141"/>
      <c r="D51" s="141"/>
      <c r="E51" s="141"/>
      <c r="F51" s="142"/>
      <c r="G51" s="137"/>
      <c r="H51" s="132"/>
    </row>
    <row r="52" spans="1:16">
      <c r="A52" s="125"/>
      <c r="B52" s="124"/>
      <c r="C52" s="141"/>
      <c r="D52" s="141"/>
      <c r="E52" s="141"/>
      <c r="F52" s="142"/>
      <c r="G52" s="137"/>
      <c r="H52" s="132"/>
    </row>
    <row r="53" spans="1:16">
      <c r="A53" s="143"/>
      <c r="B53" s="144"/>
      <c r="C53" s="145"/>
      <c r="D53" s="145"/>
      <c r="E53" s="141"/>
      <c r="F53" s="141"/>
      <c r="G53" s="141"/>
      <c r="H53" s="141"/>
      <c r="I53" s="4"/>
      <c r="J53" s="9"/>
      <c r="K53" s="9"/>
      <c r="L53" s="9"/>
      <c r="M53" s="9"/>
      <c r="N53" s="9"/>
      <c r="O53" s="9"/>
      <c r="P53" s="9"/>
    </row>
    <row r="54" spans="1:16">
      <c r="A54" s="60"/>
      <c r="B54" s="128"/>
      <c r="C54" s="146"/>
      <c r="D54" s="146"/>
      <c r="E54" s="146"/>
      <c r="F54" s="146"/>
      <c r="G54" s="141"/>
      <c r="H54" s="141"/>
      <c r="I54" s="4"/>
      <c r="J54" s="9"/>
      <c r="K54" s="9"/>
      <c r="L54" s="9"/>
      <c r="M54" s="9"/>
      <c r="N54" s="9"/>
      <c r="O54" s="9"/>
      <c r="P54" s="9"/>
    </row>
    <row r="55" spans="1:16" s="9" customFormat="1">
      <c r="A55" s="60"/>
      <c r="B55" s="128"/>
      <c r="C55" s="146"/>
      <c r="D55" s="146"/>
      <c r="E55" s="146"/>
      <c r="F55" s="146"/>
      <c r="G55" s="141"/>
      <c r="H55" s="141"/>
      <c r="I55" s="4"/>
    </row>
    <row r="56" spans="1:16" s="9" customFormat="1">
      <c r="A56" s="60"/>
      <c r="B56" s="128"/>
      <c r="C56" s="146"/>
      <c r="D56" s="146"/>
      <c r="E56" s="146"/>
      <c r="F56" s="146"/>
      <c r="G56" s="141"/>
      <c r="H56" s="141"/>
      <c r="I56" s="4"/>
    </row>
    <row r="57" spans="1:16" s="9" customFormat="1">
      <c r="A57" s="60"/>
      <c r="B57" s="128"/>
      <c r="C57" s="147"/>
      <c r="D57" s="147"/>
      <c r="E57" s="147"/>
      <c r="F57" s="147"/>
      <c r="G57" s="141"/>
      <c r="H57" s="141"/>
      <c r="I57" s="4"/>
    </row>
    <row r="58" spans="1:16" s="9" customFormat="1">
      <c r="A58" s="60"/>
      <c r="B58" s="128"/>
      <c r="C58" s="145"/>
      <c r="D58" s="145"/>
      <c r="E58" s="141"/>
      <c r="F58" s="141"/>
      <c r="G58" s="141"/>
      <c r="H58" s="141"/>
      <c r="I58" s="4"/>
    </row>
    <row r="59" spans="1:16" s="9" customFormat="1">
      <c r="A59" s="143"/>
      <c r="B59" s="144"/>
      <c r="C59" s="145"/>
      <c r="D59" s="145"/>
      <c r="E59" s="141"/>
      <c r="F59" s="141"/>
      <c r="G59" s="141"/>
      <c r="H59" s="141"/>
      <c r="I59" s="4"/>
    </row>
    <row r="60" spans="1:16" s="9" customFormat="1">
      <c r="A60" s="60"/>
      <c r="B60" s="128"/>
      <c r="C60" s="146"/>
      <c r="D60" s="146"/>
      <c r="E60" s="146"/>
      <c r="F60" s="146"/>
      <c r="G60" s="141"/>
      <c r="H60" s="141"/>
      <c r="I60" s="4"/>
    </row>
    <row r="61" spans="1:16" s="9" customFormat="1">
      <c r="A61" s="60"/>
      <c r="B61" s="128"/>
      <c r="C61" s="146"/>
      <c r="D61" s="146"/>
      <c r="E61" s="146"/>
      <c r="F61" s="146"/>
      <c r="G61" s="141"/>
      <c r="H61" s="141"/>
      <c r="I61" s="4"/>
    </row>
    <row r="62" spans="1:16" s="9" customFormat="1">
      <c r="A62" s="60"/>
      <c r="B62" s="128"/>
      <c r="C62" s="146"/>
      <c r="D62" s="146"/>
      <c r="E62" s="146"/>
      <c r="F62" s="146"/>
      <c r="G62" s="141"/>
      <c r="H62" s="141"/>
      <c r="I62" s="4"/>
    </row>
    <row r="63" spans="1:16" s="9" customFormat="1">
      <c r="A63" s="60"/>
      <c r="B63" s="128"/>
      <c r="C63" s="147"/>
      <c r="D63" s="147"/>
      <c r="E63" s="147"/>
      <c r="F63" s="147"/>
      <c r="G63" s="141"/>
      <c r="H63" s="141"/>
      <c r="I63" s="4"/>
    </row>
    <row r="64" spans="1:16" s="9" customFormat="1">
      <c r="A64" s="60"/>
      <c r="B64" s="128"/>
      <c r="C64" s="145"/>
      <c r="D64" s="145"/>
      <c r="E64" s="141"/>
      <c r="F64" s="141"/>
      <c r="G64" s="141"/>
      <c r="H64" s="141"/>
      <c r="I64" s="4"/>
    </row>
    <row r="65" spans="1:9" s="9" customFormat="1">
      <c r="A65" s="143"/>
      <c r="B65" s="144"/>
      <c r="C65" s="145"/>
      <c r="D65" s="145"/>
      <c r="E65" s="141"/>
      <c r="F65" s="141"/>
      <c r="G65" s="141"/>
      <c r="H65" s="141"/>
      <c r="I65" s="4"/>
    </row>
    <row r="66" spans="1:9" s="9" customFormat="1">
      <c r="A66" s="60"/>
      <c r="B66" s="128"/>
      <c r="C66" s="146"/>
      <c r="D66" s="146"/>
      <c r="E66" s="146"/>
      <c r="F66" s="146"/>
      <c r="G66" s="141"/>
      <c r="H66" s="141"/>
      <c r="I66" s="4"/>
    </row>
    <row r="67" spans="1:9" s="9" customFormat="1">
      <c r="A67" s="60"/>
      <c r="B67" s="128"/>
      <c r="C67" s="146"/>
      <c r="D67" s="146"/>
      <c r="E67" s="146"/>
      <c r="F67" s="146"/>
      <c r="G67" s="141"/>
      <c r="H67" s="141"/>
      <c r="I67" s="4"/>
    </row>
    <row r="68" spans="1:9" s="9" customFormat="1">
      <c r="A68" s="60"/>
      <c r="B68" s="128"/>
      <c r="C68" s="146"/>
      <c r="D68" s="146"/>
      <c r="E68" s="146"/>
      <c r="F68" s="146"/>
      <c r="G68" s="141"/>
      <c r="H68" s="141"/>
      <c r="I68" s="4"/>
    </row>
    <row r="69" spans="1:9" s="9" customFormat="1">
      <c r="A69" s="60"/>
      <c r="B69" s="128"/>
      <c r="C69" s="147"/>
      <c r="D69" s="147"/>
      <c r="E69" s="147"/>
      <c r="F69" s="147"/>
      <c r="G69" s="141"/>
      <c r="H69" s="141"/>
      <c r="I69" s="4"/>
    </row>
    <row r="70" spans="1:9" s="9" customFormat="1">
      <c r="A70" s="60"/>
      <c r="B70" s="128"/>
      <c r="C70" s="147"/>
      <c r="D70" s="147"/>
      <c r="E70" s="147"/>
      <c r="F70" s="147"/>
      <c r="G70" s="141"/>
      <c r="H70" s="141"/>
      <c r="I70" s="4"/>
    </row>
    <row r="71" spans="1:9" s="9" customFormat="1">
      <c r="A71" s="143"/>
      <c r="B71" s="144"/>
      <c r="C71" s="147"/>
      <c r="D71" s="147"/>
      <c r="E71" s="147"/>
      <c r="F71" s="147"/>
      <c r="G71" s="141"/>
      <c r="H71" s="141"/>
      <c r="I71" s="4"/>
    </row>
    <row r="72" spans="1:9" s="9" customFormat="1">
      <c r="A72" s="60"/>
      <c r="B72" s="128"/>
      <c r="C72" s="146"/>
      <c r="D72" s="146"/>
      <c r="E72" s="146"/>
      <c r="F72" s="146"/>
      <c r="G72" s="141"/>
      <c r="H72" s="141"/>
      <c r="I72" s="4"/>
    </row>
    <row r="73" spans="1:9" s="9" customFormat="1">
      <c r="A73" s="60"/>
      <c r="B73" s="128"/>
      <c r="C73" s="146"/>
      <c r="D73" s="146"/>
      <c r="E73" s="146"/>
      <c r="F73" s="146"/>
      <c r="G73" s="141"/>
      <c r="H73" s="141"/>
      <c r="I73" s="4"/>
    </row>
    <row r="74" spans="1:9" s="9" customFormat="1">
      <c r="A74" s="60"/>
      <c r="B74" s="128"/>
      <c r="C74" s="146"/>
      <c r="D74" s="146"/>
      <c r="E74" s="146"/>
      <c r="F74" s="146"/>
      <c r="G74" s="141"/>
      <c r="H74" s="141"/>
      <c r="I74" s="4"/>
    </row>
    <row r="75" spans="1:9" s="9" customFormat="1">
      <c r="A75" s="60"/>
      <c r="B75" s="128"/>
      <c r="C75" s="147"/>
      <c r="D75" s="147"/>
      <c r="E75" s="147"/>
      <c r="F75" s="147"/>
      <c r="G75" s="141"/>
      <c r="H75" s="141"/>
      <c r="I75" s="4"/>
    </row>
    <row r="76" spans="1:9" s="9" customFormat="1">
      <c r="A76" s="60"/>
      <c r="B76" s="128"/>
      <c r="C76" s="147"/>
      <c r="D76" s="147"/>
      <c r="E76" s="147"/>
      <c r="F76" s="147"/>
      <c r="G76" s="141"/>
      <c r="H76" s="141"/>
      <c r="I76" s="4"/>
    </row>
    <row r="77" spans="1:9" s="9" customFormat="1">
      <c r="A77" s="143"/>
      <c r="B77" s="144"/>
      <c r="C77" s="147"/>
      <c r="D77" s="147"/>
      <c r="E77" s="147"/>
      <c r="F77" s="147"/>
      <c r="G77" s="141"/>
      <c r="H77" s="141"/>
      <c r="I77" s="4"/>
    </row>
    <row r="78" spans="1:9" s="9" customFormat="1">
      <c r="A78" s="60"/>
      <c r="B78" s="128"/>
      <c r="C78" s="146"/>
      <c r="D78" s="146"/>
      <c r="E78" s="146"/>
      <c r="F78" s="146"/>
      <c r="G78" s="141"/>
      <c r="H78" s="141"/>
      <c r="I78" s="4"/>
    </row>
    <row r="79" spans="1:9" s="9" customFormat="1">
      <c r="A79" s="60"/>
      <c r="B79" s="128"/>
      <c r="C79" s="146"/>
      <c r="D79" s="146"/>
      <c r="E79" s="146"/>
      <c r="F79" s="146"/>
      <c r="G79" s="141"/>
      <c r="H79" s="141"/>
      <c r="I79" s="4"/>
    </row>
    <row r="80" spans="1:9" s="9" customFormat="1">
      <c r="A80" s="60"/>
      <c r="B80" s="128"/>
      <c r="C80" s="146"/>
      <c r="D80" s="146"/>
      <c r="E80" s="146"/>
      <c r="F80" s="146"/>
      <c r="G80" s="141"/>
      <c r="H80" s="141"/>
      <c r="I80" s="4"/>
    </row>
    <row r="81" spans="1:16" s="9" customFormat="1">
      <c r="A81" s="60"/>
      <c r="B81" s="128"/>
      <c r="C81" s="147"/>
      <c r="D81" s="147"/>
      <c r="E81" s="147"/>
      <c r="F81" s="147"/>
      <c r="G81" s="141"/>
      <c r="H81" s="141"/>
      <c r="I81" s="4"/>
    </row>
    <row r="82" spans="1:16" s="9" customFormat="1">
      <c r="A82" s="60"/>
      <c r="B82" s="128"/>
      <c r="C82" s="147"/>
      <c r="D82" s="147"/>
      <c r="E82" s="147"/>
      <c r="F82" s="147"/>
      <c r="G82" s="141"/>
      <c r="H82" s="141"/>
      <c r="I82" s="4"/>
    </row>
    <row r="83" spans="1:16" s="9" customFormat="1">
      <c r="A83" s="143"/>
      <c r="B83" s="128"/>
      <c r="C83" s="147"/>
      <c r="D83" s="147"/>
      <c r="E83" s="147"/>
      <c r="F83" s="147"/>
      <c r="G83" s="141"/>
      <c r="H83" s="141"/>
      <c r="I83" s="4"/>
    </row>
    <row r="84" spans="1:16" s="9" customFormat="1">
      <c r="A84" s="60"/>
      <c r="B84" s="128"/>
      <c r="C84" s="146"/>
      <c r="D84" s="146"/>
      <c r="E84" s="146"/>
      <c r="F84" s="146"/>
      <c r="G84" s="141"/>
      <c r="H84" s="141"/>
      <c r="I84" s="4"/>
    </row>
    <row r="85" spans="1:16" s="9" customFormat="1" ht="12.95" customHeight="1">
      <c r="A85" s="60"/>
      <c r="B85" s="128"/>
      <c r="C85" s="146"/>
      <c r="D85" s="146"/>
      <c r="E85" s="146"/>
      <c r="F85" s="146"/>
      <c r="G85" s="141"/>
      <c r="H85" s="141"/>
      <c r="I85" s="4"/>
    </row>
    <row r="86" spans="1:16" s="9" customFormat="1" ht="14.1" customHeight="1">
      <c r="A86" s="60"/>
      <c r="B86" s="128"/>
      <c r="C86" s="146"/>
      <c r="D86" s="146"/>
      <c r="E86" s="146"/>
      <c r="F86" s="146"/>
      <c r="G86" s="141"/>
      <c r="H86" s="141"/>
      <c r="I86" s="4"/>
    </row>
    <row r="87" spans="1:16" s="9" customFormat="1" ht="14.1" customHeight="1">
      <c r="A87" s="60"/>
      <c r="B87" s="128"/>
      <c r="C87" s="147"/>
      <c r="D87" s="147"/>
      <c r="E87" s="147"/>
      <c r="F87" s="147"/>
      <c r="G87" s="141"/>
      <c r="H87" s="141"/>
      <c r="I87" s="4"/>
    </row>
    <row r="88" spans="1:16" s="9" customFormat="1" ht="14.1" customHeight="1">
      <c r="A88" s="129"/>
      <c r="B88" s="148"/>
      <c r="C88" s="60"/>
      <c r="D88" s="141"/>
      <c r="E88" s="141"/>
      <c r="F88" s="134"/>
      <c r="G88" s="133"/>
      <c r="H88" s="133"/>
      <c r="I88" s="21"/>
      <c r="J88" s="21"/>
      <c r="K88" s="21"/>
      <c r="L88" s="21"/>
      <c r="M88" s="21"/>
      <c r="N88" s="21"/>
      <c r="O88" s="21"/>
      <c r="P88" s="21"/>
    </row>
    <row r="89" spans="1:16" s="9" customFormat="1" ht="14.1" customHeight="1">
      <c r="A89" s="149"/>
      <c r="B89" s="149"/>
      <c r="C89" s="149"/>
      <c r="D89" s="149"/>
      <c r="E89" s="149"/>
      <c r="F89" s="134"/>
      <c r="G89" s="133"/>
      <c r="H89" s="133"/>
      <c r="I89" s="21"/>
      <c r="J89" s="21"/>
      <c r="K89" s="21"/>
      <c r="L89" s="21"/>
      <c r="M89" s="21"/>
      <c r="N89" s="21"/>
      <c r="O89" s="21"/>
      <c r="P89" s="21"/>
    </row>
    <row r="90" spans="1:16">
      <c r="A90" s="149"/>
      <c r="B90" s="149"/>
      <c r="C90" s="149"/>
      <c r="D90" s="149"/>
      <c r="E90" s="149"/>
      <c r="F90" s="134"/>
      <c r="G90" s="133"/>
      <c r="H90" s="133"/>
    </row>
    <row r="91" spans="1:16">
      <c r="A91" s="149"/>
      <c r="B91" s="149"/>
      <c r="C91" s="149"/>
      <c r="D91" s="149"/>
      <c r="E91" s="149"/>
      <c r="F91" s="134"/>
      <c r="G91" s="133"/>
      <c r="H91" s="133"/>
    </row>
    <row r="92" spans="1:16">
      <c r="A92" s="149"/>
      <c r="B92" s="149"/>
      <c r="C92" s="149"/>
      <c r="D92" s="149"/>
      <c r="E92" s="149"/>
      <c r="F92" s="134"/>
      <c r="G92" s="133"/>
      <c r="H92" s="133"/>
    </row>
    <row r="93" spans="1:16">
      <c r="A93" s="149"/>
      <c r="B93" s="149"/>
      <c r="C93" s="149"/>
      <c r="D93" s="149"/>
      <c r="E93" s="149"/>
      <c r="F93" s="134"/>
      <c r="G93" s="133"/>
      <c r="H93" s="133"/>
    </row>
    <row r="94" spans="1:16">
      <c r="A94" s="149"/>
      <c r="B94" s="149"/>
      <c r="C94" s="149"/>
      <c r="D94" s="149"/>
      <c r="E94" s="149"/>
      <c r="F94" s="134"/>
      <c r="G94" s="133"/>
      <c r="H94" s="133"/>
    </row>
    <row r="95" spans="1:16">
      <c r="A95" s="149"/>
      <c r="B95" s="149"/>
      <c r="C95" s="149"/>
      <c r="D95" s="149"/>
      <c r="E95" s="149"/>
      <c r="F95" s="134"/>
      <c r="G95" s="133"/>
      <c r="H95" s="133"/>
    </row>
    <row r="96" spans="1:16">
      <c r="A96" s="149"/>
      <c r="B96" s="149"/>
      <c r="C96" s="149"/>
      <c r="D96" s="149"/>
      <c r="E96" s="149"/>
      <c r="F96" s="134"/>
      <c r="G96" s="133"/>
      <c r="H96" s="133"/>
    </row>
    <row r="97" spans="1:23">
      <c r="A97" s="149"/>
      <c r="B97" s="149"/>
      <c r="C97" s="149"/>
      <c r="D97" s="149"/>
      <c r="E97" s="149"/>
      <c r="F97" s="134"/>
      <c r="G97" s="133"/>
      <c r="H97" s="133"/>
    </row>
    <row r="98" spans="1:23">
      <c r="A98" s="149"/>
      <c r="B98" s="149"/>
      <c r="C98" s="149"/>
      <c r="D98" s="149"/>
      <c r="E98" s="149"/>
      <c r="F98" s="134"/>
      <c r="G98" s="133"/>
      <c r="H98" s="133"/>
    </row>
    <row r="99" spans="1:23">
      <c r="A99" s="149"/>
      <c r="B99" s="149"/>
      <c r="C99" s="149"/>
      <c r="D99" s="149"/>
      <c r="E99" s="149"/>
      <c r="F99" s="134"/>
      <c r="G99" s="133"/>
      <c r="H99" s="133"/>
    </row>
    <row r="100" spans="1:23">
      <c r="A100" s="149"/>
      <c r="B100" s="149"/>
      <c r="C100" s="149"/>
      <c r="D100" s="149"/>
      <c r="E100" s="149"/>
      <c r="F100" s="134"/>
      <c r="G100" s="133"/>
      <c r="H100" s="133"/>
    </row>
    <row r="101" spans="1:23">
      <c r="A101" s="149"/>
      <c r="B101" s="149"/>
      <c r="C101" s="149"/>
      <c r="D101" s="149"/>
      <c r="E101" s="149"/>
      <c r="F101" s="134"/>
      <c r="G101" s="133"/>
      <c r="H101" s="133"/>
    </row>
    <row r="102" spans="1:23">
      <c r="A102" s="149"/>
      <c r="B102" s="149"/>
      <c r="C102" s="149"/>
      <c r="D102" s="149"/>
      <c r="E102" s="149"/>
      <c r="F102" s="134"/>
      <c r="G102" s="133"/>
      <c r="H102" s="133"/>
    </row>
    <row r="103" spans="1:23">
      <c r="A103" s="149"/>
      <c r="B103" s="149"/>
      <c r="C103" s="149"/>
      <c r="D103" s="149"/>
      <c r="E103" s="149"/>
      <c r="F103" s="134"/>
      <c r="G103" s="133"/>
      <c r="H103" s="133"/>
    </row>
    <row r="104" spans="1:23">
      <c r="A104" s="149"/>
      <c r="B104" s="149"/>
      <c r="C104" s="149"/>
      <c r="D104" s="149"/>
      <c r="E104" s="149"/>
      <c r="F104" s="134"/>
      <c r="G104" s="133"/>
      <c r="H104" s="133"/>
    </row>
    <row r="105" spans="1:23">
      <c r="A105" s="149"/>
      <c r="B105" s="149"/>
      <c r="C105" s="149"/>
      <c r="D105" s="149"/>
      <c r="E105" s="149"/>
      <c r="F105" s="134"/>
      <c r="G105" s="133"/>
      <c r="H105" s="133"/>
    </row>
    <row r="106" spans="1:23">
      <c r="A106" s="149"/>
      <c r="B106" s="149"/>
      <c r="C106" s="149"/>
      <c r="D106" s="149"/>
      <c r="E106" s="149"/>
      <c r="F106" s="134"/>
      <c r="G106" s="133"/>
      <c r="H106" s="133"/>
    </row>
    <row r="107" spans="1:23">
      <c r="A107" s="129"/>
      <c r="B107" s="148"/>
      <c r="C107" s="60"/>
      <c r="D107" s="141"/>
      <c r="E107" s="141"/>
      <c r="F107" s="134"/>
      <c r="G107" s="133"/>
      <c r="H107" s="133"/>
    </row>
    <row r="108" spans="1:23">
      <c r="A108" s="129"/>
      <c r="B108" s="148"/>
      <c r="C108" s="60"/>
      <c r="D108" s="141"/>
      <c r="E108" s="141"/>
      <c r="F108" s="134"/>
      <c r="G108" s="133"/>
      <c r="H108" s="133"/>
    </row>
    <row r="109" spans="1:23">
      <c r="A109" s="133"/>
      <c r="B109" s="133"/>
      <c r="C109" s="133"/>
      <c r="D109" s="133"/>
      <c r="E109" s="133"/>
      <c r="F109" s="133"/>
      <c r="G109" s="133"/>
      <c r="H109" s="133"/>
      <c r="R109" s="16"/>
      <c r="S109" s="28"/>
      <c r="T109" s="9"/>
      <c r="U109" s="4"/>
      <c r="V109" s="4"/>
      <c r="W109" s="25"/>
    </row>
    <row r="110" spans="1:23">
      <c r="A110" s="60"/>
      <c r="B110" s="60"/>
      <c r="C110" s="60"/>
      <c r="D110" s="60"/>
      <c r="E110" s="60"/>
      <c r="F110" s="60"/>
      <c r="G110" s="141"/>
      <c r="H110" s="141"/>
      <c r="I110" s="9"/>
      <c r="J110" s="9"/>
      <c r="K110" s="9"/>
      <c r="L110" s="9"/>
      <c r="M110" s="9"/>
      <c r="N110" s="9"/>
      <c r="O110" s="9"/>
      <c r="P110" s="9"/>
      <c r="R110" s="9"/>
      <c r="S110" s="9"/>
      <c r="T110" s="11"/>
      <c r="U110" s="4"/>
      <c r="V110" s="4"/>
      <c r="W110" s="12"/>
    </row>
    <row r="111" spans="1:23">
      <c r="A111" s="60"/>
      <c r="B111" s="60"/>
      <c r="C111" s="60"/>
      <c r="D111" s="60"/>
      <c r="E111" s="60"/>
      <c r="F111" s="60"/>
      <c r="G111" s="141"/>
      <c r="H111" s="141"/>
      <c r="I111" s="9"/>
      <c r="J111" s="9"/>
      <c r="K111" s="9"/>
      <c r="L111" s="9"/>
      <c r="M111" s="9"/>
      <c r="N111" s="9"/>
      <c r="O111" s="9"/>
      <c r="P111" s="9"/>
      <c r="R111" s="9"/>
      <c r="S111" s="11"/>
      <c r="T111" s="4"/>
      <c r="U111" s="4"/>
      <c r="V111" s="4"/>
      <c r="W111" s="12"/>
    </row>
    <row r="112" spans="1:23" s="9" customFormat="1" ht="14.1" customHeight="1">
      <c r="A112" s="60"/>
      <c r="B112" s="60"/>
      <c r="C112" s="60"/>
      <c r="D112" s="60"/>
      <c r="E112" s="60"/>
      <c r="F112" s="60"/>
      <c r="G112" s="141"/>
      <c r="H112" s="141"/>
      <c r="S112" s="11"/>
      <c r="U112" s="4"/>
      <c r="V112" s="4"/>
      <c r="W112" s="12"/>
    </row>
    <row r="113" spans="1:23" s="9" customFormat="1" ht="14.1" customHeight="1">
      <c r="A113" s="60"/>
      <c r="B113" s="60"/>
      <c r="C113" s="60"/>
      <c r="D113" s="60"/>
      <c r="E113" s="60"/>
      <c r="F113" s="60"/>
      <c r="G113" s="141"/>
      <c r="H113" s="141"/>
      <c r="R113" s="27"/>
      <c r="S113" s="29"/>
      <c r="T113" s="26"/>
      <c r="U113" s="5"/>
      <c r="V113" s="5"/>
      <c r="W113" s="12"/>
    </row>
    <row r="114" spans="1:23" s="9" customFormat="1" ht="14.1" customHeight="1">
      <c r="A114" s="60"/>
      <c r="B114" s="60"/>
      <c r="C114" s="60"/>
      <c r="D114" s="60"/>
      <c r="E114" s="60"/>
      <c r="F114" s="60"/>
      <c r="G114" s="141"/>
      <c r="H114" s="141"/>
      <c r="R114" s="30"/>
      <c r="S114" s="29"/>
      <c r="T114" s="26"/>
      <c r="U114" s="5"/>
      <c r="V114" s="5"/>
      <c r="W114" s="12"/>
    </row>
    <row r="115" spans="1:23" s="9" customFormat="1" ht="14.1" customHeight="1">
      <c r="G115" s="4"/>
      <c r="H115" s="4"/>
      <c r="R115" s="30"/>
      <c r="S115" s="29"/>
      <c r="T115" s="26"/>
      <c r="U115" s="5"/>
      <c r="V115" s="5"/>
      <c r="W115" s="12"/>
    </row>
    <row r="116" spans="1:23" s="9" customFormat="1" ht="14.1" customHeight="1">
      <c r="G116" s="4"/>
      <c r="H116" s="4"/>
      <c r="R116" s="30"/>
      <c r="S116" s="29"/>
      <c r="T116" s="26"/>
      <c r="U116" s="5"/>
      <c r="V116" s="5"/>
      <c r="W116" s="12"/>
    </row>
    <row r="117" spans="1:23" s="9" customFormat="1" ht="14.1" customHeight="1">
      <c r="G117" s="4"/>
      <c r="H117" s="4"/>
      <c r="R117" s="30"/>
      <c r="S117" s="29"/>
      <c r="T117" s="26"/>
      <c r="U117" s="5"/>
      <c r="V117" s="5"/>
      <c r="W117" s="12"/>
    </row>
    <row r="118" spans="1:23" s="9" customFormat="1" ht="14.1" customHeight="1">
      <c r="G118" s="4"/>
      <c r="H118" s="4"/>
      <c r="R118" s="30"/>
      <c r="S118" s="29"/>
      <c r="T118" s="26"/>
      <c r="U118" s="5"/>
      <c r="V118" s="5"/>
      <c r="W118" s="12"/>
    </row>
    <row r="119" spans="1:23" s="9" customFormat="1" ht="14.1" customHeight="1">
      <c r="G119" s="4"/>
      <c r="H119" s="4"/>
      <c r="R119" s="30"/>
      <c r="S119" s="29"/>
      <c r="T119" s="26"/>
      <c r="U119" s="5"/>
      <c r="V119" s="5"/>
      <c r="W119" s="12"/>
    </row>
    <row r="120" spans="1:23" s="9" customFormat="1" ht="14.1" customHeight="1">
      <c r="G120" s="4"/>
      <c r="H120" s="4"/>
      <c r="R120" s="30"/>
      <c r="S120" s="29"/>
      <c r="T120" s="26"/>
      <c r="U120" s="5"/>
      <c r="V120" s="5"/>
      <c r="W120" s="12"/>
    </row>
    <row r="121" spans="1:23" s="9" customFormat="1" ht="14.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R121" s="3"/>
      <c r="S121" s="29"/>
      <c r="T121" s="26"/>
      <c r="U121" s="5"/>
      <c r="V121" s="5"/>
      <c r="W121" s="25"/>
    </row>
    <row r="122" spans="1:23" s="9" customFormat="1" ht="14.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R122" s="3"/>
      <c r="S122" s="29"/>
      <c r="T122" s="26"/>
      <c r="U122" s="5"/>
      <c r="V122" s="5"/>
      <c r="W122" s="25"/>
    </row>
    <row r="123" spans="1:23" ht="12.95" customHeight="1">
      <c r="R123" s="3"/>
      <c r="S123" s="29"/>
      <c r="T123" s="4"/>
      <c r="U123" s="5"/>
      <c r="V123" s="5"/>
      <c r="W123" s="25"/>
    </row>
    <row r="124" spans="1:23" ht="12.95" customHeight="1">
      <c r="R124" s="27"/>
      <c r="S124" s="29"/>
      <c r="T124" s="26"/>
      <c r="U124" s="5"/>
      <c r="V124" s="5"/>
      <c r="W124" s="25"/>
    </row>
    <row r="125" spans="1:23">
      <c r="R125" s="30"/>
      <c r="S125" s="29"/>
      <c r="T125" s="26"/>
      <c r="U125" s="5"/>
      <c r="V125" s="5"/>
      <c r="W125" s="25"/>
    </row>
    <row r="126" spans="1:23">
      <c r="R126" s="3"/>
      <c r="S126" s="29"/>
      <c r="T126" s="26"/>
      <c r="U126" s="5"/>
      <c r="V126" s="5"/>
      <c r="W126" s="25"/>
    </row>
    <row r="127" spans="1:23">
      <c r="R127" s="3"/>
      <c r="S127" s="29"/>
      <c r="T127" s="26"/>
      <c r="U127" s="5"/>
      <c r="V127" s="5"/>
      <c r="W127" s="25"/>
    </row>
    <row r="128" spans="1:23">
      <c r="R128" s="3"/>
      <c r="S128" s="31"/>
      <c r="T128" s="9"/>
      <c r="U128" s="4"/>
      <c r="V128" s="4"/>
      <c r="W128" s="25"/>
    </row>
    <row r="129" spans="9:23" ht="15.95" customHeight="1">
      <c r="R129" s="27"/>
      <c r="S129" s="29"/>
      <c r="T129" s="26"/>
      <c r="U129" s="5"/>
      <c r="V129" s="5"/>
      <c r="W129" s="25"/>
    </row>
    <row r="130" spans="9:23">
      <c r="R130" s="30"/>
      <c r="S130" s="29"/>
      <c r="T130" s="26"/>
      <c r="U130" s="5"/>
      <c r="V130" s="5"/>
      <c r="W130" s="25"/>
    </row>
    <row r="131" spans="9:23">
      <c r="R131" s="3"/>
      <c r="S131" s="29"/>
      <c r="T131" s="26"/>
      <c r="U131" s="5"/>
      <c r="V131" s="5"/>
      <c r="W131" s="25"/>
    </row>
    <row r="132" spans="9:23">
      <c r="R132" s="3"/>
      <c r="S132" s="29"/>
      <c r="T132" s="26"/>
      <c r="U132" s="5"/>
      <c r="V132" s="5"/>
      <c r="W132" s="25"/>
    </row>
    <row r="133" spans="9:23">
      <c r="R133" s="3"/>
      <c r="S133" s="29"/>
      <c r="T133" s="26"/>
      <c r="U133" s="5"/>
      <c r="V133" s="5"/>
      <c r="W133" s="25"/>
    </row>
    <row r="134" spans="9:23" ht="15" customHeight="1">
      <c r="R134" s="27"/>
      <c r="S134" s="29"/>
      <c r="T134" s="26"/>
      <c r="U134" s="5"/>
      <c r="V134" s="5"/>
      <c r="W134" s="25"/>
    </row>
    <row r="135" spans="9:23" ht="15" customHeight="1">
      <c r="R135" s="30"/>
      <c r="S135" s="29"/>
      <c r="T135" s="26"/>
      <c r="U135" s="5"/>
      <c r="V135" s="5"/>
      <c r="W135" s="25"/>
    </row>
    <row r="136" spans="9:23" ht="15" customHeight="1">
      <c r="Q136" s="133"/>
      <c r="R136" s="129"/>
      <c r="S136" s="150"/>
      <c r="T136" s="140"/>
      <c r="U136" s="132"/>
      <c r="V136" s="132"/>
      <c r="W136" s="134"/>
    </row>
    <row r="137" spans="9:23" ht="15.95" customHeight="1">
      <c r="Q137" s="133"/>
      <c r="R137" s="129"/>
      <c r="S137" s="150"/>
      <c r="T137" s="140"/>
      <c r="U137" s="132"/>
      <c r="V137" s="132"/>
      <c r="W137" s="134"/>
    </row>
    <row r="138" spans="9:23" ht="15" customHeight="1">
      <c r="Q138" s="133"/>
      <c r="R138" s="129"/>
      <c r="S138" s="60"/>
      <c r="T138" s="151"/>
      <c r="U138" s="60"/>
      <c r="V138" s="141"/>
      <c r="W138" s="134"/>
    </row>
    <row r="139" spans="9:23" ht="15.95" customHeight="1">
      <c r="Q139" s="133"/>
      <c r="R139" s="129"/>
      <c r="S139" s="133"/>
      <c r="T139" s="152"/>
      <c r="U139" s="60"/>
      <c r="V139" s="141"/>
      <c r="W139" s="134"/>
    </row>
    <row r="140" spans="9:23">
      <c r="I140" s="32"/>
      <c r="Q140" s="133"/>
      <c r="R140" s="129"/>
      <c r="S140" s="60"/>
      <c r="T140" s="140"/>
      <c r="U140" s="60"/>
      <c r="V140" s="132"/>
      <c r="W140" s="134"/>
    </row>
    <row r="141" spans="9:23">
      <c r="Q141" s="133"/>
      <c r="R141" s="129"/>
      <c r="S141" s="60"/>
      <c r="T141" s="140"/>
      <c r="U141" s="60"/>
      <c r="V141" s="132"/>
      <c r="W141" s="134"/>
    </row>
    <row r="142" spans="9:23">
      <c r="Q142" s="133"/>
      <c r="R142" s="133"/>
      <c r="S142" s="133"/>
      <c r="T142" s="133"/>
      <c r="U142" s="133"/>
      <c r="V142" s="153"/>
      <c r="W142" s="153"/>
    </row>
    <row r="143" spans="9:23" ht="14.1" customHeight="1">
      <c r="Q143" s="133"/>
      <c r="R143" s="133"/>
      <c r="S143" s="133"/>
      <c r="T143" s="133"/>
      <c r="U143" s="133"/>
      <c r="V143" s="153"/>
      <c r="W143" s="153"/>
    </row>
    <row r="144" spans="9:23" ht="14.1" customHeight="1">
      <c r="Q144" s="133"/>
      <c r="R144" s="133"/>
      <c r="S144" s="154"/>
      <c r="T144" s="133"/>
      <c r="U144" s="133"/>
      <c r="V144" s="153"/>
      <c r="W144" s="153"/>
    </row>
    <row r="145" spans="1:23" ht="14.1" customHeight="1">
      <c r="Q145" s="133"/>
      <c r="R145" s="133"/>
      <c r="S145" s="155"/>
      <c r="T145" s="133"/>
      <c r="U145" s="133"/>
      <c r="V145" s="153"/>
      <c r="W145" s="153"/>
    </row>
    <row r="146" spans="1:23" ht="14.1" customHeight="1">
      <c r="Q146" s="133"/>
      <c r="R146" s="133"/>
      <c r="S146" s="133"/>
      <c r="T146" s="156"/>
      <c r="U146" s="133"/>
      <c r="V146" s="135"/>
      <c r="W146" s="135"/>
    </row>
    <row r="147" spans="1:23" ht="14.1" customHeight="1">
      <c r="Q147" s="133"/>
      <c r="R147" s="133"/>
      <c r="S147" s="133"/>
      <c r="T147" s="156"/>
      <c r="U147" s="133"/>
      <c r="V147" s="135"/>
      <c r="W147" s="135"/>
    </row>
    <row r="148" spans="1:23" ht="14.1" customHeight="1">
      <c r="Q148" s="133"/>
      <c r="R148" s="133"/>
      <c r="S148" s="133"/>
      <c r="T148" s="157"/>
      <c r="U148" s="133"/>
      <c r="V148" s="135"/>
      <c r="W148" s="135"/>
    </row>
    <row r="149" spans="1:23" ht="14.1" customHeight="1">
      <c r="S149" s="36"/>
      <c r="T149" s="35"/>
      <c r="V149" s="33"/>
      <c r="W149" s="33"/>
    </row>
    <row r="150" spans="1:23" ht="14.1" customHeight="1">
      <c r="T150" s="37"/>
      <c r="V150" s="33"/>
      <c r="W150" s="33"/>
    </row>
    <row r="151" spans="1:23" ht="14.1" customHeight="1">
      <c r="G151" s="33"/>
      <c r="S151" s="22"/>
      <c r="T151" s="35"/>
      <c r="V151" s="33"/>
      <c r="W151" s="33"/>
    </row>
    <row r="152" spans="1:23" ht="14.1" customHeight="1">
      <c r="V152" s="34"/>
      <c r="W152" s="34"/>
    </row>
    <row r="153" spans="1:23" ht="14.1" customHeight="1">
      <c r="V153" s="34"/>
      <c r="W153" s="34"/>
    </row>
    <row r="154" spans="1:23" ht="6.95" customHeight="1">
      <c r="A154" s="133"/>
      <c r="B154" s="133"/>
      <c r="C154" s="133"/>
      <c r="D154" s="133"/>
      <c r="E154" s="135"/>
      <c r="F154" s="135"/>
      <c r="G154" s="133"/>
      <c r="H154" s="133"/>
      <c r="I154" s="133"/>
      <c r="J154" s="133"/>
    </row>
    <row r="155" spans="1:23">
      <c r="A155" s="133"/>
      <c r="B155" s="133"/>
      <c r="C155" s="133"/>
      <c r="D155" s="133"/>
      <c r="E155" s="135"/>
      <c r="F155" s="135"/>
      <c r="G155" s="133"/>
      <c r="H155" s="133"/>
      <c r="I155" s="133"/>
      <c r="J155" s="133"/>
    </row>
    <row r="156" spans="1:23">
      <c r="A156" s="133"/>
      <c r="B156" s="133"/>
      <c r="C156" s="133"/>
      <c r="D156" s="133"/>
      <c r="E156" s="135"/>
      <c r="F156" s="135"/>
      <c r="G156" s="133"/>
      <c r="H156" s="133"/>
      <c r="I156" s="133"/>
      <c r="J156" s="133"/>
    </row>
    <row r="157" spans="1:23">
      <c r="A157" s="133"/>
      <c r="B157" s="133"/>
      <c r="C157" s="133"/>
      <c r="D157" s="133"/>
      <c r="E157" s="135"/>
      <c r="F157" s="135"/>
      <c r="G157" s="133"/>
      <c r="H157" s="133"/>
      <c r="I157" s="133"/>
      <c r="J157" s="133"/>
    </row>
    <row r="158" spans="1:23">
      <c r="A158" s="149"/>
      <c r="B158" s="149"/>
      <c r="C158" s="149"/>
      <c r="D158" s="149"/>
      <c r="E158" s="133"/>
      <c r="F158" s="133"/>
      <c r="G158" s="133"/>
      <c r="H158" s="133"/>
      <c r="I158" s="133"/>
      <c r="J158" s="133"/>
    </row>
    <row r="159" spans="1:23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</row>
    <row r="160" spans="1:23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</row>
    <row r="161" spans="1:10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</row>
    <row r="162" spans="1:10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</row>
    <row r="163" spans="1:10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</row>
    <row r="164" spans="1:10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</row>
    <row r="165" spans="1:10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</row>
    <row r="166" spans="1:10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</row>
    <row r="167" spans="1:10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</row>
    <row r="168" spans="1:10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</row>
    <row r="169" spans="1:10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</row>
    <row r="170" spans="1:10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</row>
    <row r="171" spans="1:10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</row>
    <row r="172" spans="1:10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</row>
    <row r="173" spans="1:10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</row>
  </sheetData>
  <customSheetViews>
    <customSheetView guid="{1E06907C-2281-4617-B0F2-1AE7DC994915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  <customSheetView guid="{51561219-1382-4CE8-929B-1B7C97EAD663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</customSheetViews>
  <mergeCells count="29">
    <mergeCell ref="M13:P13"/>
    <mergeCell ref="A9:I9"/>
    <mergeCell ref="C25:D25"/>
    <mergeCell ref="C21:D21"/>
    <mergeCell ref="C22:D22"/>
    <mergeCell ref="C23:D23"/>
    <mergeCell ref="C24:D24"/>
    <mergeCell ref="N10:O10"/>
    <mergeCell ref="L10:M10"/>
    <mergeCell ref="A11:D11"/>
    <mergeCell ref="A12:D12"/>
    <mergeCell ref="A13:D13"/>
    <mergeCell ref="E14:I14"/>
    <mergeCell ref="C20:D20"/>
    <mergeCell ref="C15:D15"/>
    <mergeCell ref="C17:D17"/>
    <mergeCell ref="C18:D18"/>
    <mergeCell ref="C19:D19"/>
    <mergeCell ref="C26:D26"/>
    <mergeCell ref="C28:D28"/>
    <mergeCell ref="C16:D16"/>
    <mergeCell ref="C27:D27"/>
    <mergeCell ref="A2:P2"/>
    <mergeCell ref="L9:P9"/>
    <mergeCell ref="F3:G3"/>
    <mergeCell ref="F5:G5"/>
    <mergeCell ref="F6:G6"/>
    <mergeCell ref="F7:G7"/>
    <mergeCell ref="F4:G4"/>
  </mergeCells>
  <phoneticPr fontId="10"/>
  <pageMargins left="0.6" right="0.62" top="0.75" bottom="0.42" header="0.3" footer="0.24"/>
  <pageSetup scale="80" orientation="landscape" verticalDpi="4294967292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rgb="FFFF0000"/>
    <pageSetUpPr fitToPage="1"/>
  </sheetPr>
  <dimension ref="A1:P61"/>
  <sheetViews>
    <sheetView workbookViewId="0"/>
  </sheetViews>
  <sheetFormatPr defaultColWidth="8.6640625" defaultRowHeight="15"/>
  <cols>
    <col min="1" max="1" width="4.33203125" style="9" customWidth="1"/>
    <col min="2" max="2" width="13.33203125" style="9" customWidth="1"/>
    <col min="3" max="3" width="10.33203125" style="9" customWidth="1"/>
    <col min="4" max="4" width="10.5546875" style="9" customWidth="1"/>
    <col min="5" max="5" width="11.109375" style="9" customWidth="1"/>
    <col min="6" max="6" width="1.44140625" style="9" customWidth="1"/>
    <col min="7" max="7" width="10.44140625" style="9" customWidth="1"/>
    <col min="8" max="8" width="13.6640625" style="9" customWidth="1"/>
    <col min="9" max="9" width="10.109375" style="9" customWidth="1"/>
    <col min="10" max="10" width="10.88671875" style="9" customWidth="1"/>
    <col min="11" max="11" width="11.109375" style="9" customWidth="1"/>
    <col min="12" max="13" width="8.6640625" style="9"/>
    <col min="14" max="14" width="6.88671875" style="9" customWidth="1"/>
    <col min="15" max="15" width="10" style="9" customWidth="1"/>
    <col min="16" max="16384" width="8.6640625" style="9"/>
  </cols>
  <sheetData>
    <row r="1" spans="1:16">
      <c r="A1" s="876"/>
      <c r="B1" s="876"/>
      <c r="C1" s="876"/>
      <c r="D1" s="876"/>
      <c r="E1" s="876"/>
      <c r="F1" s="876"/>
      <c r="G1" s="876"/>
      <c r="H1" s="876"/>
      <c r="I1" s="876"/>
      <c r="J1" s="876"/>
      <c r="K1" s="876"/>
    </row>
    <row r="2" spans="1:16" ht="15.75">
      <c r="A2" s="1974" t="s">
        <v>627</v>
      </c>
      <c r="B2" s="2213"/>
      <c r="C2" s="2213"/>
      <c r="D2" s="2213"/>
      <c r="E2" s="2213"/>
      <c r="F2" s="2213"/>
      <c r="G2" s="2213"/>
      <c r="H2" s="2213"/>
      <c r="I2" s="2213"/>
      <c r="J2" s="2213"/>
      <c r="K2" s="1975"/>
    </row>
    <row r="3" spans="1:16" ht="15.75">
      <c r="A3" s="2232" t="s">
        <v>70</v>
      </c>
      <c r="B3" s="2233"/>
      <c r="C3" s="2233"/>
      <c r="D3" s="2233"/>
      <c r="E3" s="2234"/>
      <c r="F3" s="1653"/>
      <c r="G3" s="2217" t="s">
        <v>1402</v>
      </c>
      <c r="H3" s="2218"/>
      <c r="I3" s="2218"/>
      <c r="J3" s="2218"/>
      <c r="K3" s="2219"/>
    </row>
    <row r="4" spans="1:16" ht="15" customHeight="1">
      <c r="A4" s="1654"/>
      <c r="B4" s="1655"/>
      <c r="C4" s="1655"/>
      <c r="D4" s="1655"/>
      <c r="E4" s="1656"/>
      <c r="F4" s="1653"/>
      <c r="G4" s="2220"/>
      <c r="H4" s="2221"/>
      <c r="I4" s="2221"/>
      <c r="J4" s="2221"/>
      <c r="K4" s="2222"/>
      <c r="P4" s="2212"/>
    </row>
    <row r="5" spans="1:16" ht="15.95" customHeight="1">
      <c r="A5" s="1657" t="s">
        <v>280</v>
      </c>
      <c r="B5" s="1658"/>
      <c r="C5" s="1658"/>
      <c r="D5" s="1658"/>
      <c r="E5" s="1659">
        <f>+'Dev Costs'!F120</f>
        <v>0</v>
      </c>
      <c r="F5" s="1655"/>
      <c r="G5" s="2228" t="s">
        <v>365</v>
      </c>
      <c r="H5" s="2230" t="s">
        <v>366</v>
      </c>
      <c r="I5" s="2226" t="s">
        <v>1406</v>
      </c>
      <c r="J5" s="2227"/>
      <c r="K5" s="1660" t="s">
        <v>1407</v>
      </c>
      <c r="P5" s="2212"/>
    </row>
    <row r="6" spans="1:16" ht="15.95" customHeight="1">
      <c r="A6" s="1657" t="s">
        <v>282</v>
      </c>
      <c r="B6" s="1658"/>
      <c r="C6" s="1658"/>
      <c r="D6" s="1658"/>
      <c r="E6" s="1661"/>
      <c r="F6" s="1655"/>
      <c r="G6" s="2229"/>
      <c r="H6" s="2231"/>
      <c r="I6" s="1662">
        <v>0.09</v>
      </c>
      <c r="J6" s="1662">
        <v>0.04</v>
      </c>
      <c r="K6" s="1663"/>
    </row>
    <row r="7" spans="1:16">
      <c r="A7" s="865"/>
      <c r="B7" s="1664" t="s">
        <v>178</v>
      </c>
      <c r="C7" s="1664"/>
      <c r="D7" s="1664"/>
      <c r="E7" s="1659">
        <f>+'Dev Costs'!F27</f>
        <v>0</v>
      </c>
      <c r="F7" s="1655"/>
      <c r="G7" s="1665">
        <v>0</v>
      </c>
      <c r="H7" s="1666">
        <f>+Rents!K51</f>
        <v>0</v>
      </c>
      <c r="I7" s="313">
        <v>307732</v>
      </c>
      <c r="J7" s="313">
        <v>353748</v>
      </c>
      <c r="K7" s="1667">
        <f>IF('Project Info'!$C$36="yes",'TC Analysis'!H7*I7,'TC Analysis'!J7*H7)</f>
        <v>0</v>
      </c>
    </row>
    <row r="8" spans="1:16">
      <c r="A8" s="865"/>
      <c r="B8" s="1664" t="s">
        <v>81</v>
      </c>
      <c r="C8" s="1664"/>
      <c r="D8" s="1664"/>
      <c r="E8" s="1659">
        <f>+'Dev Costs'!P119</f>
        <v>0</v>
      </c>
      <c r="F8" s="1655"/>
      <c r="G8" s="1665">
        <v>1</v>
      </c>
      <c r="H8" s="1666">
        <f>+Rents!K52</f>
        <v>0</v>
      </c>
      <c r="I8" s="313">
        <v>354812</v>
      </c>
      <c r="J8" s="313">
        <v>407868</v>
      </c>
      <c r="K8" s="1667">
        <f>IF('Project Info'!$K$15="elevator",'TC Analysis'!H8*I8,'TC Analysis'!J8*H8)</f>
        <v>0</v>
      </c>
    </row>
    <row r="9" spans="1:16">
      <c r="A9" s="865"/>
      <c r="B9" s="1658" t="s">
        <v>179</v>
      </c>
      <c r="C9" s="1658"/>
      <c r="D9" s="1658"/>
      <c r="E9" s="1659">
        <f>+'Dev Costs'!M120-'Dev Costs'!M27</f>
        <v>0</v>
      </c>
      <c r="F9" s="1655"/>
      <c r="G9" s="1665">
        <v>2</v>
      </c>
      <c r="H9" s="1666">
        <f>+Rents!K53</f>
        <v>0</v>
      </c>
      <c r="I9" s="313">
        <v>428000</v>
      </c>
      <c r="J9" s="313">
        <v>492000</v>
      </c>
      <c r="K9" s="1667">
        <f>IF('Project Info'!$K$15="elevator",'TC Analysis'!H9*I9,'TC Analysis'!J9*H9)</f>
        <v>0</v>
      </c>
    </row>
    <row r="10" spans="1:16">
      <c r="A10" s="865"/>
      <c r="B10" s="1658" t="s">
        <v>180</v>
      </c>
      <c r="C10" s="1658"/>
      <c r="D10" s="1658"/>
      <c r="E10" s="1659">
        <f>+'Dev Costs'!N120</f>
        <v>0</v>
      </c>
      <c r="F10" s="1655"/>
      <c r="G10" s="1665">
        <v>3</v>
      </c>
      <c r="H10" s="1666">
        <f>+Rents!K54</f>
        <v>0</v>
      </c>
      <c r="I10" s="313">
        <v>547840</v>
      </c>
      <c r="J10" s="313">
        <v>629760</v>
      </c>
      <c r="K10" s="1667">
        <f>IF('Project Info'!$K$15="elevator",'TC Analysis'!H10*I10,'TC Analysis'!J10*H10)</f>
        <v>0</v>
      </c>
    </row>
    <row r="11" spans="1:16">
      <c r="A11" s="865"/>
      <c r="B11" s="1658" t="s">
        <v>307</v>
      </c>
      <c r="C11" s="1658"/>
      <c r="D11" s="1658"/>
      <c r="E11" s="1659">
        <f>+'Dev Costs'!O120</f>
        <v>0</v>
      </c>
      <c r="F11" s="1655"/>
      <c r="G11" s="1668" t="s">
        <v>596</v>
      </c>
      <c r="H11" s="1666">
        <f>+Rents!K55</f>
        <v>0</v>
      </c>
      <c r="I11" s="313">
        <v>610328</v>
      </c>
      <c r="J11" s="313">
        <v>701592</v>
      </c>
      <c r="K11" s="1667">
        <f>IF('Project Info'!$K$15="elevator",'TC Analysis'!H11*I11,'TC Analysis'!J11*H11)</f>
        <v>0</v>
      </c>
    </row>
    <row r="12" spans="1:16">
      <c r="A12" s="865"/>
      <c r="B12" s="1658" t="s">
        <v>181</v>
      </c>
      <c r="C12" s="1658"/>
      <c r="D12" s="1658"/>
      <c r="E12" s="1659">
        <f>'Dev Costs'!R120</f>
        <v>0</v>
      </c>
      <c r="F12" s="1655"/>
      <c r="G12" s="1669" t="s">
        <v>774</v>
      </c>
      <c r="H12" s="1666">
        <f>SUM(H7:H11)</f>
        <v>0</v>
      </c>
      <c r="I12" s="1670"/>
      <c r="J12" s="1671"/>
      <c r="K12" s="1672">
        <f>SUM(K7:K11)</f>
        <v>0</v>
      </c>
    </row>
    <row r="13" spans="1:16" ht="15.75" customHeight="1">
      <c r="A13" s="1657" t="s">
        <v>64</v>
      </c>
      <c r="B13" s="1658"/>
      <c r="C13" s="1658"/>
      <c r="D13" s="1658"/>
      <c r="E13" s="1673">
        <f>+E5-E7-E9-E10-E11-E12-E8</f>
        <v>0</v>
      </c>
      <c r="F13" s="1674"/>
      <c r="G13" s="1115"/>
      <c r="H13" s="1044"/>
      <c r="I13" s="1675"/>
      <c r="J13" s="1676"/>
      <c r="K13" s="1677"/>
      <c r="N13" s="160"/>
    </row>
    <row r="14" spans="1:16" ht="30">
      <c r="A14" s="1657" t="s">
        <v>282</v>
      </c>
      <c r="B14" s="1658"/>
      <c r="C14" s="1658"/>
      <c r="D14" s="1658"/>
      <c r="E14" s="1661"/>
      <c r="F14" s="1674"/>
      <c r="G14" s="2162" t="s">
        <v>1403</v>
      </c>
      <c r="H14" s="1973"/>
      <c r="I14" s="1678" t="s">
        <v>358</v>
      </c>
      <c r="J14" s="1679" t="s">
        <v>355</v>
      </c>
      <c r="K14" s="1680" t="s">
        <v>1408</v>
      </c>
    </row>
    <row r="15" spans="1:16">
      <c r="A15" s="865"/>
      <c r="B15" s="1658" t="s">
        <v>184</v>
      </c>
      <c r="C15" s="1658"/>
      <c r="D15" s="1658"/>
      <c r="E15" s="1673">
        <f>'Project Info'!F39*'Project Info'!F41*'Project Info'!F40</f>
        <v>0</v>
      </c>
      <c r="F15" s="1655"/>
      <c r="G15" s="1132" t="s">
        <v>598</v>
      </c>
      <c r="H15" s="1113"/>
      <c r="I15" s="1114">
        <v>0.2</v>
      </c>
      <c r="J15" s="1114">
        <f>'Project Info'!L34</f>
        <v>0</v>
      </c>
      <c r="K15" s="1681">
        <f>J15*'TC Analysis'!K$12</f>
        <v>0</v>
      </c>
    </row>
    <row r="16" spans="1:16">
      <c r="A16" s="865"/>
      <c r="B16" s="1658" t="s">
        <v>182</v>
      </c>
      <c r="C16" s="1658"/>
      <c r="D16" s="1658"/>
      <c r="E16" s="400">
        <f>'Project Info'!C45</f>
        <v>0</v>
      </c>
      <c r="F16" s="1655"/>
      <c r="G16" s="1132" t="s">
        <v>629</v>
      </c>
      <c r="H16" s="1113"/>
      <c r="I16" s="1114">
        <v>0.05</v>
      </c>
      <c r="J16" s="1114">
        <f>'Project Info'!L35</f>
        <v>0</v>
      </c>
      <c r="K16" s="1681">
        <f>J16*'TC Analysis'!K$12</f>
        <v>0</v>
      </c>
    </row>
    <row r="17" spans="1:15">
      <c r="A17" s="865"/>
      <c r="B17" s="1658" t="s">
        <v>9</v>
      </c>
      <c r="C17" s="1658"/>
      <c r="D17" s="1658"/>
      <c r="E17" s="400">
        <f>'Project Info'!C46</f>
        <v>0</v>
      </c>
      <c r="F17" s="1655"/>
      <c r="G17" s="865" t="s">
        <v>599</v>
      </c>
      <c r="H17" s="1044"/>
      <c r="I17" s="1121">
        <v>7.0000000000000007E-2</v>
      </c>
      <c r="J17" s="1114">
        <f>'Project Info'!L36</f>
        <v>0</v>
      </c>
      <c r="K17" s="1681">
        <f>J17*'TC Analysis'!K$12</f>
        <v>0</v>
      </c>
    </row>
    <row r="18" spans="1:15">
      <c r="A18" s="865"/>
      <c r="B18" s="1682" t="s">
        <v>183</v>
      </c>
      <c r="C18" s="1658"/>
      <c r="D18" s="1658"/>
      <c r="E18" s="400">
        <f>'Project Info'!C48</f>
        <v>0</v>
      </c>
      <c r="F18" s="1655"/>
      <c r="G18" s="865" t="s">
        <v>600</v>
      </c>
      <c r="H18" s="1044"/>
      <c r="I18" s="1121">
        <v>0.02</v>
      </c>
      <c r="J18" s="1114">
        <f>'Project Info'!L37</f>
        <v>0</v>
      </c>
      <c r="K18" s="1681">
        <f>J18*'TC Analysis'!K$12</f>
        <v>0</v>
      </c>
    </row>
    <row r="19" spans="1:15">
      <c r="A19" s="865"/>
      <c r="B19" s="1682" t="s">
        <v>675</v>
      </c>
      <c r="C19" s="1682"/>
      <c r="D19" s="1658"/>
      <c r="E19" s="421">
        <f>'Project Info'!D45</f>
        <v>0</v>
      </c>
      <c r="F19" s="1655"/>
      <c r="G19" s="1132" t="s">
        <v>601</v>
      </c>
      <c r="H19" s="1113"/>
      <c r="I19" s="1114">
        <v>0.02</v>
      </c>
      <c r="J19" s="1114">
        <f>'Project Info'!L38</f>
        <v>0</v>
      </c>
      <c r="K19" s="1681">
        <f>J19*'TC Analysis'!K$12</f>
        <v>0</v>
      </c>
    </row>
    <row r="20" spans="1:15">
      <c r="A20" s="1657" t="s">
        <v>624</v>
      </c>
      <c r="B20" s="1658"/>
      <c r="C20" s="1658"/>
      <c r="D20" s="1658"/>
      <c r="E20" s="1673">
        <f>MIN(E13,E43)-E15-E16-E19-E17</f>
        <v>0</v>
      </c>
      <c r="F20" s="1655"/>
      <c r="G20" s="1132" t="s">
        <v>630</v>
      </c>
      <c r="H20" s="1113"/>
      <c r="I20" s="1114">
        <v>0.1</v>
      </c>
      <c r="J20" s="1114">
        <f>'Project Info'!L39</f>
        <v>0</v>
      </c>
      <c r="K20" s="1681">
        <f>J20*'TC Analysis'!K$12</f>
        <v>0</v>
      </c>
    </row>
    <row r="21" spans="1:15">
      <c r="A21" s="1657"/>
      <c r="B21" s="1658" t="s">
        <v>185</v>
      </c>
      <c r="C21" s="1658"/>
      <c r="D21" s="1683" t="str">
        <f>'Project Info'!D33</f>
        <v>Yes</v>
      </c>
      <c r="E21" s="1684">
        <f>IF(D21="Yes",130%,100%)</f>
        <v>1.3</v>
      </c>
      <c r="F21" s="1685"/>
      <c r="G21" s="1132" t="s">
        <v>1404</v>
      </c>
      <c r="H21" s="1113"/>
      <c r="I21" s="1114">
        <v>0.15</v>
      </c>
      <c r="J21" s="1114">
        <f>'Project Info'!L40</f>
        <v>0</v>
      </c>
      <c r="K21" s="1681">
        <f>J21*'TC Analysis'!K$12</f>
        <v>0</v>
      </c>
    </row>
    <row r="22" spans="1:15">
      <c r="A22" s="865"/>
      <c r="B22" s="1658" t="s">
        <v>186</v>
      </c>
      <c r="C22" s="1658"/>
      <c r="D22" s="1658"/>
      <c r="E22" s="1686">
        <f>IF(Rents!G66&gt;Rents!G67,Rents!G67,Rents!G66)</f>
        <v>0</v>
      </c>
      <c r="F22" s="1685"/>
      <c r="G22" s="1132" t="s">
        <v>1405</v>
      </c>
      <c r="H22" s="1113"/>
      <c r="I22" s="1687"/>
      <c r="J22" s="1114"/>
      <c r="K22" s="1681">
        <f>'Dev Costs'!F52</f>
        <v>0</v>
      </c>
    </row>
    <row r="23" spans="1:15">
      <c r="A23" s="1657" t="s">
        <v>65</v>
      </c>
      <c r="B23" s="1658"/>
      <c r="C23" s="1658"/>
      <c r="D23" s="1658"/>
      <c r="E23" s="1659">
        <f>+E20*E21*E22</f>
        <v>0</v>
      </c>
      <c r="F23" s="1655"/>
      <c r="G23" s="1132" t="s">
        <v>602</v>
      </c>
      <c r="H23" s="1113"/>
      <c r="I23" s="1114">
        <v>0.1</v>
      </c>
      <c r="J23" s="1114">
        <f>'Project Info'!L41</f>
        <v>0.1</v>
      </c>
      <c r="K23" s="1681">
        <f>J23*'TC Analysis'!K$12</f>
        <v>0</v>
      </c>
    </row>
    <row r="24" spans="1:15">
      <c r="A24" s="1657" t="s">
        <v>287</v>
      </c>
      <c r="B24" s="1658"/>
      <c r="C24" s="1658"/>
      <c r="D24" s="1658"/>
      <c r="E24" s="420">
        <f>IF('Project Info'!C36="Yes",'Project Info'!C37,'Project Info'!D37)</f>
        <v>0.04</v>
      </c>
      <c r="F24" s="1655"/>
      <c r="G24" s="1132" t="s">
        <v>633</v>
      </c>
      <c r="H24" s="1113"/>
      <c r="I24" s="1114">
        <v>0.1</v>
      </c>
      <c r="J24" s="1114">
        <f>'Project Info'!L42</f>
        <v>0</v>
      </c>
      <c r="K24" s="1681">
        <f>J24*'TC Analysis'!K$12</f>
        <v>0</v>
      </c>
    </row>
    <row r="25" spans="1:15">
      <c r="A25" s="1657"/>
      <c r="B25" s="1658"/>
      <c r="C25" s="1658"/>
      <c r="D25" s="1688"/>
      <c r="E25" s="1689"/>
      <c r="F25" s="1685"/>
      <c r="G25" s="1132"/>
      <c r="H25" s="1113"/>
      <c r="I25" s="1690"/>
      <c r="J25" s="1691"/>
      <c r="K25" s="1692"/>
    </row>
    <row r="26" spans="1:15" ht="15.75" thickBot="1">
      <c r="A26" s="1693" t="s">
        <v>63</v>
      </c>
      <c r="B26" s="1694"/>
      <c r="C26" s="1694"/>
      <c r="D26" s="1694"/>
      <c r="E26" s="1695">
        <f>+E23*E24</f>
        <v>0</v>
      </c>
      <c r="F26" s="1655"/>
      <c r="G26" s="1696" t="s">
        <v>360</v>
      </c>
      <c r="H26" s="1697"/>
      <c r="I26" s="1698"/>
      <c r="J26" s="1699"/>
      <c r="K26" s="1700">
        <f>SUM(K14:K24)</f>
        <v>0</v>
      </c>
    </row>
    <row r="27" spans="1:15">
      <c r="A27" s="1657"/>
      <c r="B27" s="1658"/>
      <c r="C27" s="1658"/>
      <c r="D27" s="1658"/>
      <c r="E27" s="1689"/>
      <c r="F27" s="1701"/>
      <c r="G27" s="876"/>
      <c r="H27" s="876"/>
      <c r="I27" s="876"/>
      <c r="J27" s="876"/>
      <c r="K27" s="1655"/>
      <c r="L27" s="41"/>
      <c r="M27" s="41"/>
      <c r="N27" s="45"/>
    </row>
    <row r="28" spans="1:15" ht="15.75" thickBot="1">
      <c r="A28" s="1693" t="s">
        <v>290</v>
      </c>
      <c r="B28" s="1694"/>
      <c r="C28" s="1694"/>
      <c r="D28" s="1702">
        <v>10</v>
      </c>
      <c r="E28" s="1703">
        <f>+E26*D28</f>
        <v>0</v>
      </c>
      <c r="F28" s="1655"/>
      <c r="G28" s="876"/>
      <c r="H28" s="876"/>
      <c r="I28" s="876"/>
      <c r="J28" s="876"/>
      <c r="K28" s="1655"/>
      <c r="L28" s="42"/>
      <c r="M28" s="42"/>
      <c r="N28" s="42"/>
      <c r="O28" s="43"/>
    </row>
    <row r="29" spans="1:15" ht="15.75">
      <c r="A29" s="2235" t="s">
        <v>69</v>
      </c>
      <c r="B29" s="2236"/>
      <c r="C29" s="2236"/>
      <c r="D29" s="2236"/>
      <c r="E29" s="2237"/>
      <c r="F29" s="1701"/>
      <c r="G29" s="2223" t="s">
        <v>191</v>
      </c>
      <c r="H29" s="2224"/>
      <c r="I29" s="2224"/>
      <c r="J29" s="2224"/>
      <c r="K29" s="2225"/>
      <c r="L29" s="41"/>
      <c r="M29" s="41"/>
      <c r="N29" s="41"/>
      <c r="O29" s="45"/>
    </row>
    <row r="30" spans="1:15">
      <c r="A30" s="1704" t="s">
        <v>281</v>
      </c>
      <c r="B30" s="1705"/>
      <c r="C30" s="1705"/>
      <c r="D30" s="1705"/>
      <c r="E30" s="1659">
        <f>'Dev Costs'!F21</f>
        <v>0</v>
      </c>
      <c r="F30" s="1655"/>
      <c r="G30" s="1706" t="s">
        <v>399</v>
      </c>
      <c r="H30" s="1707"/>
      <c r="I30" s="1707"/>
      <c r="J30" s="1707"/>
      <c r="K30" s="1708"/>
      <c r="L30" s="46"/>
      <c r="M30" s="46"/>
      <c r="N30" s="46"/>
      <c r="O30" s="44"/>
    </row>
    <row r="31" spans="1:15">
      <c r="A31" s="1657" t="s">
        <v>282</v>
      </c>
      <c r="B31" s="1658"/>
      <c r="C31" s="1658"/>
      <c r="D31" s="1658"/>
      <c r="E31" s="1661"/>
      <c r="F31" s="1701"/>
      <c r="G31" s="1709" t="s">
        <v>192</v>
      </c>
      <c r="H31" s="1710"/>
      <c r="I31" s="1710"/>
      <c r="J31" s="1710"/>
      <c r="K31" s="1711">
        <f>IF(E47=0,E46,E47)</f>
        <v>0</v>
      </c>
      <c r="L31" s="40"/>
      <c r="M31" s="40"/>
      <c r="N31" s="40"/>
    </row>
    <row r="32" spans="1:15">
      <c r="A32" s="1657" t="s">
        <v>187</v>
      </c>
      <c r="B32" s="1658"/>
      <c r="C32" s="1658"/>
      <c r="D32" s="1658"/>
      <c r="E32" s="1659">
        <f>+'Dev Costs'!M17</f>
        <v>0</v>
      </c>
      <c r="F32" s="1655"/>
      <c r="G32" s="865" t="s">
        <v>193</v>
      </c>
      <c r="H32" s="1044"/>
      <c r="I32" s="1044"/>
      <c r="J32" s="1044"/>
      <c r="K32" s="426">
        <f>MAX('Project Info'!C40,'Project Info'!D40)</f>
        <v>0.99990000000000001</v>
      </c>
      <c r="L32" s="40"/>
      <c r="M32" s="40"/>
      <c r="N32" s="40"/>
    </row>
    <row r="33" spans="1:15">
      <c r="A33" s="1657" t="s">
        <v>283</v>
      </c>
      <c r="B33" s="1658"/>
      <c r="C33" s="1658"/>
      <c r="D33" s="1658"/>
      <c r="E33" s="423">
        <f>'Project Info'!D45</f>
        <v>0</v>
      </c>
      <c r="F33" s="1655"/>
      <c r="G33" s="865" t="s">
        <v>196</v>
      </c>
      <c r="H33" s="1044"/>
      <c r="I33" s="1044"/>
      <c r="J33" s="1044"/>
      <c r="K33" s="1219">
        <f>+K31*K32</f>
        <v>0</v>
      </c>
      <c r="L33" s="40"/>
      <c r="M33" s="40"/>
      <c r="N33" s="40"/>
    </row>
    <row r="34" spans="1:15">
      <c r="A34" s="1657" t="s">
        <v>188</v>
      </c>
      <c r="B34" s="1658"/>
      <c r="C34" s="1658"/>
      <c r="D34" s="1658"/>
      <c r="E34" s="400">
        <f>'Dev Costs'!F19</f>
        <v>0</v>
      </c>
      <c r="F34" s="1655"/>
      <c r="G34" s="865" t="s">
        <v>194</v>
      </c>
      <c r="H34" s="1044"/>
      <c r="I34" s="1044"/>
      <c r="J34" s="1044"/>
      <c r="K34" s="427">
        <f>IF('Project Info'!C36="yes",'Project Info'!C41,'Project Info'!D41)</f>
        <v>0</v>
      </c>
      <c r="L34" s="47"/>
      <c r="M34" s="40"/>
      <c r="N34" s="40"/>
      <c r="O34" s="40"/>
    </row>
    <row r="35" spans="1:15">
      <c r="A35" s="1657" t="s">
        <v>284</v>
      </c>
      <c r="B35" s="1658"/>
      <c r="C35" s="1658"/>
      <c r="D35" s="1658"/>
      <c r="E35" s="1659">
        <f>+E30-E32-E33-E34</f>
        <v>0</v>
      </c>
      <c r="F35" s="1655"/>
      <c r="G35" s="1712" t="s">
        <v>195</v>
      </c>
      <c r="H35" s="1713"/>
      <c r="I35" s="1713"/>
      <c r="J35" s="1713"/>
      <c r="K35" s="1714">
        <f>+K34*K33</f>
        <v>0</v>
      </c>
      <c r="L35" s="47"/>
      <c r="M35" s="40"/>
      <c r="N35" s="40"/>
      <c r="O35" s="40"/>
    </row>
    <row r="36" spans="1:15">
      <c r="A36" s="1657" t="s">
        <v>285</v>
      </c>
      <c r="B36" s="1658"/>
      <c r="C36" s="1658"/>
      <c r="D36" s="1658"/>
      <c r="E36" s="1686">
        <f>+E22</f>
        <v>0</v>
      </c>
      <c r="F36" s="1655"/>
      <c r="G36" s="1715" t="s">
        <v>398</v>
      </c>
      <c r="H36" s="1716"/>
      <c r="I36" s="1716"/>
      <c r="J36" s="1716"/>
      <c r="K36" s="1717"/>
      <c r="L36" s="47"/>
      <c r="M36" s="40"/>
      <c r="N36" s="40"/>
      <c r="O36" s="40"/>
    </row>
    <row r="37" spans="1:15">
      <c r="A37" s="1657" t="s">
        <v>286</v>
      </c>
      <c r="B37" s="1658"/>
      <c r="C37" s="1658"/>
      <c r="D37" s="1658"/>
      <c r="E37" s="1659">
        <f>+E35*E36</f>
        <v>0</v>
      </c>
      <c r="F37" s="1718"/>
      <c r="G37" s="865" t="s">
        <v>393</v>
      </c>
      <c r="H37" s="1044"/>
      <c r="I37" s="1044"/>
      <c r="J37" s="1044"/>
      <c r="K37" s="1711">
        <f>+E53</f>
        <v>0</v>
      </c>
      <c r="L37" s="47"/>
      <c r="M37" s="40"/>
      <c r="N37" s="40"/>
      <c r="O37" s="40"/>
    </row>
    <row r="38" spans="1:15">
      <c r="A38" s="1657" t="s">
        <v>287</v>
      </c>
      <c r="B38" s="1658"/>
      <c r="C38" s="1658"/>
      <c r="D38" s="1658"/>
      <c r="E38" s="420">
        <f>'Project Info'!D37</f>
        <v>0.04</v>
      </c>
      <c r="F38" s="1719"/>
      <c r="G38" s="865" t="s">
        <v>394</v>
      </c>
      <c r="H38" s="1044"/>
      <c r="I38" s="1044"/>
      <c r="J38" s="1044"/>
      <c r="K38" s="426">
        <f>'Project Info'!E40</f>
        <v>0.99990000000000001</v>
      </c>
      <c r="L38" s="46"/>
      <c r="M38" s="40"/>
      <c r="N38" s="40"/>
      <c r="O38" s="40"/>
    </row>
    <row r="39" spans="1:15">
      <c r="A39" s="1720" t="s">
        <v>288</v>
      </c>
      <c r="B39" s="1721"/>
      <c r="C39" s="1721"/>
      <c r="D39" s="1721"/>
      <c r="E39" s="1695">
        <f>+E38*E37</f>
        <v>0</v>
      </c>
      <c r="F39" s="1044"/>
      <c r="G39" s="865" t="s">
        <v>395</v>
      </c>
      <c r="H39" s="1044"/>
      <c r="I39" s="1044"/>
      <c r="J39" s="1044"/>
      <c r="K39" s="1219">
        <f>+K37*K38</f>
        <v>0</v>
      </c>
      <c r="L39" s="40"/>
      <c r="M39" s="40"/>
      <c r="N39" s="40"/>
      <c r="O39" s="40"/>
    </row>
    <row r="40" spans="1:15">
      <c r="A40" s="1722" t="s">
        <v>289</v>
      </c>
      <c r="B40" s="1723"/>
      <c r="C40" s="1723"/>
      <c r="D40" s="1724">
        <v>10</v>
      </c>
      <c r="E40" s="1581">
        <f>+E39*D40</f>
        <v>0</v>
      </c>
      <c r="F40" s="1044"/>
      <c r="G40" s="865" t="s">
        <v>396</v>
      </c>
      <c r="H40" s="1044"/>
      <c r="I40" s="1044"/>
      <c r="J40" s="1044"/>
      <c r="K40" s="427">
        <f>'Project Info'!E41</f>
        <v>0</v>
      </c>
      <c r="L40" s="40"/>
      <c r="M40" s="40"/>
      <c r="N40" s="40"/>
      <c r="O40" s="40"/>
    </row>
    <row r="41" spans="1:15">
      <c r="A41" s="2162" t="s">
        <v>71</v>
      </c>
      <c r="B41" s="1953"/>
      <c r="C41" s="1953"/>
      <c r="D41" s="1953"/>
      <c r="E41" s="1954"/>
      <c r="F41" s="1044"/>
      <c r="G41" s="1712" t="s">
        <v>397</v>
      </c>
      <c r="H41" s="1713"/>
      <c r="I41" s="1713"/>
      <c r="J41" s="1725"/>
      <c r="K41" s="1714">
        <f>+K40*K39</f>
        <v>0</v>
      </c>
      <c r="L41" s="40"/>
      <c r="M41" s="40"/>
      <c r="N41" s="40"/>
      <c r="O41" s="40"/>
    </row>
    <row r="42" spans="1:15">
      <c r="A42" s="1074" t="s">
        <v>66</v>
      </c>
      <c r="B42" s="1075"/>
      <c r="C42" s="1075"/>
      <c r="D42" s="1075"/>
      <c r="E42" s="1726">
        <f>+E37+E13</f>
        <v>0</v>
      </c>
      <c r="F42" s="1044"/>
      <c r="G42" s="1715" t="s">
        <v>4</v>
      </c>
      <c r="H42" s="1716"/>
      <c r="I42" s="1716"/>
      <c r="J42" s="1716"/>
      <c r="K42" s="1717"/>
      <c r="L42" s="40"/>
    </row>
    <row r="43" spans="1:15">
      <c r="A43" s="865" t="s">
        <v>603</v>
      </c>
      <c r="B43" s="1044"/>
      <c r="C43" s="1044"/>
      <c r="D43" s="1044"/>
      <c r="E43" s="1726">
        <f>'TC Analysis'!K26</f>
        <v>0</v>
      </c>
      <c r="F43" s="876"/>
      <c r="G43" s="865" t="s">
        <v>5</v>
      </c>
      <c r="H43" s="1044"/>
      <c r="I43" s="1044"/>
      <c r="J43" s="1044"/>
      <c r="K43" s="1219">
        <f>'Project Info'!F39</f>
        <v>0</v>
      </c>
    </row>
    <row r="44" spans="1:15">
      <c r="A44" s="1727" t="s">
        <v>189</v>
      </c>
      <c r="B44" s="1728"/>
      <c r="C44" s="1728"/>
      <c r="D44" s="1044"/>
      <c r="E44" s="1581">
        <f>+E28+E40</f>
        <v>0</v>
      </c>
      <c r="F44" s="876"/>
      <c r="G44" s="865" t="s">
        <v>13</v>
      </c>
      <c r="H44" s="1044"/>
      <c r="I44" s="1044"/>
      <c r="J44" s="1044"/>
      <c r="K44" s="428">
        <f>'Project Info'!F40</f>
        <v>0.99990000000000001</v>
      </c>
    </row>
    <row r="45" spans="1:15">
      <c r="A45" s="1727" t="s">
        <v>573</v>
      </c>
      <c r="B45" s="1728"/>
      <c r="C45" s="1728" t="str">
        <f>'Project Info'!C36</f>
        <v>No</v>
      </c>
      <c r="D45" s="1044"/>
      <c r="E45" s="1729"/>
      <c r="F45" s="876"/>
      <c r="G45" s="865" t="s">
        <v>6</v>
      </c>
      <c r="H45" s="1044"/>
      <c r="I45" s="1044"/>
      <c r="J45" s="1044"/>
      <c r="K45" s="1711">
        <f>+K44*K43</f>
        <v>0</v>
      </c>
    </row>
    <row r="46" spans="1:15">
      <c r="A46" s="865" t="s">
        <v>430</v>
      </c>
      <c r="B46" s="1044"/>
      <c r="C46" s="1044" t="s">
        <v>429</v>
      </c>
      <c r="D46" s="424">
        <f>'Annual HCD Updates'!C26</f>
        <v>2200000</v>
      </c>
      <c r="E46" s="831">
        <f>IF(C45="Yes",MIN(D46*10,E44),E44)</f>
        <v>0</v>
      </c>
      <c r="F46" s="876"/>
      <c r="G46" s="865" t="s">
        <v>7</v>
      </c>
      <c r="H46" s="1044"/>
      <c r="I46" s="1044"/>
      <c r="J46" s="1044"/>
      <c r="K46" s="427">
        <f>'Project Info'!F41</f>
        <v>0</v>
      </c>
    </row>
    <row r="47" spans="1:15" ht="15.75" thickBot="1">
      <c r="A47" s="865" t="s">
        <v>708</v>
      </c>
      <c r="B47" s="1044"/>
      <c r="C47" s="1044"/>
      <c r="D47" s="1730"/>
      <c r="E47" s="425">
        <f>'Project Info'!L45</f>
        <v>0</v>
      </c>
      <c r="F47" s="876"/>
      <c r="G47" s="1731" t="s">
        <v>8</v>
      </c>
      <c r="H47" s="1732"/>
      <c r="I47" s="1732"/>
      <c r="J47" s="1732"/>
      <c r="K47" s="1733">
        <f>+K46*K45</f>
        <v>0</v>
      </c>
    </row>
    <row r="48" spans="1:15" ht="15.75" thickBot="1">
      <c r="A48" s="1734" t="s">
        <v>190</v>
      </c>
      <c r="B48" s="1723"/>
      <c r="C48" s="1723"/>
      <c r="D48" s="1723"/>
      <c r="E48" s="831">
        <f>IF(E47=0,0,E44-MIN(E46,E47))</f>
        <v>0</v>
      </c>
      <c r="F48" s="876"/>
      <c r="G48" s="876"/>
      <c r="H48" s="876"/>
      <c r="I48" s="876"/>
      <c r="J48" s="876"/>
      <c r="K48" s="876"/>
    </row>
    <row r="49" spans="1:11" ht="16.5" thickBot="1">
      <c r="A49" s="2214" t="s">
        <v>400</v>
      </c>
      <c r="B49" s="2215"/>
      <c r="C49" s="2215"/>
      <c r="D49" s="2215"/>
      <c r="E49" s="2216"/>
      <c r="F49" s="876"/>
      <c r="G49" s="1735" t="s">
        <v>197</v>
      </c>
      <c r="H49" s="1736"/>
      <c r="I49" s="1736"/>
      <c r="J49" s="1736"/>
      <c r="K49" s="1737">
        <f>+K41+K35+K47</f>
        <v>0</v>
      </c>
    </row>
    <row r="50" spans="1:11">
      <c r="A50" s="1720" t="s">
        <v>391</v>
      </c>
      <c r="B50" s="1658"/>
      <c r="C50" s="1658"/>
      <c r="D50" s="1658"/>
      <c r="E50" s="1738"/>
      <c r="F50" s="876"/>
      <c r="G50" s="876"/>
      <c r="H50" s="876"/>
      <c r="I50" s="876"/>
      <c r="J50" s="876"/>
      <c r="K50" s="876"/>
    </row>
    <row r="51" spans="1:11">
      <c r="A51" s="1657" t="s">
        <v>291</v>
      </c>
      <c r="B51" s="1658"/>
      <c r="C51" s="1658"/>
      <c r="D51" s="1658"/>
      <c r="E51" s="400">
        <f>'Project Info'!E38</f>
        <v>0</v>
      </c>
      <c r="F51" s="876"/>
      <c r="G51" s="876"/>
      <c r="H51" s="876"/>
      <c r="I51" s="876"/>
      <c r="J51" s="876"/>
      <c r="K51" s="876"/>
    </row>
    <row r="52" spans="1:11">
      <c r="A52" s="1657" t="s">
        <v>292</v>
      </c>
      <c r="B52" s="1658"/>
      <c r="C52" s="1658"/>
      <c r="D52" s="1658"/>
      <c r="E52" s="400">
        <f>'Project Info'!E39</f>
        <v>0</v>
      </c>
      <c r="F52" s="876"/>
      <c r="G52" s="876"/>
      <c r="H52" s="876"/>
      <c r="I52" s="876"/>
      <c r="J52" s="876"/>
      <c r="K52" s="876"/>
    </row>
    <row r="53" spans="1:11" ht="15.75" thickBot="1">
      <c r="A53" s="1739" t="s">
        <v>392</v>
      </c>
      <c r="B53" s="1740"/>
      <c r="C53" s="1740"/>
      <c r="D53" s="1740"/>
      <c r="E53" s="830">
        <f>MIN(E51,E52)</f>
        <v>0</v>
      </c>
      <c r="F53" s="876"/>
      <c r="G53" s="876"/>
      <c r="H53" s="876"/>
      <c r="I53" s="876"/>
      <c r="J53" s="876"/>
      <c r="K53" s="876"/>
    </row>
    <row r="54" spans="1:11">
      <c r="A54" s="876"/>
      <c r="B54" s="876"/>
      <c r="C54" s="876"/>
      <c r="D54" s="876"/>
      <c r="E54" s="876"/>
      <c r="F54" s="876"/>
      <c r="G54" s="876"/>
      <c r="H54" s="876"/>
      <c r="I54" s="876"/>
      <c r="J54" s="876"/>
      <c r="K54" s="876"/>
    </row>
    <row r="61" spans="1:11" ht="15.75">
      <c r="D61"/>
    </row>
  </sheetData>
  <sheetProtection algorithmName="SHA-512" hashValue="5gKb1mmUL20adixxusBh2fKWho8llG4a2HbfPnpsUNoOaLie+up2iYfvAbf7Vpa07SRMlzybiCuQcwQpH2a5FQ==" saltValue="actW4i5vTiJWiC7rAuutOQ==" spinCount="100000" sheet="1" objects="1" scenarios="1"/>
  <mergeCells count="12">
    <mergeCell ref="P4:P5"/>
    <mergeCell ref="A2:K2"/>
    <mergeCell ref="A49:E49"/>
    <mergeCell ref="G3:K4"/>
    <mergeCell ref="G29:K29"/>
    <mergeCell ref="G14:H14"/>
    <mergeCell ref="I5:J5"/>
    <mergeCell ref="G5:G6"/>
    <mergeCell ref="H5:H6"/>
    <mergeCell ref="A3:E3"/>
    <mergeCell ref="A41:E41"/>
    <mergeCell ref="A29:E29"/>
  </mergeCells>
  <phoneticPr fontId="12" type="noConversion"/>
  <pageMargins left="0.5" right="0.4" top="0.75" bottom="0.42" header="0.3" footer="0.24"/>
  <pageSetup scale="72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AJ141"/>
  <sheetViews>
    <sheetView workbookViewId="0"/>
  </sheetViews>
  <sheetFormatPr defaultColWidth="11.5546875" defaultRowHeight="12.75" customHeight="1"/>
  <cols>
    <col min="1" max="1" width="26.33203125" style="9" customWidth="1"/>
    <col min="2" max="2" width="11" style="9" customWidth="1"/>
    <col min="3" max="3" width="7.6640625" style="15" customWidth="1"/>
    <col min="4" max="4" width="7.6640625" style="9" customWidth="1"/>
    <col min="5" max="5" width="6.5546875" style="98" customWidth="1"/>
    <col min="6" max="6" width="11.5546875" style="9"/>
    <col min="7" max="7" width="10.88671875" style="9" customWidth="1"/>
    <col min="8" max="8" width="10.33203125" style="9" customWidth="1"/>
    <col min="9" max="20" width="9.88671875" style="9" customWidth="1"/>
    <col min="21" max="21" width="9.88671875" style="60" customWidth="1"/>
    <col min="22" max="35" width="9.88671875" style="9" customWidth="1"/>
    <col min="36" max="16384" width="11.5546875" style="9"/>
  </cols>
  <sheetData>
    <row r="1" spans="1:36" ht="12.75" customHeight="1">
      <c r="A1" s="1741"/>
      <c r="B1" s="1629"/>
      <c r="C1" s="1742"/>
      <c r="D1" s="1629"/>
      <c r="E1" s="1743"/>
      <c r="F1" s="1744"/>
      <c r="G1" s="876"/>
      <c r="H1" s="876"/>
      <c r="I1" s="1630"/>
      <c r="J1" s="1406"/>
      <c r="K1" s="1406"/>
      <c r="L1" s="1406"/>
      <c r="M1" s="876"/>
      <c r="N1" s="876"/>
      <c r="O1" s="876"/>
      <c r="P1" s="876"/>
      <c r="Q1" s="876"/>
      <c r="R1" s="876"/>
      <c r="S1" s="876"/>
      <c r="T1" s="876"/>
      <c r="U1" s="1343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  <c r="AJ1" s="876"/>
    </row>
    <row r="2" spans="1:36" ht="21.95" customHeight="1">
      <c r="A2" s="1745" t="s">
        <v>628</v>
      </c>
      <c r="B2" s="1746">
        <f>0.6*47240695</f>
        <v>28344417</v>
      </c>
      <c r="C2" s="1747"/>
      <c r="D2" s="1748"/>
      <c r="E2" s="1743"/>
      <c r="F2" s="1744"/>
      <c r="G2" s="876"/>
      <c r="H2" s="876"/>
      <c r="I2" s="1630"/>
      <c r="J2" s="1406"/>
      <c r="K2" s="1406"/>
      <c r="L2" s="1406"/>
      <c r="M2" s="876"/>
      <c r="N2" s="876"/>
      <c r="O2" s="876"/>
      <c r="P2" s="876"/>
      <c r="Q2" s="876"/>
      <c r="R2" s="876"/>
      <c r="S2" s="876"/>
      <c r="T2" s="876"/>
      <c r="U2" s="1343"/>
      <c r="V2" s="876"/>
      <c r="W2" s="876"/>
      <c r="X2" s="876"/>
      <c r="Y2" s="876"/>
      <c r="Z2" s="876"/>
      <c r="AA2" s="876"/>
      <c r="AB2" s="876"/>
      <c r="AC2" s="876"/>
      <c r="AD2" s="876"/>
      <c r="AE2" s="876"/>
      <c r="AF2" s="876"/>
      <c r="AG2" s="876"/>
      <c r="AH2" s="876"/>
      <c r="AI2" s="876"/>
      <c r="AJ2" s="876"/>
    </row>
    <row r="3" spans="1:36" ht="12.95" customHeight="1">
      <c r="A3" s="876"/>
      <c r="B3" s="1749"/>
      <c r="C3" s="1747"/>
      <c r="D3" s="1748"/>
      <c r="E3" s="1743"/>
      <c r="F3" s="2238" t="s">
        <v>83</v>
      </c>
      <c r="G3" s="2239"/>
      <c r="H3" s="2240"/>
      <c r="I3" s="1750"/>
      <c r="J3" s="1406"/>
      <c r="K3" s="1406"/>
      <c r="L3" s="1406"/>
      <c r="M3" s="876"/>
      <c r="N3" s="876"/>
      <c r="O3" s="876"/>
      <c r="P3" s="876"/>
      <c r="Q3" s="876"/>
      <c r="R3" s="876"/>
      <c r="S3" s="876"/>
      <c r="T3" s="876"/>
      <c r="U3" s="1343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</row>
    <row r="4" spans="1:36" ht="12.75" customHeight="1">
      <c r="A4" s="1751"/>
      <c r="B4" s="1752"/>
      <c r="C4" s="1753"/>
      <c r="D4" s="1748"/>
      <c r="E4" s="1743"/>
      <c r="F4" s="1754">
        <f>' Lease-up'!E26</f>
        <v>0</v>
      </c>
      <c r="G4" s="1755">
        <f>IFERROR(+' Lease-up'!E42,0)</f>
        <v>0</v>
      </c>
      <c r="H4" s="1756">
        <f>IFERROR(+' Lease-up'!E58,0)</f>
        <v>0</v>
      </c>
      <c r="I4" s="922"/>
      <c r="J4" s="1406"/>
      <c r="K4" s="1406"/>
      <c r="L4" s="1406"/>
      <c r="M4" s="876"/>
      <c r="N4" s="876"/>
      <c r="O4" s="876"/>
      <c r="P4" s="876"/>
      <c r="Q4" s="876"/>
      <c r="R4" s="876"/>
      <c r="S4" s="876"/>
      <c r="T4" s="876"/>
      <c r="U4" s="1343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</row>
    <row r="5" spans="1:36" ht="12.75" customHeight="1">
      <c r="A5" s="876"/>
      <c r="B5" s="876"/>
      <c r="C5" s="1366"/>
      <c r="D5" s="866"/>
      <c r="E5" s="1757" t="s">
        <v>405</v>
      </c>
      <c r="F5" s="1758">
        <v>1</v>
      </c>
      <c r="G5" s="1758">
        <f>F5+1</f>
        <v>2</v>
      </c>
      <c r="H5" s="1758">
        <f t="shared" ref="H5:AI5" si="0">G5+1</f>
        <v>3</v>
      </c>
      <c r="I5" s="1758">
        <f t="shared" si="0"/>
        <v>4</v>
      </c>
      <c r="J5" s="1758">
        <f t="shared" si="0"/>
        <v>5</v>
      </c>
      <c r="K5" s="1758">
        <f t="shared" si="0"/>
        <v>6</v>
      </c>
      <c r="L5" s="1758">
        <f t="shared" si="0"/>
        <v>7</v>
      </c>
      <c r="M5" s="1758">
        <f t="shared" si="0"/>
        <v>8</v>
      </c>
      <c r="N5" s="1758">
        <f t="shared" si="0"/>
        <v>9</v>
      </c>
      <c r="O5" s="1758">
        <f t="shared" si="0"/>
        <v>10</v>
      </c>
      <c r="P5" s="1758">
        <f t="shared" si="0"/>
        <v>11</v>
      </c>
      <c r="Q5" s="1758">
        <f t="shared" si="0"/>
        <v>12</v>
      </c>
      <c r="R5" s="1758">
        <f t="shared" si="0"/>
        <v>13</v>
      </c>
      <c r="S5" s="1758">
        <f t="shared" si="0"/>
        <v>14</v>
      </c>
      <c r="T5" s="1758">
        <f t="shared" si="0"/>
        <v>15</v>
      </c>
      <c r="U5" s="1759">
        <f t="shared" si="0"/>
        <v>16</v>
      </c>
      <c r="V5" s="1758">
        <f t="shared" si="0"/>
        <v>17</v>
      </c>
      <c r="W5" s="1758">
        <f t="shared" si="0"/>
        <v>18</v>
      </c>
      <c r="X5" s="1758">
        <f t="shared" si="0"/>
        <v>19</v>
      </c>
      <c r="Y5" s="1758">
        <f t="shared" si="0"/>
        <v>20</v>
      </c>
      <c r="Z5" s="1758">
        <f t="shared" si="0"/>
        <v>21</v>
      </c>
      <c r="AA5" s="1758">
        <f t="shared" si="0"/>
        <v>22</v>
      </c>
      <c r="AB5" s="1758">
        <f t="shared" si="0"/>
        <v>23</v>
      </c>
      <c r="AC5" s="1758">
        <f t="shared" si="0"/>
        <v>24</v>
      </c>
      <c r="AD5" s="1758">
        <f t="shared" si="0"/>
        <v>25</v>
      </c>
      <c r="AE5" s="1758">
        <f t="shared" si="0"/>
        <v>26</v>
      </c>
      <c r="AF5" s="1758">
        <f t="shared" si="0"/>
        <v>27</v>
      </c>
      <c r="AG5" s="1758">
        <f t="shared" si="0"/>
        <v>28</v>
      </c>
      <c r="AH5" s="1758">
        <f t="shared" si="0"/>
        <v>29</v>
      </c>
      <c r="AI5" s="1758">
        <f t="shared" si="0"/>
        <v>30</v>
      </c>
      <c r="AJ5" s="876"/>
    </row>
    <row r="6" spans="1:36" ht="12.75" customHeight="1">
      <c r="A6" s="1760"/>
      <c r="B6" s="866"/>
      <c r="C6" s="1761"/>
      <c r="D6" s="866"/>
      <c r="E6" s="1757" t="s">
        <v>406</v>
      </c>
      <c r="F6" s="1675">
        <f>+' Lease-up'!I7</f>
        <v>1904</v>
      </c>
      <c r="G6" s="1675">
        <f>+F6+1</f>
        <v>1905</v>
      </c>
      <c r="H6" s="1675">
        <f t="shared" ref="H6:AI6" si="1">+G6+1</f>
        <v>1906</v>
      </c>
      <c r="I6" s="1675">
        <f t="shared" si="1"/>
        <v>1907</v>
      </c>
      <c r="J6" s="1675">
        <f t="shared" si="1"/>
        <v>1908</v>
      </c>
      <c r="K6" s="1675">
        <f t="shared" si="1"/>
        <v>1909</v>
      </c>
      <c r="L6" s="1675">
        <f t="shared" si="1"/>
        <v>1910</v>
      </c>
      <c r="M6" s="1675">
        <f t="shared" si="1"/>
        <v>1911</v>
      </c>
      <c r="N6" s="1675">
        <f t="shared" si="1"/>
        <v>1912</v>
      </c>
      <c r="O6" s="1675">
        <f t="shared" si="1"/>
        <v>1913</v>
      </c>
      <c r="P6" s="1675">
        <f t="shared" si="1"/>
        <v>1914</v>
      </c>
      <c r="Q6" s="1675">
        <f t="shared" si="1"/>
        <v>1915</v>
      </c>
      <c r="R6" s="1675">
        <f t="shared" si="1"/>
        <v>1916</v>
      </c>
      <c r="S6" s="1675">
        <f t="shared" si="1"/>
        <v>1917</v>
      </c>
      <c r="T6" s="1675">
        <f t="shared" si="1"/>
        <v>1918</v>
      </c>
      <c r="U6" s="1762">
        <f t="shared" si="1"/>
        <v>1919</v>
      </c>
      <c r="V6" s="1675">
        <f t="shared" si="1"/>
        <v>1920</v>
      </c>
      <c r="W6" s="1675">
        <f t="shared" si="1"/>
        <v>1921</v>
      </c>
      <c r="X6" s="1675">
        <f t="shared" si="1"/>
        <v>1922</v>
      </c>
      <c r="Y6" s="1675">
        <f t="shared" si="1"/>
        <v>1923</v>
      </c>
      <c r="Z6" s="1675">
        <f t="shared" si="1"/>
        <v>1924</v>
      </c>
      <c r="AA6" s="1675">
        <f t="shared" si="1"/>
        <v>1925</v>
      </c>
      <c r="AB6" s="1675">
        <f t="shared" si="1"/>
        <v>1926</v>
      </c>
      <c r="AC6" s="1675">
        <f t="shared" si="1"/>
        <v>1927</v>
      </c>
      <c r="AD6" s="1675">
        <f t="shared" si="1"/>
        <v>1928</v>
      </c>
      <c r="AE6" s="1675">
        <f t="shared" si="1"/>
        <v>1929</v>
      </c>
      <c r="AF6" s="1675">
        <f t="shared" si="1"/>
        <v>1930</v>
      </c>
      <c r="AG6" s="1675">
        <f t="shared" si="1"/>
        <v>1931</v>
      </c>
      <c r="AH6" s="1675">
        <f t="shared" si="1"/>
        <v>1932</v>
      </c>
      <c r="AI6" s="1675">
        <f t="shared" si="1"/>
        <v>1933</v>
      </c>
      <c r="AJ6" s="876"/>
    </row>
    <row r="7" spans="1:36" ht="12.75" customHeight="1">
      <c r="A7" s="1760" t="s">
        <v>172</v>
      </c>
      <c r="B7" s="866"/>
      <c r="C7" s="1761"/>
      <c r="D7" s="866"/>
      <c r="E7" s="1763"/>
      <c r="F7" s="1744"/>
      <c r="G7" s="1744"/>
      <c r="H7" s="1764"/>
      <c r="I7" s="1630"/>
      <c r="J7" s="1406"/>
      <c r="K7" s="1406"/>
      <c r="L7" s="1406"/>
      <c r="M7" s="876"/>
      <c r="N7" s="876"/>
      <c r="O7" s="876"/>
      <c r="P7" s="876"/>
      <c r="Q7" s="876"/>
      <c r="R7" s="876"/>
      <c r="S7" s="876"/>
      <c r="T7" s="876"/>
      <c r="U7" s="1343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</row>
    <row r="8" spans="1:36" ht="12.75" customHeight="1">
      <c r="A8" s="1044" t="s">
        <v>776</v>
      </c>
      <c r="B8" s="866"/>
      <c r="C8" s="1761"/>
      <c r="D8" s="866"/>
      <c r="E8" s="1765">
        <f>'Stabilized Ops &amp; Debt'!D72</f>
        <v>2.5000000000000001E-2</v>
      </c>
      <c r="F8" s="1766">
        <f>Rents!AK38*F4</f>
        <v>0</v>
      </c>
      <c r="G8" s="1766">
        <f>Rents!AK38*G$4*(1+$E$8)</f>
        <v>0</v>
      </c>
      <c r="H8" s="1766">
        <f>Rents!AK38*H$4*((1+$E$8)^2)</f>
        <v>0</v>
      </c>
      <c r="I8" s="1766">
        <f t="shared" ref="I8:I14" si="2">+H8*($E8+1)</f>
        <v>0</v>
      </c>
      <c r="J8" s="1766">
        <f t="shared" ref="J8:AI10" si="3">+I8*($E8+1)</f>
        <v>0</v>
      </c>
      <c r="K8" s="1766">
        <f t="shared" si="3"/>
        <v>0</v>
      </c>
      <c r="L8" s="1766">
        <f t="shared" si="3"/>
        <v>0</v>
      </c>
      <c r="M8" s="1766">
        <f t="shared" si="3"/>
        <v>0</v>
      </c>
      <c r="N8" s="1766">
        <f t="shared" si="3"/>
        <v>0</v>
      </c>
      <c r="O8" s="1766">
        <f t="shared" si="3"/>
        <v>0</v>
      </c>
      <c r="P8" s="1766">
        <f t="shared" si="3"/>
        <v>0</v>
      </c>
      <c r="Q8" s="1766">
        <f t="shared" si="3"/>
        <v>0</v>
      </c>
      <c r="R8" s="1766">
        <f t="shared" si="3"/>
        <v>0</v>
      </c>
      <c r="S8" s="1766">
        <f t="shared" si="3"/>
        <v>0</v>
      </c>
      <c r="T8" s="1766">
        <f t="shared" si="3"/>
        <v>0</v>
      </c>
      <c r="U8" s="1766">
        <f t="shared" si="3"/>
        <v>0</v>
      </c>
      <c r="V8" s="1766">
        <f t="shared" si="3"/>
        <v>0</v>
      </c>
      <c r="W8" s="1766">
        <f t="shared" si="3"/>
        <v>0</v>
      </c>
      <c r="X8" s="1766">
        <f t="shared" si="3"/>
        <v>0</v>
      </c>
      <c r="Y8" s="1766">
        <f t="shared" si="3"/>
        <v>0</v>
      </c>
      <c r="Z8" s="1766">
        <f t="shared" si="3"/>
        <v>0</v>
      </c>
      <c r="AA8" s="1766">
        <f t="shared" si="3"/>
        <v>0</v>
      </c>
      <c r="AB8" s="1766">
        <f t="shared" si="3"/>
        <v>0</v>
      </c>
      <c r="AC8" s="1766">
        <f t="shared" si="3"/>
        <v>0</v>
      </c>
      <c r="AD8" s="1766">
        <f t="shared" si="3"/>
        <v>0</v>
      </c>
      <c r="AE8" s="1766">
        <f t="shared" si="3"/>
        <v>0</v>
      </c>
      <c r="AF8" s="1766">
        <f t="shared" si="3"/>
        <v>0</v>
      </c>
      <c r="AG8" s="1766">
        <f t="shared" si="3"/>
        <v>0</v>
      </c>
      <c r="AH8" s="1766">
        <f t="shared" si="3"/>
        <v>0</v>
      </c>
      <c r="AI8" s="1766">
        <f t="shared" si="3"/>
        <v>0</v>
      </c>
      <c r="AJ8" s="876"/>
    </row>
    <row r="9" spans="1:36" ht="12.75" customHeight="1">
      <c r="A9" s="1044" t="s">
        <v>777</v>
      </c>
      <c r="B9" s="866"/>
      <c r="C9" s="1761"/>
      <c r="D9" s="866"/>
      <c r="E9" s="1765">
        <f>'Stabilized Ops &amp; Debt'!D73</f>
        <v>2.5000000000000001E-2</v>
      </c>
      <c r="F9" s="1766">
        <f>Rents!$AL$38*F$4</f>
        <v>0</v>
      </c>
      <c r="G9" s="1766">
        <f>Rents!$AL$38*G$4</f>
        <v>0</v>
      </c>
      <c r="H9" s="1766">
        <f>Rents!$AL$38*H$4</f>
        <v>0</v>
      </c>
      <c r="I9" s="1766">
        <f>+H9*($E9+1)</f>
        <v>0</v>
      </c>
      <c r="J9" s="1766">
        <f t="shared" si="3"/>
        <v>0</v>
      </c>
      <c r="K9" s="1766">
        <f t="shared" si="3"/>
        <v>0</v>
      </c>
      <c r="L9" s="1766">
        <f t="shared" si="3"/>
        <v>0</v>
      </c>
      <c r="M9" s="1766">
        <f t="shared" si="3"/>
        <v>0</v>
      </c>
      <c r="N9" s="1766">
        <f t="shared" si="3"/>
        <v>0</v>
      </c>
      <c r="O9" s="1766">
        <f t="shared" si="3"/>
        <v>0</v>
      </c>
      <c r="P9" s="1766">
        <f t="shared" si="3"/>
        <v>0</v>
      </c>
      <c r="Q9" s="1766">
        <f t="shared" si="3"/>
        <v>0</v>
      </c>
      <c r="R9" s="1766">
        <f t="shared" si="3"/>
        <v>0</v>
      </c>
      <c r="S9" s="1766">
        <f t="shared" si="3"/>
        <v>0</v>
      </c>
      <c r="T9" s="1766">
        <f t="shared" si="3"/>
        <v>0</v>
      </c>
      <c r="U9" s="1766">
        <f t="shared" si="3"/>
        <v>0</v>
      </c>
      <c r="V9" s="1766">
        <f t="shared" si="3"/>
        <v>0</v>
      </c>
      <c r="W9" s="1766">
        <f t="shared" si="3"/>
        <v>0</v>
      </c>
      <c r="X9" s="1766">
        <f t="shared" si="3"/>
        <v>0</v>
      </c>
      <c r="Y9" s="1766">
        <f t="shared" si="3"/>
        <v>0</v>
      </c>
      <c r="Z9" s="1766">
        <f t="shared" si="3"/>
        <v>0</v>
      </c>
      <c r="AA9" s="1766">
        <f t="shared" si="3"/>
        <v>0</v>
      </c>
      <c r="AB9" s="1766">
        <f t="shared" si="3"/>
        <v>0</v>
      </c>
      <c r="AC9" s="1766">
        <f t="shared" si="3"/>
        <v>0</v>
      </c>
      <c r="AD9" s="1766">
        <f t="shared" si="3"/>
        <v>0</v>
      </c>
      <c r="AE9" s="1766">
        <f t="shared" si="3"/>
        <v>0</v>
      </c>
      <c r="AF9" s="1766">
        <f t="shared" si="3"/>
        <v>0</v>
      </c>
      <c r="AG9" s="1766">
        <f t="shared" si="3"/>
        <v>0</v>
      </c>
      <c r="AH9" s="1766">
        <f t="shared" si="3"/>
        <v>0</v>
      </c>
      <c r="AI9" s="1766">
        <f t="shared" si="3"/>
        <v>0</v>
      </c>
      <c r="AJ9" s="876"/>
    </row>
    <row r="10" spans="1:36" ht="12.75" customHeight="1">
      <c r="A10" s="1767" t="s">
        <v>1424</v>
      </c>
      <c r="B10" s="866"/>
      <c r="C10" s="1761"/>
      <c r="D10" s="866"/>
      <c r="E10" s="1765">
        <f>'Stabilized Ops &amp; Debt'!D74</f>
        <v>2.5000000000000001E-2</v>
      </c>
      <c r="F10" s="1766">
        <f>Rents!$AM$38*F$4</f>
        <v>0</v>
      </c>
      <c r="G10" s="1766">
        <f>Rents!$AM$38*G$4</f>
        <v>0</v>
      </c>
      <c r="H10" s="1766">
        <f>Rents!$AM$38*H$4</f>
        <v>0</v>
      </c>
      <c r="I10" s="1766">
        <f>+H10*($E10+1)</f>
        <v>0</v>
      </c>
      <c r="J10" s="1766">
        <f t="shared" si="3"/>
        <v>0</v>
      </c>
      <c r="K10" s="1766">
        <f t="shared" si="3"/>
        <v>0</v>
      </c>
      <c r="L10" s="1766">
        <f t="shared" si="3"/>
        <v>0</v>
      </c>
      <c r="M10" s="1766">
        <f t="shared" si="3"/>
        <v>0</v>
      </c>
      <c r="N10" s="1766">
        <f t="shared" si="3"/>
        <v>0</v>
      </c>
      <c r="O10" s="1766">
        <f t="shared" si="3"/>
        <v>0</v>
      </c>
      <c r="P10" s="1766">
        <f t="shared" si="3"/>
        <v>0</v>
      </c>
      <c r="Q10" s="1766">
        <f t="shared" si="3"/>
        <v>0</v>
      </c>
      <c r="R10" s="1766">
        <f t="shared" si="3"/>
        <v>0</v>
      </c>
      <c r="S10" s="1766">
        <f t="shared" si="3"/>
        <v>0</v>
      </c>
      <c r="T10" s="1766">
        <f t="shared" si="3"/>
        <v>0</v>
      </c>
      <c r="U10" s="1766">
        <f t="shared" si="3"/>
        <v>0</v>
      </c>
      <c r="V10" s="1766">
        <f t="shared" si="3"/>
        <v>0</v>
      </c>
      <c r="W10" s="1766">
        <f t="shared" si="3"/>
        <v>0</v>
      </c>
      <c r="X10" s="1766">
        <f t="shared" si="3"/>
        <v>0</v>
      </c>
      <c r="Y10" s="1766">
        <f t="shared" si="3"/>
        <v>0</v>
      </c>
      <c r="Z10" s="1766">
        <f t="shared" si="3"/>
        <v>0</v>
      </c>
      <c r="AA10" s="1766">
        <f t="shared" si="3"/>
        <v>0</v>
      </c>
      <c r="AB10" s="1766">
        <f t="shared" si="3"/>
        <v>0</v>
      </c>
      <c r="AC10" s="1766">
        <f t="shared" si="3"/>
        <v>0</v>
      </c>
      <c r="AD10" s="1766">
        <f t="shared" si="3"/>
        <v>0</v>
      </c>
      <c r="AE10" s="1766">
        <f t="shared" si="3"/>
        <v>0</v>
      </c>
      <c r="AF10" s="1766">
        <f t="shared" si="3"/>
        <v>0</v>
      </c>
      <c r="AG10" s="1766">
        <f t="shared" si="3"/>
        <v>0</v>
      </c>
      <c r="AH10" s="1766">
        <f t="shared" si="3"/>
        <v>0</v>
      </c>
      <c r="AI10" s="1766">
        <f t="shared" si="3"/>
        <v>0</v>
      </c>
      <c r="AJ10" s="876"/>
    </row>
    <row r="11" spans="1:36" ht="12.75" customHeight="1">
      <c r="A11" s="1044" t="s">
        <v>778</v>
      </c>
      <c r="B11" s="866"/>
      <c r="C11" s="1761"/>
      <c r="D11" s="866"/>
      <c r="E11" s="1765">
        <f>'Stabilized Ops &amp; Debt'!D75</f>
        <v>2.5000000000000001E-2</v>
      </c>
      <c r="F11" s="1766">
        <f>Rents!AN38*F$4</f>
        <v>0</v>
      </c>
      <c r="G11" s="1766">
        <f>Rents!AN38*G$4*(1+$E$11)</f>
        <v>0</v>
      </c>
      <c r="H11" s="1766">
        <f>Rents!AN38*H$4*((1+$E$11)^2)</f>
        <v>0</v>
      </c>
      <c r="I11" s="1766">
        <f t="shared" si="2"/>
        <v>0</v>
      </c>
      <c r="J11" s="1766">
        <f t="shared" ref="J11:AI11" si="4">+I11*($E11+1)</f>
        <v>0</v>
      </c>
      <c r="K11" s="1766">
        <f t="shared" si="4"/>
        <v>0</v>
      </c>
      <c r="L11" s="1766">
        <f t="shared" si="4"/>
        <v>0</v>
      </c>
      <c r="M11" s="1766">
        <f t="shared" si="4"/>
        <v>0</v>
      </c>
      <c r="N11" s="1766">
        <f t="shared" si="4"/>
        <v>0</v>
      </c>
      <c r="O11" s="1766">
        <f t="shared" si="4"/>
        <v>0</v>
      </c>
      <c r="P11" s="1766">
        <f t="shared" si="4"/>
        <v>0</v>
      </c>
      <c r="Q11" s="1766">
        <f t="shared" si="4"/>
        <v>0</v>
      </c>
      <c r="R11" s="1766">
        <f t="shared" si="4"/>
        <v>0</v>
      </c>
      <c r="S11" s="1766">
        <f t="shared" si="4"/>
        <v>0</v>
      </c>
      <c r="T11" s="1766">
        <f t="shared" si="4"/>
        <v>0</v>
      </c>
      <c r="U11" s="1768">
        <f t="shared" si="4"/>
        <v>0</v>
      </c>
      <c r="V11" s="1766">
        <f t="shared" si="4"/>
        <v>0</v>
      </c>
      <c r="W11" s="1766">
        <f t="shared" si="4"/>
        <v>0</v>
      </c>
      <c r="X11" s="1766">
        <f t="shared" si="4"/>
        <v>0</v>
      </c>
      <c r="Y11" s="1766">
        <f t="shared" si="4"/>
        <v>0</v>
      </c>
      <c r="Z11" s="1766">
        <f t="shared" si="4"/>
        <v>0</v>
      </c>
      <c r="AA11" s="1766">
        <f t="shared" si="4"/>
        <v>0</v>
      </c>
      <c r="AB11" s="1766">
        <f t="shared" si="4"/>
        <v>0</v>
      </c>
      <c r="AC11" s="1766">
        <f t="shared" si="4"/>
        <v>0</v>
      </c>
      <c r="AD11" s="1766">
        <f t="shared" si="4"/>
        <v>0</v>
      </c>
      <c r="AE11" s="1766">
        <f t="shared" si="4"/>
        <v>0</v>
      </c>
      <c r="AF11" s="1766">
        <f t="shared" si="4"/>
        <v>0</v>
      </c>
      <c r="AG11" s="1766">
        <f t="shared" si="4"/>
        <v>0</v>
      </c>
      <c r="AH11" s="1766">
        <f t="shared" si="4"/>
        <v>0</v>
      </c>
      <c r="AI11" s="1766">
        <f t="shared" si="4"/>
        <v>0</v>
      </c>
      <c r="AJ11" s="876"/>
    </row>
    <row r="12" spans="1:36" ht="12.75" customHeight="1">
      <c r="A12" s="1044" t="s">
        <v>234</v>
      </c>
      <c r="B12" s="866"/>
      <c r="C12" s="1761"/>
      <c r="D12" s="866"/>
      <c r="E12" s="1765">
        <f>'Stabilized Ops &amp; Debt'!D76</f>
        <v>2.5000000000000001E-2</v>
      </c>
      <c r="F12" s="1766">
        <f>+'Stabilized Ops &amp; Debt'!$E$76*F4</f>
        <v>0</v>
      </c>
      <c r="G12" s="1766">
        <f>+'Stabilized Ops &amp; Debt'!$E$76*G4*(1+$E$12)</f>
        <v>0</v>
      </c>
      <c r="H12" s="1766">
        <f>+'Stabilized Ops &amp; Debt'!$E$76*H4*(1+$E$12)^2</f>
        <v>0</v>
      </c>
      <c r="I12" s="1766">
        <f t="shared" si="2"/>
        <v>0</v>
      </c>
      <c r="J12" s="1766">
        <f t="shared" ref="J12:AI12" si="5">+I12*($E12+1)</f>
        <v>0</v>
      </c>
      <c r="K12" s="1766">
        <f t="shared" si="5"/>
        <v>0</v>
      </c>
      <c r="L12" s="1766">
        <f t="shared" si="5"/>
        <v>0</v>
      </c>
      <c r="M12" s="1766">
        <f t="shared" si="5"/>
        <v>0</v>
      </c>
      <c r="N12" s="1766">
        <f t="shared" si="5"/>
        <v>0</v>
      </c>
      <c r="O12" s="1766">
        <f t="shared" si="5"/>
        <v>0</v>
      </c>
      <c r="P12" s="1766">
        <f t="shared" si="5"/>
        <v>0</v>
      </c>
      <c r="Q12" s="1766">
        <f t="shared" si="5"/>
        <v>0</v>
      </c>
      <c r="R12" s="1766">
        <f t="shared" si="5"/>
        <v>0</v>
      </c>
      <c r="S12" s="1766">
        <f t="shared" si="5"/>
        <v>0</v>
      </c>
      <c r="T12" s="1766">
        <f t="shared" si="5"/>
        <v>0</v>
      </c>
      <c r="U12" s="1768">
        <f t="shared" si="5"/>
        <v>0</v>
      </c>
      <c r="V12" s="1766">
        <f t="shared" si="5"/>
        <v>0</v>
      </c>
      <c r="W12" s="1766">
        <f t="shared" si="5"/>
        <v>0</v>
      </c>
      <c r="X12" s="1766">
        <f t="shared" si="5"/>
        <v>0</v>
      </c>
      <c r="Y12" s="1766">
        <f t="shared" si="5"/>
        <v>0</v>
      </c>
      <c r="Z12" s="1766">
        <f t="shared" si="5"/>
        <v>0</v>
      </c>
      <c r="AA12" s="1766">
        <f t="shared" si="5"/>
        <v>0</v>
      </c>
      <c r="AB12" s="1766">
        <f t="shared" si="5"/>
        <v>0</v>
      </c>
      <c r="AC12" s="1766">
        <f t="shared" si="5"/>
        <v>0</v>
      </c>
      <c r="AD12" s="1766">
        <f t="shared" si="5"/>
        <v>0</v>
      </c>
      <c r="AE12" s="1766">
        <f t="shared" si="5"/>
        <v>0</v>
      </c>
      <c r="AF12" s="1766">
        <f t="shared" si="5"/>
        <v>0</v>
      </c>
      <c r="AG12" s="1766">
        <f t="shared" si="5"/>
        <v>0</v>
      </c>
      <c r="AH12" s="1766">
        <f t="shared" si="5"/>
        <v>0</v>
      </c>
      <c r="AI12" s="1766">
        <f t="shared" si="5"/>
        <v>0</v>
      </c>
      <c r="AJ12" s="876"/>
    </row>
    <row r="13" spans="1:36" ht="12.75" customHeight="1">
      <c r="A13" s="1044" t="s">
        <v>781</v>
      </c>
      <c r="B13" s="1226">
        <f>'Stabilized Ops &amp; Debt'!C78</f>
        <v>0</v>
      </c>
      <c r="C13" s="1769"/>
      <c r="D13" s="922"/>
      <c r="E13" s="1765">
        <f>'Stabilized Ops &amp; Debt'!D78</f>
        <v>2.5000000000000001E-2</v>
      </c>
      <c r="F13" s="1766">
        <f>+'Stabilized Ops &amp; Debt'!$E$78*F4</f>
        <v>0</v>
      </c>
      <c r="G13" s="1766">
        <f>+'Stabilized Ops &amp; Debt'!$E$78*G4*(1+$E13)</f>
        <v>0</v>
      </c>
      <c r="H13" s="1766">
        <f>+'Stabilized Ops &amp; Debt'!$E$78*H4*(1+$E13)^2</f>
        <v>0</v>
      </c>
      <c r="I13" s="1766">
        <f t="shared" si="2"/>
        <v>0</v>
      </c>
      <c r="J13" s="1766">
        <f t="shared" ref="J13:AI14" si="6">+I13*($E13+1)</f>
        <v>0</v>
      </c>
      <c r="K13" s="1766">
        <f t="shared" si="6"/>
        <v>0</v>
      </c>
      <c r="L13" s="1766">
        <f t="shared" si="6"/>
        <v>0</v>
      </c>
      <c r="M13" s="1766">
        <f t="shared" si="6"/>
        <v>0</v>
      </c>
      <c r="N13" s="1766">
        <f t="shared" si="6"/>
        <v>0</v>
      </c>
      <c r="O13" s="1766">
        <f t="shared" si="6"/>
        <v>0</v>
      </c>
      <c r="P13" s="1766">
        <f t="shared" si="6"/>
        <v>0</v>
      </c>
      <c r="Q13" s="1766">
        <f t="shared" si="6"/>
        <v>0</v>
      </c>
      <c r="R13" s="1766">
        <f t="shared" si="6"/>
        <v>0</v>
      </c>
      <c r="S13" s="1766">
        <f t="shared" si="6"/>
        <v>0</v>
      </c>
      <c r="T13" s="1766">
        <f t="shared" si="6"/>
        <v>0</v>
      </c>
      <c r="U13" s="1768">
        <f t="shared" si="6"/>
        <v>0</v>
      </c>
      <c r="V13" s="1766">
        <f t="shared" si="6"/>
        <v>0</v>
      </c>
      <c r="W13" s="1766">
        <f t="shared" si="6"/>
        <v>0</v>
      </c>
      <c r="X13" s="1766">
        <f t="shared" si="6"/>
        <v>0</v>
      </c>
      <c r="Y13" s="1766">
        <f t="shared" si="6"/>
        <v>0</v>
      </c>
      <c r="Z13" s="1766">
        <f t="shared" si="6"/>
        <v>0</v>
      </c>
      <c r="AA13" s="1766">
        <f t="shared" si="6"/>
        <v>0</v>
      </c>
      <c r="AB13" s="1766">
        <f t="shared" si="6"/>
        <v>0</v>
      </c>
      <c r="AC13" s="1766">
        <f t="shared" si="6"/>
        <v>0</v>
      </c>
      <c r="AD13" s="1766">
        <f t="shared" si="6"/>
        <v>0</v>
      </c>
      <c r="AE13" s="1766">
        <f t="shared" si="6"/>
        <v>0</v>
      </c>
      <c r="AF13" s="1766">
        <f t="shared" si="6"/>
        <v>0</v>
      </c>
      <c r="AG13" s="1766">
        <f t="shared" si="6"/>
        <v>0</v>
      </c>
      <c r="AH13" s="1766">
        <f t="shared" si="6"/>
        <v>0</v>
      </c>
      <c r="AI13" s="1766">
        <f t="shared" si="6"/>
        <v>0</v>
      </c>
      <c r="AJ13" s="876"/>
    </row>
    <row r="14" spans="1:36" ht="12.75" customHeight="1">
      <c r="A14" s="1044" t="s">
        <v>781</v>
      </c>
      <c r="B14" s="1226">
        <f>'Stabilized Ops &amp; Debt'!C79</f>
        <v>0</v>
      </c>
      <c r="C14" s="1769"/>
      <c r="D14" s="922"/>
      <c r="E14" s="1765">
        <f>'Stabilized Ops &amp; Debt'!D79</f>
        <v>2.5000000000000001E-2</v>
      </c>
      <c r="F14" s="1766">
        <f>+'Stabilized Ops &amp; Debt'!$E$79*F4</f>
        <v>0</v>
      </c>
      <c r="G14" s="1766">
        <f>+'Stabilized Ops &amp; Debt'!$E79*G$4*(1+$E$14)</f>
        <v>0</v>
      </c>
      <c r="H14" s="1766">
        <f>+'Stabilized Ops &amp; Debt'!$E$79*H$4*((1+$E$14)^2)</f>
        <v>0</v>
      </c>
      <c r="I14" s="1766">
        <f t="shared" si="2"/>
        <v>0</v>
      </c>
      <c r="J14" s="1766">
        <f t="shared" si="6"/>
        <v>0</v>
      </c>
      <c r="K14" s="1766">
        <f t="shared" si="6"/>
        <v>0</v>
      </c>
      <c r="L14" s="1766">
        <f t="shared" si="6"/>
        <v>0</v>
      </c>
      <c r="M14" s="1766">
        <f t="shared" si="6"/>
        <v>0</v>
      </c>
      <c r="N14" s="1766">
        <f t="shared" si="6"/>
        <v>0</v>
      </c>
      <c r="O14" s="1766">
        <f t="shared" si="6"/>
        <v>0</v>
      </c>
      <c r="P14" s="1766">
        <f t="shared" si="6"/>
        <v>0</v>
      </c>
      <c r="Q14" s="1766">
        <f t="shared" si="6"/>
        <v>0</v>
      </c>
      <c r="R14" s="1766">
        <f t="shared" si="6"/>
        <v>0</v>
      </c>
      <c r="S14" s="1766">
        <f t="shared" si="6"/>
        <v>0</v>
      </c>
      <c r="T14" s="1766">
        <f t="shared" si="6"/>
        <v>0</v>
      </c>
      <c r="U14" s="1766">
        <f t="shared" si="6"/>
        <v>0</v>
      </c>
      <c r="V14" s="1766">
        <f t="shared" si="6"/>
        <v>0</v>
      </c>
      <c r="W14" s="1766">
        <f t="shared" si="6"/>
        <v>0</v>
      </c>
      <c r="X14" s="1766">
        <f t="shared" si="6"/>
        <v>0</v>
      </c>
      <c r="Y14" s="1766">
        <f t="shared" si="6"/>
        <v>0</v>
      </c>
      <c r="Z14" s="1766">
        <f t="shared" si="6"/>
        <v>0</v>
      </c>
      <c r="AA14" s="1766">
        <f t="shared" si="6"/>
        <v>0</v>
      </c>
      <c r="AB14" s="1766">
        <f t="shared" si="6"/>
        <v>0</v>
      </c>
      <c r="AC14" s="1766">
        <f t="shared" si="6"/>
        <v>0</v>
      </c>
      <c r="AD14" s="1766">
        <f t="shared" si="6"/>
        <v>0</v>
      </c>
      <c r="AE14" s="1766">
        <f t="shared" si="6"/>
        <v>0</v>
      </c>
      <c r="AF14" s="1766">
        <f t="shared" si="6"/>
        <v>0</v>
      </c>
      <c r="AG14" s="1766">
        <f t="shared" si="6"/>
        <v>0</v>
      </c>
      <c r="AH14" s="1766">
        <f t="shared" si="6"/>
        <v>0</v>
      </c>
      <c r="AI14" s="1766">
        <f t="shared" si="6"/>
        <v>0</v>
      </c>
      <c r="AJ14" s="876"/>
    </row>
    <row r="15" spans="1:36" s="16" customFormat="1" ht="12.75" customHeight="1">
      <c r="A15" s="1075" t="s">
        <v>78</v>
      </c>
      <c r="B15" s="1770"/>
      <c r="C15" s="1771"/>
      <c r="D15" s="1770"/>
      <c r="E15" s="1772"/>
      <c r="F15" s="1766">
        <f t="shared" ref="F15:AI15" si="7">SUM(F8:F14)</f>
        <v>0</v>
      </c>
      <c r="G15" s="1766">
        <f t="shared" si="7"/>
        <v>0</v>
      </c>
      <c r="H15" s="1766">
        <f t="shared" si="7"/>
        <v>0</v>
      </c>
      <c r="I15" s="1766">
        <f t="shared" si="7"/>
        <v>0</v>
      </c>
      <c r="J15" s="1766">
        <f t="shared" si="7"/>
        <v>0</v>
      </c>
      <c r="K15" s="1766">
        <f t="shared" si="7"/>
        <v>0</v>
      </c>
      <c r="L15" s="1766">
        <f t="shared" si="7"/>
        <v>0</v>
      </c>
      <c r="M15" s="1766">
        <f t="shared" si="7"/>
        <v>0</v>
      </c>
      <c r="N15" s="1766">
        <f t="shared" si="7"/>
        <v>0</v>
      </c>
      <c r="O15" s="1766">
        <f t="shared" si="7"/>
        <v>0</v>
      </c>
      <c r="P15" s="1766">
        <f t="shared" si="7"/>
        <v>0</v>
      </c>
      <c r="Q15" s="1766">
        <f t="shared" si="7"/>
        <v>0</v>
      </c>
      <c r="R15" s="1766">
        <f t="shared" si="7"/>
        <v>0</v>
      </c>
      <c r="S15" s="1766">
        <f t="shared" si="7"/>
        <v>0</v>
      </c>
      <c r="T15" s="1766">
        <f t="shared" si="7"/>
        <v>0</v>
      </c>
      <c r="U15" s="1766">
        <f t="shared" si="7"/>
        <v>0</v>
      </c>
      <c r="V15" s="1766">
        <f t="shared" si="7"/>
        <v>0</v>
      </c>
      <c r="W15" s="1766">
        <f t="shared" si="7"/>
        <v>0</v>
      </c>
      <c r="X15" s="1766">
        <f t="shared" si="7"/>
        <v>0</v>
      </c>
      <c r="Y15" s="1766">
        <f t="shared" si="7"/>
        <v>0</v>
      </c>
      <c r="Z15" s="1766">
        <f t="shared" si="7"/>
        <v>0</v>
      </c>
      <c r="AA15" s="1766">
        <f t="shared" si="7"/>
        <v>0</v>
      </c>
      <c r="AB15" s="1766">
        <f t="shared" si="7"/>
        <v>0</v>
      </c>
      <c r="AC15" s="1766">
        <f t="shared" si="7"/>
        <v>0</v>
      </c>
      <c r="AD15" s="1766">
        <f t="shared" si="7"/>
        <v>0</v>
      </c>
      <c r="AE15" s="1766">
        <f t="shared" si="7"/>
        <v>0</v>
      </c>
      <c r="AF15" s="1766">
        <f t="shared" si="7"/>
        <v>0</v>
      </c>
      <c r="AG15" s="1766">
        <f t="shared" si="7"/>
        <v>0</v>
      </c>
      <c r="AH15" s="1766">
        <f t="shared" si="7"/>
        <v>0</v>
      </c>
      <c r="AI15" s="1766">
        <f t="shared" si="7"/>
        <v>0</v>
      </c>
      <c r="AJ15" s="1223"/>
    </row>
    <row r="16" spans="1:36" ht="12.75" customHeight="1">
      <c r="A16" s="1044" t="s">
        <v>135</v>
      </c>
      <c r="B16" s="866"/>
      <c r="C16" s="1761"/>
      <c r="D16" s="866"/>
      <c r="E16" s="1773">
        <f>+'Stabilized Ops &amp; Debt'!D81</f>
        <v>2.5000000000000001E-2</v>
      </c>
      <c r="F16" s="1766">
        <f>+'Stabilized Ops &amp; Debt'!E84*F4</f>
        <v>0</v>
      </c>
      <c r="G16" s="1766">
        <f>F16*($E$16)*G$4</f>
        <v>0</v>
      </c>
      <c r="H16" s="1766">
        <f>+G16*$H$4*E16</f>
        <v>0</v>
      </c>
      <c r="I16" s="1766">
        <f t="shared" ref="I16:I21" si="8">+H16*$E16</f>
        <v>0</v>
      </c>
      <c r="J16" s="1766"/>
      <c r="K16" s="1766"/>
      <c r="L16" s="1766"/>
      <c r="M16" s="1766"/>
      <c r="N16" s="1766"/>
      <c r="O16" s="1766"/>
      <c r="P16" s="1766"/>
      <c r="Q16" s="1766"/>
      <c r="R16" s="1766"/>
      <c r="S16" s="1766"/>
      <c r="T16" s="1766"/>
      <c r="U16" s="1768"/>
      <c r="V16" s="1766"/>
      <c r="W16" s="1766"/>
      <c r="X16" s="1766"/>
      <c r="Y16" s="1766"/>
      <c r="Z16" s="1766"/>
      <c r="AA16" s="1766"/>
      <c r="AB16" s="1766"/>
      <c r="AC16" s="1766"/>
      <c r="AD16" s="1766"/>
      <c r="AE16" s="1766"/>
      <c r="AF16" s="1766"/>
      <c r="AG16" s="1766"/>
      <c r="AH16" s="1766"/>
      <c r="AI16" s="1766"/>
      <c r="AJ16" s="876"/>
    </row>
    <row r="17" spans="1:36" ht="12.75" customHeight="1">
      <c r="A17" s="1044" t="s">
        <v>779</v>
      </c>
      <c r="B17" s="1774">
        <f>+'Stabilized Ops &amp; Debt'!K4</f>
        <v>0.1</v>
      </c>
      <c r="C17" s="1761"/>
      <c r="D17" s="866"/>
      <c r="E17" s="1773"/>
      <c r="F17" s="1766">
        <f>$B17*F8</f>
        <v>0</v>
      </c>
      <c r="G17" s="1766">
        <f t="shared" ref="G17:AI19" si="9">$B17*G8</f>
        <v>0</v>
      </c>
      <c r="H17" s="1766">
        <f t="shared" si="9"/>
        <v>0</v>
      </c>
      <c r="I17" s="1766">
        <f t="shared" si="9"/>
        <v>0</v>
      </c>
      <c r="J17" s="1766">
        <f t="shared" si="9"/>
        <v>0</v>
      </c>
      <c r="K17" s="1766">
        <f t="shared" si="9"/>
        <v>0</v>
      </c>
      <c r="L17" s="1766">
        <f t="shared" si="9"/>
        <v>0</v>
      </c>
      <c r="M17" s="1766">
        <f t="shared" si="9"/>
        <v>0</v>
      </c>
      <c r="N17" s="1766">
        <f t="shared" si="9"/>
        <v>0</v>
      </c>
      <c r="O17" s="1766">
        <f t="shared" si="9"/>
        <v>0</v>
      </c>
      <c r="P17" s="1766">
        <f t="shared" si="9"/>
        <v>0</v>
      </c>
      <c r="Q17" s="1766">
        <f t="shared" si="9"/>
        <v>0</v>
      </c>
      <c r="R17" s="1766">
        <f t="shared" si="9"/>
        <v>0</v>
      </c>
      <c r="S17" s="1766">
        <f t="shared" si="9"/>
        <v>0</v>
      </c>
      <c r="T17" s="1766">
        <f t="shared" si="9"/>
        <v>0</v>
      </c>
      <c r="U17" s="1766">
        <f t="shared" si="9"/>
        <v>0</v>
      </c>
      <c r="V17" s="1766">
        <f t="shared" si="9"/>
        <v>0</v>
      </c>
      <c r="W17" s="1766">
        <f t="shared" si="9"/>
        <v>0</v>
      </c>
      <c r="X17" s="1766">
        <f t="shared" si="9"/>
        <v>0</v>
      </c>
      <c r="Y17" s="1766">
        <f t="shared" si="9"/>
        <v>0</v>
      </c>
      <c r="Z17" s="1766">
        <f t="shared" si="9"/>
        <v>0</v>
      </c>
      <c r="AA17" s="1766">
        <f t="shared" si="9"/>
        <v>0</v>
      </c>
      <c r="AB17" s="1766">
        <f t="shared" si="9"/>
        <v>0</v>
      </c>
      <c r="AC17" s="1766">
        <f t="shared" si="9"/>
        <v>0</v>
      </c>
      <c r="AD17" s="1766">
        <f t="shared" si="9"/>
        <v>0</v>
      </c>
      <c r="AE17" s="1766">
        <f t="shared" si="9"/>
        <v>0</v>
      </c>
      <c r="AF17" s="1766">
        <f t="shared" si="9"/>
        <v>0</v>
      </c>
      <c r="AG17" s="1766">
        <f t="shared" si="9"/>
        <v>0</v>
      </c>
      <c r="AH17" s="1766">
        <f t="shared" si="9"/>
        <v>0</v>
      </c>
      <c r="AI17" s="1766">
        <f t="shared" si="9"/>
        <v>0</v>
      </c>
      <c r="AJ17" s="876"/>
    </row>
    <row r="18" spans="1:36" ht="12.75" customHeight="1">
      <c r="A18" s="1044" t="s">
        <v>780</v>
      </c>
      <c r="B18" s="1774">
        <f>+'Stabilized Ops &amp; Debt'!K5</f>
        <v>0.1</v>
      </c>
      <c r="C18" s="1761"/>
      <c r="D18" s="866"/>
      <c r="E18" s="1773"/>
      <c r="F18" s="1766">
        <f t="shared" ref="F18:U19" si="10">$B18*F9</f>
        <v>0</v>
      </c>
      <c r="G18" s="1766">
        <f t="shared" si="10"/>
        <v>0</v>
      </c>
      <c r="H18" s="1766">
        <f t="shared" si="10"/>
        <v>0</v>
      </c>
      <c r="I18" s="1766">
        <f t="shared" si="10"/>
        <v>0</v>
      </c>
      <c r="J18" s="1766">
        <f t="shared" si="10"/>
        <v>0</v>
      </c>
      <c r="K18" s="1766">
        <f t="shared" si="10"/>
        <v>0</v>
      </c>
      <c r="L18" s="1766">
        <f t="shared" si="10"/>
        <v>0</v>
      </c>
      <c r="M18" s="1766">
        <f t="shared" si="10"/>
        <v>0</v>
      </c>
      <c r="N18" s="1766">
        <f t="shared" si="10"/>
        <v>0</v>
      </c>
      <c r="O18" s="1766">
        <f t="shared" si="10"/>
        <v>0</v>
      </c>
      <c r="P18" s="1766">
        <f t="shared" si="10"/>
        <v>0</v>
      </c>
      <c r="Q18" s="1766">
        <f t="shared" si="10"/>
        <v>0</v>
      </c>
      <c r="R18" s="1766">
        <f t="shared" si="10"/>
        <v>0</v>
      </c>
      <c r="S18" s="1766">
        <f t="shared" si="10"/>
        <v>0</v>
      </c>
      <c r="T18" s="1766">
        <f t="shared" si="10"/>
        <v>0</v>
      </c>
      <c r="U18" s="1766">
        <f t="shared" si="10"/>
        <v>0</v>
      </c>
      <c r="V18" s="1766">
        <f t="shared" si="9"/>
        <v>0</v>
      </c>
      <c r="W18" s="1766">
        <f t="shared" si="9"/>
        <v>0</v>
      </c>
      <c r="X18" s="1766">
        <f t="shared" si="9"/>
        <v>0</v>
      </c>
      <c r="Y18" s="1766">
        <f t="shared" si="9"/>
        <v>0</v>
      </c>
      <c r="Z18" s="1766">
        <f t="shared" si="9"/>
        <v>0</v>
      </c>
      <c r="AA18" s="1766">
        <f t="shared" si="9"/>
        <v>0</v>
      </c>
      <c r="AB18" s="1766">
        <f t="shared" si="9"/>
        <v>0</v>
      </c>
      <c r="AC18" s="1766">
        <f t="shared" si="9"/>
        <v>0</v>
      </c>
      <c r="AD18" s="1766">
        <f t="shared" si="9"/>
        <v>0</v>
      </c>
      <c r="AE18" s="1766">
        <f t="shared" si="9"/>
        <v>0</v>
      </c>
      <c r="AF18" s="1766">
        <f t="shared" si="9"/>
        <v>0</v>
      </c>
      <c r="AG18" s="1766">
        <f t="shared" si="9"/>
        <v>0</v>
      </c>
      <c r="AH18" s="1766">
        <f t="shared" si="9"/>
        <v>0</v>
      </c>
      <c r="AI18" s="1766">
        <f t="shared" si="9"/>
        <v>0</v>
      </c>
      <c r="AJ18" s="876"/>
    </row>
    <row r="19" spans="1:36" ht="12.75" customHeight="1">
      <c r="A19" s="1044" t="s">
        <v>1426</v>
      </c>
      <c r="B19" s="1774">
        <f>+'Stabilized Ops &amp; Debt'!K6</f>
        <v>0.1</v>
      </c>
      <c r="C19" s="1761"/>
      <c r="D19" s="866"/>
      <c r="E19" s="1773"/>
      <c r="F19" s="1766">
        <f t="shared" si="10"/>
        <v>0</v>
      </c>
      <c r="G19" s="1766">
        <f t="shared" si="9"/>
        <v>0</v>
      </c>
      <c r="H19" s="1766">
        <f t="shared" si="9"/>
        <v>0</v>
      </c>
      <c r="I19" s="1766">
        <f t="shared" si="9"/>
        <v>0</v>
      </c>
      <c r="J19" s="1766">
        <f t="shared" si="9"/>
        <v>0</v>
      </c>
      <c r="K19" s="1766">
        <f t="shared" si="9"/>
        <v>0</v>
      </c>
      <c r="L19" s="1766">
        <f t="shared" si="9"/>
        <v>0</v>
      </c>
      <c r="M19" s="1766">
        <f t="shared" si="9"/>
        <v>0</v>
      </c>
      <c r="N19" s="1766">
        <f t="shared" si="9"/>
        <v>0</v>
      </c>
      <c r="O19" s="1766">
        <f t="shared" si="9"/>
        <v>0</v>
      </c>
      <c r="P19" s="1766">
        <f t="shared" si="9"/>
        <v>0</v>
      </c>
      <c r="Q19" s="1766">
        <f t="shared" si="9"/>
        <v>0</v>
      </c>
      <c r="R19" s="1766">
        <f t="shared" si="9"/>
        <v>0</v>
      </c>
      <c r="S19" s="1766">
        <f t="shared" si="9"/>
        <v>0</v>
      </c>
      <c r="T19" s="1766">
        <f t="shared" si="9"/>
        <v>0</v>
      </c>
      <c r="U19" s="1766">
        <f t="shared" si="9"/>
        <v>0</v>
      </c>
      <c r="V19" s="1766">
        <f t="shared" si="9"/>
        <v>0</v>
      </c>
      <c r="W19" s="1766">
        <f t="shared" si="9"/>
        <v>0</v>
      </c>
      <c r="X19" s="1766">
        <f t="shared" si="9"/>
        <v>0</v>
      </c>
      <c r="Y19" s="1766">
        <f t="shared" si="9"/>
        <v>0</v>
      </c>
      <c r="Z19" s="1766">
        <f t="shared" si="9"/>
        <v>0</v>
      </c>
      <c r="AA19" s="1766">
        <f t="shared" si="9"/>
        <v>0</v>
      </c>
      <c r="AB19" s="1766">
        <f t="shared" si="9"/>
        <v>0</v>
      </c>
      <c r="AC19" s="1766">
        <f t="shared" si="9"/>
        <v>0</v>
      </c>
      <c r="AD19" s="1766">
        <f t="shared" si="9"/>
        <v>0</v>
      </c>
      <c r="AE19" s="1766">
        <f t="shared" si="9"/>
        <v>0</v>
      </c>
      <c r="AF19" s="1766">
        <f t="shared" si="9"/>
        <v>0</v>
      </c>
      <c r="AG19" s="1766">
        <f t="shared" si="9"/>
        <v>0</v>
      </c>
      <c r="AH19" s="1766">
        <f t="shared" si="9"/>
        <v>0</v>
      </c>
      <c r="AI19" s="1766">
        <f t="shared" si="9"/>
        <v>0</v>
      </c>
      <c r="AJ19" s="876"/>
    </row>
    <row r="20" spans="1:36" ht="12.75" customHeight="1">
      <c r="A20" s="1044" t="s">
        <v>782</v>
      </c>
      <c r="B20" s="1774">
        <f>+'Stabilized Ops &amp; Debt'!K7</f>
        <v>0.05</v>
      </c>
      <c r="C20" s="1775"/>
      <c r="D20" s="1776"/>
      <c r="E20" s="1765"/>
      <c r="F20" s="1766">
        <f>(+F15+F16)*$B$20</f>
        <v>0</v>
      </c>
      <c r="G20" s="1766">
        <f t="shared" ref="G20:I20" si="11">(+G15+G16)*$B$20</f>
        <v>0</v>
      </c>
      <c r="H20" s="1766">
        <f t="shared" si="11"/>
        <v>0</v>
      </c>
      <c r="I20" s="1766">
        <f t="shared" si="11"/>
        <v>0</v>
      </c>
      <c r="J20" s="1766">
        <f t="shared" ref="J20" si="12">(+J15+J16)*$B$20</f>
        <v>0</v>
      </c>
      <c r="K20" s="1766">
        <f t="shared" ref="K20" si="13">(+K15+K16)*$B$20</f>
        <v>0</v>
      </c>
      <c r="L20" s="1766">
        <f t="shared" ref="L20" si="14">(+L15+L16)*$B$20</f>
        <v>0</v>
      </c>
      <c r="M20" s="1766">
        <f t="shared" ref="M20" si="15">(+M15+M16)*$B$20</f>
        <v>0</v>
      </c>
      <c r="N20" s="1766">
        <f t="shared" ref="N20" si="16">(+N15+N16)*$B$20</f>
        <v>0</v>
      </c>
      <c r="O20" s="1766">
        <f t="shared" ref="O20" si="17">(+O15+O16)*$B$20</f>
        <v>0</v>
      </c>
      <c r="P20" s="1766">
        <f t="shared" ref="P20" si="18">(+P15+P16)*$B$20</f>
        <v>0</v>
      </c>
      <c r="Q20" s="1766">
        <f t="shared" ref="Q20" si="19">(+Q15+Q16)*$B$20</f>
        <v>0</v>
      </c>
      <c r="R20" s="1766">
        <f t="shared" ref="R20" si="20">(+R15+R16)*$B$20</f>
        <v>0</v>
      </c>
      <c r="S20" s="1766">
        <f t="shared" ref="S20" si="21">(+S15+S16)*$B$20</f>
        <v>0</v>
      </c>
      <c r="T20" s="1766">
        <f t="shared" ref="T20" si="22">(+T15+T16)*$B$20</f>
        <v>0</v>
      </c>
      <c r="U20" s="1768">
        <f t="shared" ref="U20" si="23">(+U15+U16)*$B$20</f>
        <v>0</v>
      </c>
      <c r="V20" s="1766">
        <f t="shared" ref="V20" si="24">(+V15+V16)*$B$20</f>
        <v>0</v>
      </c>
      <c r="W20" s="1766">
        <f t="shared" ref="W20" si="25">(+W15+W16)*$B$20</f>
        <v>0</v>
      </c>
      <c r="X20" s="1766">
        <f t="shared" ref="X20" si="26">(+X15+X16)*$B$20</f>
        <v>0</v>
      </c>
      <c r="Y20" s="1766">
        <f t="shared" ref="Y20" si="27">(+Y15+Y16)*$B$20</f>
        <v>0</v>
      </c>
      <c r="Z20" s="1766">
        <f t="shared" ref="Z20" si="28">(+Z15+Z16)*$B$20</f>
        <v>0</v>
      </c>
      <c r="AA20" s="1766">
        <f t="shared" ref="AA20" si="29">(+AA15+AA16)*$B$20</f>
        <v>0</v>
      </c>
      <c r="AB20" s="1766">
        <f t="shared" ref="AB20" si="30">(+AB15+AB16)*$B$20</f>
        <v>0</v>
      </c>
      <c r="AC20" s="1766">
        <f t="shared" ref="AC20" si="31">(+AC15+AC16)*$B$20</f>
        <v>0</v>
      </c>
      <c r="AD20" s="1766">
        <f t="shared" ref="AD20" si="32">(+AD15+AD16)*$B$20</f>
        <v>0</v>
      </c>
      <c r="AE20" s="1766">
        <f t="shared" ref="AE20" si="33">(+AE15+AE16)*$B$20</f>
        <v>0</v>
      </c>
      <c r="AF20" s="1766">
        <f t="shared" ref="AF20" si="34">(+AF15+AF16)*$B$20</f>
        <v>0</v>
      </c>
      <c r="AG20" s="1766">
        <f t="shared" ref="AG20" si="35">(+AG15+AG16)*$B$20</f>
        <v>0</v>
      </c>
      <c r="AH20" s="1766">
        <f t="shared" ref="AH20" si="36">(+AH15+AH16)*$B$20</f>
        <v>0</v>
      </c>
      <c r="AI20" s="1766">
        <f t="shared" ref="AI20" si="37">(+AI15+AI16)*$B$20</f>
        <v>0</v>
      </c>
      <c r="AJ20" s="876"/>
    </row>
    <row r="21" spans="1:36" ht="12.75" customHeight="1">
      <c r="A21" s="1044" t="s">
        <v>170</v>
      </c>
      <c r="B21" s="876"/>
      <c r="C21" s="1366"/>
      <c r="D21" s="1776"/>
      <c r="E21" s="1765">
        <f>+'Stabilized Ops &amp; Debt'!D86</f>
        <v>2.5000000000000001E-2</v>
      </c>
      <c r="F21" s="1766">
        <f>+'Stabilized Ops &amp; Debt'!E87*F4</f>
        <v>0</v>
      </c>
      <c r="G21" s="1766">
        <f>F21*($E$21)*G$4</f>
        <v>0</v>
      </c>
      <c r="H21" s="1766">
        <f>+G21*$H$4*E21</f>
        <v>0</v>
      </c>
      <c r="I21" s="1766">
        <f t="shared" si="8"/>
        <v>0</v>
      </c>
      <c r="J21" s="1766">
        <f t="shared" ref="J21:AI21" si="38">+I21*$E21</f>
        <v>0</v>
      </c>
      <c r="K21" s="1766">
        <f t="shared" si="38"/>
        <v>0</v>
      </c>
      <c r="L21" s="1766">
        <f t="shared" si="38"/>
        <v>0</v>
      </c>
      <c r="M21" s="1766">
        <f t="shared" si="38"/>
        <v>0</v>
      </c>
      <c r="N21" s="1766">
        <f t="shared" si="38"/>
        <v>0</v>
      </c>
      <c r="O21" s="1766">
        <f t="shared" si="38"/>
        <v>0</v>
      </c>
      <c r="P21" s="1766">
        <f t="shared" si="38"/>
        <v>0</v>
      </c>
      <c r="Q21" s="1766">
        <f t="shared" si="38"/>
        <v>0</v>
      </c>
      <c r="R21" s="1766">
        <f t="shared" si="38"/>
        <v>0</v>
      </c>
      <c r="S21" s="1766">
        <f t="shared" si="38"/>
        <v>0</v>
      </c>
      <c r="T21" s="1766">
        <f t="shared" si="38"/>
        <v>0</v>
      </c>
      <c r="U21" s="1768">
        <f t="shared" si="38"/>
        <v>0</v>
      </c>
      <c r="V21" s="1766">
        <f t="shared" si="38"/>
        <v>0</v>
      </c>
      <c r="W21" s="1766">
        <f t="shared" si="38"/>
        <v>0</v>
      </c>
      <c r="X21" s="1766">
        <f t="shared" si="38"/>
        <v>0</v>
      </c>
      <c r="Y21" s="1766">
        <f t="shared" si="38"/>
        <v>0</v>
      </c>
      <c r="Z21" s="1766">
        <f t="shared" si="38"/>
        <v>0</v>
      </c>
      <c r="AA21" s="1766">
        <f t="shared" si="38"/>
        <v>0</v>
      </c>
      <c r="AB21" s="1766">
        <f t="shared" si="38"/>
        <v>0</v>
      </c>
      <c r="AC21" s="1766">
        <f t="shared" si="38"/>
        <v>0</v>
      </c>
      <c r="AD21" s="1766">
        <f t="shared" si="38"/>
        <v>0</v>
      </c>
      <c r="AE21" s="1766">
        <f t="shared" si="38"/>
        <v>0</v>
      </c>
      <c r="AF21" s="1766">
        <f t="shared" si="38"/>
        <v>0</v>
      </c>
      <c r="AG21" s="1766">
        <f t="shared" si="38"/>
        <v>0</v>
      </c>
      <c r="AH21" s="1766">
        <f t="shared" si="38"/>
        <v>0</v>
      </c>
      <c r="AI21" s="1766">
        <f t="shared" si="38"/>
        <v>0</v>
      </c>
      <c r="AJ21" s="876"/>
    </row>
    <row r="22" spans="1:36" ht="12.75" customHeight="1">
      <c r="A22" s="1044" t="s">
        <v>84</v>
      </c>
      <c r="B22" s="1777">
        <f>+'Stabilized Ops &amp; Debt'!K9</f>
        <v>0.1</v>
      </c>
      <c r="C22" s="1778"/>
      <c r="D22" s="1776"/>
      <c r="E22" s="1757"/>
      <c r="F22" s="1766">
        <f>+F21*$B$22</f>
        <v>0</v>
      </c>
      <c r="G22" s="1766">
        <f>+G21*$B$22</f>
        <v>0</v>
      </c>
      <c r="H22" s="1766">
        <f>+H21*$B$22</f>
        <v>0</v>
      </c>
      <c r="I22" s="1766">
        <f t="shared" ref="I22:P22" si="39">+I21*$B$22</f>
        <v>0</v>
      </c>
      <c r="J22" s="1766">
        <f t="shared" si="39"/>
        <v>0</v>
      </c>
      <c r="K22" s="1766">
        <f t="shared" si="39"/>
        <v>0</v>
      </c>
      <c r="L22" s="1766">
        <f t="shared" si="39"/>
        <v>0</v>
      </c>
      <c r="M22" s="1766">
        <f t="shared" si="39"/>
        <v>0</v>
      </c>
      <c r="N22" s="1766">
        <f t="shared" si="39"/>
        <v>0</v>
      </c>
      <c r="O22" s="1766">
        <f t="shared" si="39"/>
        <v>0</v>
      </c>
      <c r="P22" s="1766">
        <f t="shared" si="39"/>
        <v>0</v>
      </c>
      <c r="Q22" s="1766">
        <f t="shared" ref="Q22" si="40">+Q21*$B$22</f>
        <v>0</v>
      </c>
      <c r="R22" s="1766">
        <f t="shared" ref="R22" si="41">+R21*$B$22</f>
        <v>0</v>
      </c>
      <c r="S22" s="1766">
        <f t="shared" ref="S22" si="42">+S21*$B$22</f>
        <v>0</v>
      </c>
      <c r="T22" s="1766">
        <f t="shared" ref="T22" si="43">+T21*$B$22</f>
        <v>0</v>
      </c>
      <c r="U22" s="1768">
        <f t="shared" ref="U22" si="44">+U21*$B$22</f>
        <v>0</v>
      </c>
      <c r="V22" s="1766">
        <f t="shared" ref="V22" si="45">+V21*$B$22</f>
        <v>0</v>
      </c>
      <c r="W22" s="1766">
        <f t="shared" ref="W22" si="46">+W21*$B$22</f>
        <v>0</v>
      </c>
      <c r="X22" s="1766">
        <f t="shared" ref="X22" si="47">+X21*$B$22</f>
        <v>0</v>
      </c>
      <c r="Y22" s="1766">
        <f t="shared" ref="Y22" si="48">+Y21*$B$22</f>
        <v>0</v>
      </c>
      <c r="Z22" s="1766">
        <f t="shared" ref="Z22" si="49">+Z21*$B$22</f>
        <v>0</v>
      </c>
      <c r="AA22" s="1766">
        <f t="shared" ref="AA22" si="50">+AA21*$B$22</f>
        <v>0</v>
      </c>
      <c r="AB22" s="1766">
        <f t="shared" ref="AB22" si="51">+AB21*$B$22</f>
        <v>0</v>
      </c>
      <c r="AC22" s="1766">
        <f t="shared" ref="AC22" si="52">+AC21*$B$22</f>
        <v>0</v>
      </c>
      <c r="AD22" s="1766">
        <f t="shared" ref="AD22" si="53">+AD21*$B$22</f>
        <v>0</v>
      </c>
      <c r="AE22" s="1766">
        <f t="shared" ref="AE22" si="54">+AE21*$B$22</f>
        <v>0</v>
      </c>
      <c r="AF22" s="1766">
        <f t="shared" ref="AF22" si="55">+AF21*$B$22</f>
        <v>0</v>
      </c>
      <c r="AG22" s="1766">
        <f t="shared" ref="AG22" si="56">+AG21*$B$22</f>
        <v>0</v>
      </c>
      <c r="AH22" s="1766">
        <f t="shared" ref="AH22" si="57">+AH21*$B$22</f>
        <v>0</v>
      </c>
      <c r="AI22" s="1766">
        <f t="shared" ref="AI22" si="58">+AI21*$B$22</f>
        <v>0</v>
      </c>
      <c r="AJ22" s="876"/>
    </row>
    <row r="23" spans="1:36" ht="12.75" customHeight="1">
      <c r="A23" s="1075" t="s">
        <v>171</v>
      </c>
      <c r="B23" s="1779"/>
      <c r="C23" s="1780"/>
      <c r="D23" s="1629"/>
      <c r="E23" s="1743"/>
      <c r="F23" s="1766">
        <f>+F15+F16-F17-F18-F19-F20+F21-F22</f>
        <v>0</v>
      </c>
      <c r="G23" s="1766">
        <f t="shared" ref="G23:AI23" si="59">+G15+G16-G17-G18-G19-G20+G21-G22</f>
        <v>0</v>
      </c>
      <c r="H23" s="1766">
        <f t="shared" si="59"/>
        <v>0</v>
      </c>
      <c r="I23" s="1766">
        <f t="shared" si="59"/>
        <v>0</v>
      </c>
      <c r="J23" s="1766">
        <f t="shared" si="59"/>
        <v>0</v>
      </c>
      <c r="K23" s="1766">
        <f t="shared" si="59"/>
        <v>0</v>
      </c>
      <c r="L23" s="1766">
        <f t="shared" si="59"/>
        <v>0</v>
      </c>
      <c r="M23" s="1766">
        <f t="shared" si="59"/>
        <v>0</v>
      </c>
      <c r="N23" s="1766">
        <f t="shared" si="59"/>
        <v>0</v>
      </c>
      <c r="O23" s="1766">
        <f t="shared" si="59"/>
        <v>0</v>
      </c>
      <c r="P23" s="1766">
        <f t="shared" si="59"/>
        <v>0</v>
      </c>
      <c r="Q23" s="1766">
        <f t="shared" si="59"/>
        <v>0</v>
      </c>
      <c r="R23" s="1766">
        <f t="shared" si="59"/>
        <v>0</v>
      </c>
      <c r="S23" s="1766">
        <f t="shared" si="59"/>
        <v>0</v>
      </c>
      <c r="T23" s="1766">
        <f t="shared" si="59"/>
        <v>0</v>
      </c>
      <c r="U23" s="1766">
        <f t="shared" si="59"/>
        <v>0</v>
      </c>
      <c r="V23" s="1766">
        <f t="shared" si="59"/>
        <v>0</v>
      </c>
      <c r="W23" s="1766">
        <f t="shared" si="59"/>
        <v>0</v>
      </c>
      <c r="X23" s="1766">
        <f t="shared" si="59"/>
        <v>0</v>
      </c>
      <c r="Y23" s="1766">
        <f t="shared" si="59"/>
        <v>0</v>
      </c>
      <c r="Z23" s="1766">
        <f t="shared" si="59"/>
        <v>0</v>
      </c>
      <c r="AA23" s="1766">
        <f t="shared" si="59"/>
        <v>0</v>
      </c>
      <c r="AB23" s="1766">
        <f t="shared" si="59"/>
        <v>0</v>
      </c>
      <c r="AC23" s="1766">
        <f t="shared" si="59"/>
        <v>0</v>
      </c>
      <c r="AD23" s="1766">
        <f t="shared" si="59"/>
        <v>0</v>
      </c>
      <c r="AE23" s="1766">
        <f t="shared" si="59"/>
        <v>0</v>
      </c>
      <c r="AF23" s="1766">
        <f t="shared" si="59"/>
        <v>0</v>
      </c>
      <c r="AG23" s="1766">
        <f t="shared" si="59"/>
        <v>0</v>
      </c>
      <c r="AH23" s="1766">
        <f t="shared" si="59"/>
        <v>0</v>
      </c>
      <c r="AI23" s="1766">
        <f t="shared" si="59"/>
        <v>0</v>
      </c>
      <c r="AJ23" s="876"/>
    </row>
    <row r="24" spans="1:36" ht="12.75" customHeight="1">
      <c r="A24" s="1044"/>
      <c r="B24" s="1779"/>
      <c r="C24" s="1780"/>
      <c r="D24" s="1629"/>
      <c r="E24" s="1743"/>
      <c r="F24" s="1766"/>
      <c r="G24" s="1766"/>
      <c r="H24" s="1766"/>
      <c r="I24" s="1766"/>
      <c r="J24" s="1766"/>
      <c r="K24" s="1766"/>
      <c r="L24" s="1766"/>
      <c r="M24" s="1766"/>
      <c r="N24" s="1766"/>
      <c r="O24" s="1766"/>
      <c r="P24" s="1766"/>
      <c r="Q24" s="1766"/>
      <c r="R24" s="1766"/>
      <c r="S24" s="1766"/>
      <c r="T24" s="1766"/>
      <c r="U24" s="1768"/>
      <c r="V24" s="1766"/>
      <c r="W24" s="1766"/>
      <c r="X24" s="1766"/>
      <c r="Y24" s="1766"/>
      <c r="Z24" s="1766"/>
      <c r="AA24" s="1766"/>
      <c r="AB24" s="1766"/>
      <c r="AC24" s="1766"/>
      <c r="AD24" s="1766"/>
      <c r="AE24" s="1766"/>
      <c r="AF24" s="1766"/>
      <c r="AG24" s="1766"/>
      <c r="AH24" s="1766"/>
      <c r="AI24" s="1766"/>
      <c r="AJ24" s="876"/>
    </row>
    <row r="25" spans="1:36" ht="12.75" customHeight="1">
      <c r="A25" s="1075" t="s">
        <v>175</v>
      </c>
      <c r="B25" s="1781"/>
      <c r="C25" s="1782"/>
      <c r="D25" s="1629"/>
      <c r="E25" s="1743"/>
      <c r="F25" s="1766"/>
      <c r="G25" s="1766"/>
      <c r="H25" s="1766"/>
      <c r="I25" s="1766"/>
      <c r="J25" s="1766"/>
      <c r="K25" s="1766"/>
      <c r="L25" s="1766"/>
      <c r="M25" s="1766"/>
      <c r="N25" s="1766"/>
      <c r="O25" s="1766"/>
      <c r="P25" s="1766"/>
      <c r="Q25" s="1766"/>
      <c r="R25" s="1766"/>
      <c r="S25" s="1766"/>
      <c r="T25" s="1766"/>
      <c r="U25" s="1768"/>
      <c r="V25" s="1766"/>
      <c r="W25" s="1766"/>
      <c r="X25" s="1766"/>
      <c r="Y25" s="1766"/>
      <c r="Z25" s="1766"/>
      <c r="AA25" s="1766"/>
      <c r="AB25" s="1766"/>
      <c r="AC25" s="1766"/>
      <c r="AD25" s="1766"/>
      <c r="AE25" s="1766"/>
      <c r="AF25" s="1766"/>
      <c r="AG25" s="1766"/>
      <c r="AH25" s="1766"/>
      <c r="AI25" s="1766"/>
      <c r="AJ25" s="876"/>
    </row>
    <row r="26" spans="1:36" ht="12.75" customHeight="1">
      <c r="A26" s="1044" t="s">
        <v>204</v>
      </c>
      <c r="B26" s="1781"/>
      <c r="C26" s="1782"/>
      <c r="D26" s="1629"/>
      <c r="E26" s="1743">
        <f>+'Stabilized Ops &amp; Debt'!D15</f>
        <v>3.5000000000000003E-2</v>
      </c>
      <c r="F26" s="1766">
        <f>+'Stabilized Ops &amp; Debt'!E22*F4</f>
        <v>0</v>
      </c>
      <c r="G26" s="1766">
        <f>+'Stabilized Ops &amp; Debt'!$E$22*(1+$E$26)*G4</f>
        <v>0</v>
      </c>
      <c r="H26" s="1766">
        <f>+'Stabilized Ops &amp; Debt'!$E$22*(1+$E$26)^2*H4</f>
        <v>0</v>
      </c>
      <c r="I26" s="1766">
        <f t="shared" ref="I26:I33" si="60">+H26*(1+$E26)</f>
        <v>0</v>
      </c>
      <c r="J26" s="1766">
        <f t="shared" ref="J26:AI26" si="61">+I26*(1+$E26)</f>
        <v>0</v>
      </c>
      <c r="K26" s="1766">
        <f t="shared" si="61"/>
        <v>0</v>
      </c>
      <c r="L26" s="1766">
        <f t="shared" si="61"/>
        <v>0</v>
      </c>
      <c r="M26" s="1766">
        <f t="shared" si="61"/>
        <v>0</v>
      </c>
      <c r="N26" s="1766">
        <f t="shared" si="61"/>
        <v>0</v>
      </c>
      <c r="O26" s="1766">
        <f t="shared" si="61"/>
        <v>0</v>
      </c>
      <c r="P26" s="1766">
        <f t="shared" si="61"/>
        <v>0</v>
      </c>
      <c r="Q26" s="1766">
        <f t="shared" si="61"/>
        <v>0</v>
      </c>
      <c r="R26" s="1766">
        <f t="shared" si="61"/>
        <v>0</v>
      </c>
      <c r="S26" s="1766">
        <f t="shared" si="61"/>
        <v>0</v>
      </c>
      <c r="T26" s="1766">
        <f t="shared" si="61"/>
        <v>0</v>
      </c>
      <c r="U26" s="1768">
        <f t="shared" si="61"/>
        <v>0</v>
      </c>
      <c r="V26" s="1766">
        <f t="shared" si="61"/>
        <v>0</v>
      </c>
      <c r="W26" s="1766">
        <f t="shared" si="61"/>
        <v>0</v>
      </c>
      <c r="X26" s="1766">
        <f t="shared" si="61"/>
        <v>0</v>
      </c>
      <c r="Y26" s="1766">
        <f t="shared" si="61"/>
        <v>0</v>
      </c>
      <c r="Z26" s="1766">
        <f t="shared" si="61"/>
        <v>0</v>
      </c>
      <c r="AA26" s="1766">
        <f t="shared" si="61"/>
        <v>0</v>
      </c>
      <c r="AB26" s="1766">
        <f t="shared" si="61"/>
        <v>0</v>
      </c>
      <c r="AC26" s="1766">
        <f t="shared" si="61"/>
        <v>0</v>
      </c>
      <c r="AD26" s="1766">
        <f t="shared" si="61"/>
        <v>0</v>
      </c>
      <c r="AE26" s="1766">
        <f t="shared" si="61"/>
        <v>0</v>
      </c>
      <c r="AF26" s="1766">
        <f t="shared" si="61"/>
        <v>0</v>
      </c>
      <c r="AG26" s="1766">
        <f t="shared" si="61"/>
        <v>0</v>
      </c>
      <c r="AH26" s="1766">
        <f t="shared" si="61"/>
        <v>0</v>
      </c>
      <c r="AI26" s="1766">
        <f t="shared" si="61"/>
        <v>0</v>
      </c>
      <c r="AJ26" s="876"/>
    </row>
    <row r="27" spans="1:36" ht="12.75" customHeight="1">
      <c r="A27" s="1044" t="s">
        <v>173</v>
      </c>
      <c r="B27" s="1781"/>
      <c r="C27" s="1782"/>
      <c r="D27" s="1629"/>
      <c r="E27" s="1743">
        <f>+'Stabilized Ops &amp; Debt'!D23</f>
        <v>3.5000000000000003E-2</v>
      </c>
      <c r="F27" s="1766">
        <f>+'Stabilized Ops &amp; Debt'!E24*F4</f>
        <v>0</v>
      </c>
      <c r="G27" s="1766">
        <f>+'Stabilized Ops &amp; Debt'!$E$24*(1+$E$27)*G4</f>
        <v>0</v>
      </c>
      <c r="H27" s="1766">
        <f>+'Stabilized Ops &amp; Debt'!$E$24*(1+$E$27)^2*H4</f>
        <v>0</v>
      </c>
      <c r="I27" s="1766">
        <f t="shared" si="60"/>
        <v>0</v>
      </c>
      <c r="J27" s="1766">
        <f t="shared" ref="J27:AI27" si="62">+I27*(1+$E27)</f>
        <v>0</v>
      </c>
      <c r="K27" s="1766">
        <f t="shared" si="62"/>
        <v>0</v>
      </c>
      <c r="L27" s="1766">
        <f t="shared" si="62"/>
        <v>0</v>
      </c>
      <c r="M27" s="1766">
        <f t="shared" si="62"/>
        <v>0</v>
      </c>
      <c r="N27" s="1766">
        <f t="shared" si="62"/>
        <v>0</v>
      </c>
      <c r="O27" s="1766">
        <f t="shared" si="62"/>
        <v>0</v>
      </c>
      <c r="P27" s="1766">
        <f t="shared" si="62"/>
        <v>0</v>
      </c>
      <c r="Q27" s="1766">
        <f t="shared" si="62"/>
        <v>0</v>
      </c>
      <c r="R27" s="1766">
        <f t="shared" si="62"/>
        <v>0</v>
      </c>
      <c r="S27" s="1766">
        <f t="shared" si="62"/>
        <v>0</v>
      </c>
      <c r="T27" s="1766">
        <f t="shared" si="62"/>
        <v>0</v>
      </c>
      <c r="U27" s="1768">
        <f t="shared" si="62"/>
        <v>0</v>
      </c>
      <c r="V27" s="1766">
        <f t="shared" si="62"/>
        <v>0</v>
      </c>
      <c r="W27" s="1766">
        <f t="shared" si="62"/>
        <v>0</v>
      </c>
      <c r="X27" s="1766">
        <f t="shared" si="62"/>
        <v>0</v>
      </c>
      <c r="Y27" s="1766">
        <f t="shared" si="62"/>
        <v>0</v>
      </c>
      <c r="Z27" s="1766">
        <f t="shared" si="62"/>
        <v>0</v>
      </c>
      <c r="AA27" s="1766">
        <f t="shared" si="62"/>
        <v>0</v>
      </c>
      <c r="AB27" s="1766">
        <f t="shared" si="62"/>
        <v>0</v>
      </c>
      <c r="AC27" s="1766">
        <f t="shared" si="62"/>
        <v>0</v>
      </c>
      <c r="AD27" s="1766">
        <f t="shared" si="62"/>
        <v>0</v>
      </c>
      <c r="AE27" s="1766">
        <f t="shared" si="62"/>
        <v>0</v>
      </c>
      <c r="AF27" s="1766">
        <f t="shared" si="62"/>
        <v>0</v>
      </c>
      <c r="AG27" s="1766">
        <f t="shared" si="62"/>
        <v>0</v>
      </c>
      <c r="AH27" s="1766">
        <f t="shared" si="62"/>
        <v>0</v>
      </c>
      <c r="AI27" s="1766">
        <f t="shared" si="62"/>
        <v>0</v>
      </c>
      <c r="AJ27" s="876"/>
    </row>
    <row r="28" spans="1:36" ht="12.75" customHeight="1">
      <c r="A28" s="1044" t="s">
        <v>216</v>
      </c>
      <c r="B28" s="1781"/>
      <c r="C28" s="1782"/>
      <c r="D28" s="1629"/>
      <c r="E28" s="1743">
        <f>+'Stabilized Ops &amp; Debt'!D25</f>
        <v>3.5000000000000003E-2</v>
      </c>
      <c r="F28" s="1766">
        <f>+'Stabilized Ops &amp; Debt'!E30*F4</f>
        <v>0</v>
      </c>
      <c r="G28" s="1766">
        <f>+'Stabilized Ops &amp; Debt'!$E$30*(1+$E$28)*G4</f>
        <v>0</v>
      </c>
      <c r="H28" s="1766">
        <f>+'Stabilized Ops &amp; Debt'!$E$30*(1+$E$28)^2*H4</f>
        <v>0</v>
      </c>
      <c r="I28" s="1766">
        <f t="shared" si="60"/>
        <v>0</v>
      </c>
      <c r="J28" s="1766">
        <f t="shared" ref="J28:AI28" si="63">+I28*(1+$E28)</f>
        <v>0</v>
      </c>
      <c r="K28" s="1766">
        <f t="shared" si="63"/>
        <v>0</v>
      </c>
      <c r="L28" s="1766">
        <f t="shared" si="63"/>
        <v>0</v>
      </c>
      <c r="M28" s="1766">
        <f t="shared" si="63"/>
        <v>0</v>
      </c>
      <c r="N28" s="1766">
        <f t="shared" si="63"/>
        <v>0</v>
      </c>
      <c r="O28" s="1766">
        <f t="shared" si="63"/>
        <v>0</v>
      </c>
      <c r="P28" s="1766">
        <f t="shared" si="63"/>
        <v>0</v>
      </c>
      <c r="Q28" s="1766">
        <f t="shared" si="63"/>
        <v>0</v>
      </c>
      <c r="R28" s="1766">
        <f t="shared" si="63"/>
        <v>0</v>
      </c>
      <c r="S28" s="1766">
        <f t="shared" si="63"/>
        <v>0</v>
      </c>
      <c r="T28" s="1766">
        <f t="shared" si="63"/>
        <v>0</v>
      </c>
      <c r="U28" s="1768">
        <f t="shared" si="63"/>
        <v>0</v>
      </c>
      <c r="V28" s="1766">
        <f t="shared" si="63"/>
        <v>0</v>
      </c>
      <c r="W28" s="1766">
        <f t="shared" si="63"/>
        <v>0</v>
      </c>
      <c r="X28" s="1766">
        <f t="shared" si="63"/>
        <v>0</v>
      </c>
      <c r="Y28" s="1766">
        <f t="shared" si="63"/>
        <v>0</v>
      </c>
      <c r="Z28" s="1766">
        <f t="shared" si="63"/>
        <v>0</v>
      </c>
      <c r="AA28" s="1766">
        <f t="shared" si="63"/>
        <v>0</v>
      </c>
      <c r="AB28" s="1766">
        <f t="shared" si="63"/>
        <v>0</v>
      </c>
      <c r="AC28" s="1766">
        <f t="shared" si="63"/>
        <v>0</v>
      </c>
      <c r="AD28" s="1766">
        <f t="shared" si="63"/>
        <v>0</v>
      </c>
      <c r="AE28" s="1766">
        <f t="shared" si="63"/>
        <v>0</v>
      </c>
      <c r="AF28" s="1766">
        <f t="shared" si="63"/>
        <v>0</v>
      </c>
      <c r="AG28" s="1766">
        <f t="shared" si="63"/>
        <v>0</v>
      </c>
      <c r="AH28" s="1766">
        <f t="shared" si="63"/>
        <v>0</v>
      </c>
      <c r="AI28" s="1766">
        <f t="shared" si="63"/>
        <v>0</v>
      </c>
      <c r="AJ28" s="876"/>
    </row>
    <row r="29" spans="1:36" ht="12.75" customHeight="1">
      <c r="A29" s="1044" t="s">
        <v>174</v>
      </c>
      <c r="B29" s="1781"/>
      <c r="C29" s="1782"/>
      <c r="D29" s="1629"/>
      <c r="E29" s="1743">
        <f>+'Stabilized Ops &amp; Debt'!D31</f>
        <v>3.5000000000000003E-2</v>
      </c>
      <c r="F29" s="1766">
        <f>+'Stabilized Ops &amp; Debt'!E36*F4</f>
        <v>0</v>
      </c>
      <c r="G29" s="1766">
        <f>+'Stabilized Ops &amp; Debt'!$E$36*(1+$E$29)*G4</f>
        <v>0</v>
      </c>
      <c r="H29" s="1766">
        <f>+'Stabilized Ops &amp; Debt'!$E$36*(1+$E$29)^2*H4</f>
        <v>0</v>
      </c>
      <c r="I29" s="1766">
        <f t="shared" si="60"/>
        <v>0</v>
      </c>
      <c r="J29" s="1766">
        <f t="shared" ref="J29:AI29" si="64">+I29*(1+$E29)</f>
        <v>0</v>
      </c>
      <c r="K29" s="1766">
        <f t="shared" si="64"/>
        <v>0</v>
      </c>
      <c r="L29" s="1766">
        <f t="shared" si="64"/>
        <v>0</v>
      </c>
      <c r="M29" s="1766">
        <f t="shared" si="64"/>
        <v>0</v>
      </c>
      <c r="N29" s="1766">
        <f t="shared" si="64"/>
        <v>0</v>
      </c>
      <c r="O29" s="1766">
        <f t="shared" si="64"/>
        <v>0</v>
      </c>
      <c r="P29" s="1766">
        <f t="shared" si="64"/>
        <v>0</v>
      </c>
      <c r="Q29" s="1766">
        <f t="shared" si="64"/>
        <v>0</v>
      </c>
      <c r="R29" s="1766">
        <f t="shared" si="64"/>
        <v>0</v>
      </c>
      <c r="S29" s="1766">
        <f t="shared" si="64"/>
        <v>0</v>
      </c>
      <c r="T29" s="1766">
        <f t="shared" si="64"/>
        <v>0</v>
      </c>
      <c r="U29" s="1768">
        <f t="shared" si="64"/>
        <v>0</v>
      </c>
      <c r="V29" s="1766">
        <f t="shared" si="64"/>
        <v>0</v>
      </c>
      <c r="W29" s="1766">
        <f t="shared" si="64"/>
        <v>0</v>
      </c>
      <c r="X29" s="1766">
        <f t="shared" si="64"/>
        <v>0</v>
      </c>
      <c r="Y29" s="1766">
        <f t="shared" si="64"/>
        <v>0</v>
      </c>
      <c r="Z29" s="1766">
        <f t="shared" si="64"/>
        <v>0</v>
      </c>
      <c r="AA29" s="1766">
        <f t="shared" si="64"/>
        <v>0</v>
      </c>
      <c r="AB29" s="1766">
        <f t="shared" si="64"/>
        <v>0</v>
      </c>
      <c r="AC29" s="1766">
        <f t="shared" si="64"/>
        <v>0</v>
      </c>
      <c r="AD29" s="1766">
        <f t="shared" si="64"/>
        <v>0</v>
      </c>
      <c r="AE29" s="1766">
        <f t="shared" si="64"/>
        <v>0</v>
      </c>
      <c r="AF29" s="1766">
        <f t="shared" si="64"/>
        <v>0</v>
      </c>
      <c r="AG29" s="1766">
        <f t="shared" si="64"/>
        <v>0</v>
      </c>
      <c r="AH29" s="1766">
        <f t="shared" si="64"/>
        <v>0</v>
      </c>
      <c r="AI29" s="1766">
        <f t="shared" si="64"/>
        <v>0</v>
      </c>
      <c r="AJ29" s="876"/>
    </row>
    <row r="30" spans="1:36" ht="12.75" customHeight="1">
      <c r="A30" s="1044" t="s">
        <v>209</v>
      </c>
      <c r="B30" s="1781"/>
      <c r="C30" s="1782"/>
      <c r="D30" s="1629"/>
      <c r="E30" s="1743">
        <f>+'Stabilized Ops &amp; Debt'!D37</f>
        <v>3.5000000000000003E-2</v>
      </c>
      <c r="F30" s="1766">
        <f>+'Stabilized Ops &amp; Debt'!E46*F4</f>
        <v>0</v>
      </c>
      <c r="G30" s="1766">
        <f>+'Stabilized Ops &amp; Debt'!$E$46*(1+$E$30)*G4</f>
        <v>0</v>
      </c>
      <c r="H30" s="1766">
        <f>+'Stabilized Ops &amp; Debt'!$E$46*(1+$E$30)^2*H4</f>
        <v>0</v>
      </c>
      <c r="I30" s="1766">
        <f t="shared" si="60"/>
        <v>0</v>
      </c>
      <c r="J30" s="1766">
        <f t="shared" ref="J30:AI30" si="65">+I30*(1+$E30)</f>
        <v>0</v>
      </c>
      <c r="K30" s="1766">
        <f t="shared" si="65"/>
        <v>0</v>
      </c>
      <c r="L30" s="1766">
        <f t="shared" si="65"/>
        <v>0</v>
      </c>
      <c r="M30" s="1766">
        <f t="shared" si="65"/>
        <v>0</v>
      </c>
      <c r="N30" s="1766">
        <f t="shared" si="65"/>
        <v>0</v>
      </c>
      <c r="O30" s="1766">
        <f t="shared" si="65"/>
        <v>0</v>
      </c>
      <c r="P30" s="1766">
        <f t="shared" si="65"/>
        <v>0</v>
      </c>
      <c r="Q30" s="1766">
        <f t="shared" si="65"/>
        <v>0</v>
      </c>
      <c r="R30" s="1766">
        <f t="shared" si="65"/>
        <v>0</v>
      </c>
      <c r="S30" s="1766">
        <f t="shared" si="65"/>
        <v>0</v>
      </c>
      <c r="T30" s="1766">
        <f t="shared" si="65"/>
        <v>0</v>
      </c>
      <c r="U30" s="1768">
        <f t="shared" si="65"/>
        <v>0</v>
      </c>
      <c r="V30" s="1766">
        <f t="shared" si="65"/>
        <v>0</v>
      </c>
      <c r="W30" s="1766">
        <f t="shared" si="65"/>
        <v>0</v>
      </c>
      <c r="X30" s="1766">
        <f t="shared" si="65"/>
        <v>0</v>
      </c>
      <c r="Y30" s="1766">
        <f t="shared" si="65"/>
        <v>0</v>
      </c>
      <c r="Z30" s="1766">
        <f t="shared" si="65"/>
        <v>0</v>
      </c>
      <c r="AA30" s="1766">
        <f t="shared" si="65"/>
        <v>0</v>
      </c>
      <c r="AB30" s="1766">
        <f t="shared" si="65"/>
        <v>0</v>
      </c>
      <c r="AC30" s="1766">
        <f t="shared" si="65"/>
        <v>0</v>
      </c>
      <c r="AD30" s="1766">
        <f t="shared" si="65"/>
        <v>0</v>
      </c>
      <c r="AE30" s="1766">
        <f t="shared" si="65"/>
        <v>0</v>
      </c>
      <c r="AF30" s="1766">
        <f t="shared" si="65"/>
        <v>0</v>
      </c>
      <c r="AG30" s="1766">
        <f t="shared" si="65"/>
        <v>0</v>
      </c>
      <c r="AH30" s="1766">
        <f t="shared" si="65"/>
        <v>0</v>
      </c>
      <c r="AI30" s="1766">
        <f t="shared" si="65"/>
        <v>0</v>
      </c>
      <c r="AJ30" s="876"/>
    </row>
    <row r="31" spans="1:36" ht="12.75" customHeight="1">
      <c r="A31" s="1044" t="s">
        <v>313</v>
      </c>
      <c r="B31" s="1781"/>
      <c r="C31" s="1782"/>
      <c r="D31" s="1629"/>
      <c r="E31" s="1743">
        <f>+'Stabilized Ops &amp; Debt'!D47</f>
        <v>3.5000000000000003E-2</v>
      </c>
      <c r="F31" s="1766">
        <f>+'Stabilized Ops &amp; Debt'!E51*F4</f>
        <v>0</v>
      </c>
      <c r="G31" s="1766">
        <f>+'Stabilized Ops &amp; Debt'!$E$51*(1+$E$31)*G4</f>
        <v>0</v>
      </c>
      <c r="H31" s="1766">
        <f>+'Stabilized Ops &amp; Debt'!$E$51*(1+$E$31)^2*H4</f>
        <v>0</v>
      </c>
      <c r="I31" s="1766">
        <f t="shared" si="60"/>
        <v>0</v>
      </c>
      <c r="J31" s="1766">
        <f t="shared" ref="J31:AI31" si="66">+I31*(1+$E31)</f>
        <v>0</v>
      </c>
      <c r="K31" s="1766">
        <f t="shared" si="66"/>
        <v>0</v>
      </c>
      <c r="L31" s="1766">
        <f t="shared" si="66"/>
        <v>0</v>
      </c>
      <c r="M31" s="1766">
        <f t="shared" si="66"/>
        <v>0</v>
      </c>
      <c r="N31" s="1766">
        <f t="shared" si="66"/>
        <v>0</v>
      </c>
      <c r="O31" s="1766">
        <f t="shared" si="66"/>
        <v>0</v>
      </c>
      <c r="P31" s="1766">
        <f t="shared" si="66"/>
        <v>0</v>
      </c>
      <c r="Q31" s="1766">
        <f t="shared" si="66"/>
        <v>0</v>
      </c>
      <c r="R31" s="1766">
        <f t="shared" si="66"/>
        <v>0</v>
      </c>
      <c r="S31" s="1766">
        <f t="shared" si="66"/>
        <v>0</v>
      </c>
      <c r="T31" s="1766">
        <f t="shared" si="66"/>
        <v>0</v>
      </c>
      <c r="U31" s="1768">
        <f t="shared" si="66"/>
        <v>0</v>
      </c>
      <c r="V31" s="1766">
        <f t="shared" si="66"/>
        <v>0</v>
      </c>
      <c r="W31" s="1766">
        <f t="shared" si="66"/>
        <v>0</v>
      </c>
      <c r="X31" s="1766">
        <f t="shared" si="66"/>
        <v>0</v>
      </c>
      <c r="Y31" s="1766">
        <f t="shared" si="66"/>
        <v>0</v>
      </c>
      <c r="Z31" s="1766">
        <f t="shared" si="66"/>
        <v>0</v>
      </c>
      <c r="AA31" s="1766">
        <f t="shared" si="66"/>
        <v>0</v>
      </c>
      <c r="AB31" s="1766">
        <f t="shared" si="66"/>
        <v>0</v>
      </c>
      <c r="AC31" s="1766">
        <f t="shared" si="66"/>
        <v>0</v>
      </c>
      <c r="AD31" s="1766">
        <f t="shared" si="66"/>
        <v>0</v>
      </c>
      <c r="AE31" s="1766">
        <f t="shared" si="66"/>
        <v>0</v>
      </c>
      <c r="AF31" s="1766">
        <f t="shared" si="66"/>
        <v>0</v>
      </c>
      <c r="AG31" s="1766">
        <f t="shared" si="66"/>
        <v>0</v>
      </c>
      <c r="AH31" s="1766">
        <f t="shared" si="66"/>
        <v>0</v>
      </c>
      <c r="AI31" s="1766">
        <f t="shared" si="66"/>
        <v>0</v>
      </c>
      <c r="AJ31" s="876"/>
    </row>
    <row r="32" spans="1:36" ht="12.75" customHeight="1">
      <c r="A32" s="1044" t="s">
        <v>446</v>
      </c>
      <c r="B32" s="1781"/>
      <c r="C32" s="1782"/>
      <c r="D32" s="1629"/>
      <c r="E32" s="1743">
        <f>'Stabilized Ops &amp; Debt'!D6</f>
        <v>2.5000000000000001E-2</v>
      </c>
      <c r="F32" s="1766">
        <f>'Stabilized Ops &amp; Debt'!E52</f>
        <v>0</v>
      </c>
      <c r="G32" s="1766">
        <f>F32*(1+$E32)</f>
        <v>0</v>
      </c>
      <c r="H32" s="1766">
        <f t="shared" ref="H32:AI32" si="67">G32*(1+$E32)</f>
        <v>0</v>
      </c>
      <c r="I32" s="1766">
        <f t="shared" si="67"/>
        <v>0</v>
      </c>
      <c r="J32" s="1766">
        <f t="shared" si="67"/>
        <v>0</v>
      </c>
      <c r="K32" s="1766">
        <f t="shared" si="67"/>
        <v>0</v>
      </c>
      <c r="L32" s="1766">
        <f t="shared" si="67"/>
        <v>0</v>
      </c>
      <c r="M32" s="1766">
        <f t="shared" si="67"/>
        <v>0</v>
      </c>
      <c r="N32" s="1766">
        <f t="shared" si="67"/>
        <v>0</v>
      </c>
      <c r="O32" s="1766">
        <f t="shared" si="67"/>
        <v>0</v>
      </c>
      <c r="P32" s="1766">
        <f t="shared" si="67"/>
        <v>0</v>
      </c>
      <c r="Q32" s="1766">
        <f t="shared" si="67"/>
        <v>0</v>
      </c>
      <c r="R32" s="1766">
        <f t="shared" si="67"/>
        <v>0</v>
      </c>
      <c r="S32" s="1766">
        <f t="shared" si="67"/>
        <v>0</v>
      </c>
      <c r="T32" s="1766">
        <f t="shared" si="67"/>
        <v>0</v>
      </c>
      <c r="U32" s="1766">
        <f t="shared" si="67"/>
        <v>0</v>
      </c>
      <c r="V32" s="1766">
        <f t="shared" si="67"/>
        <v>0</v>
      </c>
      <c r="W32" s="1766">
        <f t="shared" si="67"/>
        <v>0</v>
      </c>
      <c r="X32" s="1766">
        <f t="shared" si="67"/>
        <v>0</v>
      </c>
      <c r="Y32" s="1766">
        <f t="shared" si="67"/>
        <v>0</v>
      </c>
      <c r="Z32" s="1766">
        <f t="shared" si="67"/>
        <v>0</v>
      </c>
      <c r="AA32" s="1766">
        <f t="shared" si="67"/>
        <v>0</v>
      </c>
      <c r="AB32" s="1766">
        <f t="shared" si="67"/>
        <v>0</v>
      </c>
      <c r="AC32" s="1766">
        <f t="shared" si="67"/>
        <v>0</v>
      </c>
      <c r="AD32" s="1766">
        <f t="shared" si="67"/>
        <v>0</v>
      </c>
      <c r="AE32" s="1766">
        <f t="shared" si="67"/>
        <v>0</v>
      </c>
      <c r="AF32" s="1766">
        <f t="shared" si="67"/>
        <v>0</v>
      </c>
      <c r="AG32" s="1766">
        <f t="shared" si="67"/>
        <v>0</v>
      </c>
      <c r="AH32" s="1766">
        <f t="shared" si="67"/>
        <v>0</v>
      </c>
      <c r="AI32" s="1766">
        <f t="shared" si="67"/>
        <v>0</v>
      </c>
      <c r="AJ32" s="876"/>
    </row>
    <row r="33" spans="1:36" ht="12.75" customHeight="1">
      <c r="A33" s="1044" t="s">
        <v>176</v>
      </c>
      <c r="B33" s="1781"/>
      <c r="C33" s="1782"/>
      <c r="D33" s="1629"/>
      <c r="E33" s="1743">
        <f>+'Stabilized Ops &amp; Debt'!D53</f>
        <v>3.5000000000000003E-2</v>
      </c>
      <c r="F33" s="1766">
        <f>+'Stabilized Ops &amp; Debt'!E56*F4</f>
        <v>0</v>
      </c>
      <c r="G33" s="1766">
        <f>+'Stabilized Ops &amp; Debt'!$E$56*(1+$E$33)*G4</f>
        <v>0</v>
      </c>
      <c r="H33" s="1766">
        <f>+'Stabilized Ops &amp; Debt'!$E$56*(1+$E$33)^2*H4</f>
        <v>0</v>
      </c>
      <c r="I33" s="1766">
        <f t="shared" si="60"/>
        <v>0</v>
      </c>
      <c r="J33" s="1766">
        <f t="shared" ref="J33:AI33" si="68">+I33*(1+$E33)</f>
        <v>0</v>
      </c>
      <c r="K33" s="1766">
        <f t="shared" si="68"/>
        <v>0</v>
      </c>
      <c r="L33" s="1766">
        <f t="shared" si="68"/>
        <v>0</v>
      </c>
      <c r="M33" s="1766">
        <f t="shared" si="68"/>
        <v>0</v>
      </c>
      <c r="N33" s="1766">
        <f t="shared" si="68"/>
        <v>0</v>
      </c>
      <c r="O33" s="1766">
        <f t="shared" si="68"/>
        <v>0</v>
      </c>
      <c r="P33" s="1766">
        <f t="shared" si="68"/>
        <v>0</v>
      </c>
      <c r="Q33" s="1766">
        <f t="shared" si="68"/>
        <v>0</v>
      </c>
      <c r="R33" s="1766">
        <f t="shared" si="68"/>
        <v>0</v>
      </c>
      <c r="S33" s="1766">
        <f t="shared" si="68"/>
        <v>0</v>
      </c>
      <c r="T33" s="1766">
        <f t="shared" si="68"/>
        <v>0</v>
      </c>
      <c r="U33" s="1768">
        <f t="shared" si="68"/>
        <v>0</v>
      </c>
      <c r="V33" s="1766">
        <f t="shared" si="68"/>
        <v>0</v>
      </c>
      <c r="W33" s="1766">
        <f t="shared" si="68"/>
        <v>0</v>
      </c>
      <c r="X33" s="1766">
        <f t="shared" si="68"/>
        <v>0</v>
      </c>
      <c r="Y33" s="1766">
        <f t="shared" si="68"/>
        <v>0</v>
      </c>
      <c r="Z33" s="1766">
        <f t="shared" si="68"/>
        <v>0</v>
      </c>
      <c r="AA33" s="1766">
        <f t="shared" si="68"/>
        <v>0</v>
      </c>
      <c r="AB33" s="1766">
        <f t="shared" si="68"/>
        <v>0</v>
      </c>
      <c r="AC33" s="1766">
        <f t="shared" si="68"/>
        <v>0</v>
      </c>
      <c r="AD33" s="1766">
        <f t="shared" si="68"/>
        <v>0</v>
      </c>
      <c r="AE33" s="1766">
        <f t="shared" si="68"/>
        <v>0</v>
      </c>
      <c r="AF33" s="1766">
        <f t="shared" si="68"/>
        <v>0</v>
      </c>
      <c r="AG33" s="1766">
        <f t="shared" si="68"/>
        <v>0</v>
      </c>
      <c r="AH33" s="1766">
        <f t="shared" si="68"/>
        <v>0</v>
      </c>
      <c r="AI33" s="1766">
        <f t="shared" si="68"/>
        <v>0</v>
      </c>
      <c r="AJ33" s="876"/>
    </row>
    <row r="34" spans="1:36" ht="12.75" customHeight="1">
      <c r="A34" s="1075" t="s">
        <v>177</v>
      </c>
      <c r="B34" s="1781"/>
      <c r="C34" s="1782"/>
      <c r="D34" s="1629"/>
      <c r="E34" s="1743"/>
      <c r="F34" s="1766">
        <f>SUM(F26:F33)</f>
        <v>0</v>
      </c>
      <c r="G34" s="1766">
        <f t="shared" ref="G34:AI34" si="69">SUM(G26:G33)</f>
        <v>0</v>
      </c>
      <c r="H34" s="1766">
        <f>SUM(H26:H33)</f>
        <v>0</v>
      </c>
      <c r="I34" s="1766">
        <f t="shared" si="69"/>
        <v>0</v>
      </c>
      <c r="J34" s="1766">
        <f t="shared" si="69"/>
        <v>0</v>
      </c>
      <c r="K34" s="1766">
        <f t="shared" si="69"/>
        <v>0</v>
      </c>
      <c r="L34" s="1766">
        <f t="shared" si="69"/>
        <v>0</v>
      </c>
      <c r="M34" s="1766">
        <f t="shared" si="69"/>
        <v>0</v>
      </c>
      <c r="N34" s="1766">
        <f t="shared" si="69"/>
        <v>0</v>
      </c>
      <c r="O34" s="1766">
        <f t="shared" si="69"/>
        <v>0</v>
      </c>
      <c r="P34" s="1766">
        <f t="shared" si="69"/>
        <v>0</v>
      </c>
      <c r="Q34" s="1766">
        <f t="shared" si="69"/>
        <v>0</v>
      </c>
      <c r="R34" s="1766">
        <f t="shared" si="69"/>
        <v>0</v>
      </c>
      <c r="S34" s="1766">
        <f t="shared" si="69"/>
        <v>0</v>
      </c>
      <c r="T34" s="1766">
        <f t="shared" si="69"/>
        <v>0</v>
      </c>
      <c r="U34" s="1768">
        <f t="shared" si="69"/>
        <v>0</v>
      </c>
      <c r="V34" s="1766">
        <f t="shared" si="69"/>
        <v>0</v>
      </c>
      <c r="W34" s="1766">
        <f t="shared" si="69"/>
        <v>0</v>
      </c>
      <c r="X34" s="1766">
        <f t="shared" si="69"/>
        <v>0</v>
      </c>
      <c r="Y34" s="1766">
        <f t="shared" si="69"/>
        <v>0</v>
      </c>
      <c r="Z34" s="1766">
        <f t="shared" si="69"/>
        <v>0</v>
      </c>
      <c r="AA34" s="1766">
        <f t="shared" si="69"/>
        <v>0</v>
      </c>
      <c r="AB34" s="1766">
        <f t="shared" si="69"/>
        <v>0</v>
      </c>
      <c r="AC34" s="1766">
        <f t="shared" si="69"/>
        <v>0</v>
      </c>
      <c r="AD34" s="1766">
        <f t="shared" si="69"/>
        <v>0</v>
      </c>
      <c r="AE34" s="1766">
        <f t="shared" si="69"/>
        <v>0</v>
      </c>
      <c r="AF34" s="1766">
        <f t="shared" si="69"/>
        <v>0</v>
      </c>
      <c r="AG34" s="1766">
        <f t="shared" si="69"/>
        <v>0</v>
      </c>
      <c r="AH34" s="1766">
        <f t="shared" si="69"/>
        <v>0</v>
      </c>
      <c r="AI34" s="1766">
        <f t="shared" si="69"/>
        <v>0</v>
      </c>
      <c r="AJ34" s="876"/>
    </row>
    <row r="35" spans="1:36" ht="12.75" customHeight="1">
      <c r="A35" s="1223"/>
      <c r="B35" s="1781"/>
      <c r="C35" s="1782"/>
      <c r="D35" s="1629"/>
      <c r="E35" s="1743"/>
      <c r="F35" s="1766"/>
      <c r="G35" s="1764"/>
      <c r="H35" s="1764"/>
      <c r="I35" s="1764"/>
      <c r="J35" s="1764"/>
      <c r="K35" s="1764"/>
      <c r="L35" s="1764"/>
      <c r="M35" s="1764"/>
      <c r="N35" s="1764"/>
      <c r="O35" s="1764"/>
      <c r="P35" s="1764"/>
      <c r="Q35" s="1764"/>
      <c r="R35" s="1764"/>
      <c r="S35" s="1764"/>
      <c r="T35" s="1764"/>
      <c r="U35" s="1783"/>
      <c r="V35" s="1764"/>
      <c r="W35" s="1764"/>
      <c r="X35" s="1764"/>
      <c r="Y35" s="1764"/>
      <c r="Z35" s="1764"/>
      <c r="AA35" s="1764"/>
      <c r="AB35" s="1764"/>
      <c r="AC35" s="1764"/>
      <c r="AD35" s="1764"/>
      <c r="AE35" s="1764"/>
      <c r="AF35" s="1764"/>
      <c r="AG35" s="1764"/>
      <c r="AH35" s="1764"/>
      <c r="AI35" s="1764"/>
      <c r="AJ35" s="876"/>
    </row>
    <row r="36" spans="1:36" ht="12.75" customHeight="1">
      <c r="A36" s="1741" t="s">
        <v>364</v>
      </c>
      <c r="B36" s="1784"/>
      <c r="C36" s="1785"/>
      <c r="D36" s="1615"/>
      <c r="E36" s="1743"/>
      <c r="F36" s="1786">
        <f>+F23-F34</f>
        <v>0</v>
      </c>
      <c r="G36" s="1786">
        <f t="shared" ref="G36:AI36" si="70">+G23-G34</f>
        <v>0</v>
      </c>
      <c r="H36" s="1786">
        <f t="shared" si="70"/>
        <v>0</v>
      </c>
      <c r="I36" s="1786">
        <f t="shared" si="70"/>
        <v>0</v>
      </c>
      <c r="J36" s="1786">
        <f t="shared" si="70"/>
        <v>0</v>
      </c>
      <c r="K36" s="1786">
        <f t="shared" si="70"/>
        <v>0</v>
      </c>
      <c r="L36" s="1786">
        <f t="shared" si="70"/>
        <v>0</v>
      </c>
      <c r="M36" s="1786">
        <f t="shared" si="70"/>
        <v>0</v>
      </c>
      <c r="N36" s="1786">
        <f t="shared" si="70"/>
        <v>0</v>
      </c>
      <c r="O36" s="1786">
        <f t="shared" si="70"/>
        <v>0</v>
      </c>
      <c r="P36" s="1786">
        <f t="shared" si="70"/>
        <v>0</v>
      </c>
      <c r="Q36" s="1786">
        <f t="shared" si="70"/>
        <v>0</v>
      </c>
      <c r="R36" s="1786">
        <f t="shared" si="70"/>
        <v>0</v>
      </c>
      <c r="S36" s="1786">
        <f t="shared" si="70"/>
        <v>0</v>
      </c>
      <c r="T36" s="1786">
        <f t="shared" si="70"/>
        <v>0</v>
      </c>
      <c r="U36" s="1787">
        <f t="shared" si="70"/>
        <v>0</v>
      </c>
      <c r="V36" s="1786">
        <f t="shared" si="70"/>
        <v>0</v>
      </c>
      <c r="W36" s="1786">
        <f t="shared" si="70"/>
        <v>0</v>
      </c>
      <c r="X36" s="1786">
        <f t="shared" si="70"/>
        <v>0</v>
      </c>
      <c r="Y36" s="1786">
        <f t="shared" si="70"/>
        <v>0</v>
      </c>
      <c r="Z36" s="1786">
        <f t="shared" si="70"/>
        <v>0</v>
      </c>
      <c r="AA36" s="1786">
        <f t="shared" si="70"/>
        <v>0</v>
      </c>
      <c r="AB36" s="1786">
        <f t="shared" si="70"/>
        <v>0</v>
      </c>
      <c r="AC36" s="1786">
        <f t="shared" si="70"/>
        <v>0</v>
      </c>
      <c r="AD36" s="1786">
        <f t="shared" si="70"/>
        <v>0</v>
      </c>
      <c r="AE36" s="1786">
        <f t="shared" si="70"/>
        <v>0</v>
      </c>
      <c r="AF36" s="1786">
        <f t="shared" si="70"/>
        <v>0</v>
      </c>
      <c r="AG36" s="1786">
        <f t="shared" si="70"/>
        <v>0</v>
      </c>
      <c r="AH36" s="1786">
        <f t="shared" si="70"/>
        <v>0</v>
      </c>
      <c r="AI36" s="1786">
        <f t="shared" si="70"/>
        <v>0</v>
      </c>
      <c r="AJ36" s="876"/>
    </row>
    <row r="37" spans="1:36" ht="12.75" customHeight="1">
      <c r="A37" s="1741"/>
      <c r="B37" s="1784"/>
      <c r="C37" s="1785"/>
      <c r="D37" s="1788"/>
      <c r="E37" s="1743"/>
      <c r="F37" s="1786"/>
      <c r="G37" s="1764"/>
      <c r="H37" s="1764"/>
      <c r="I37" s="1764"/>
      <c r="J37" s="1764"/>
      <c r="K37" s="1764"/>
      <c r="L37" s="1764"/>
      <c r="M37" s="1764"/>
      <c r="N37" s="1764"/>
      <c r="O37" s="1764"/>
      <c r="P37" s="1764"/>
      <c r="Q37" s="1764"/>
      <c r="R37" s="1764"/>
      <c r="S37" s="1764"/>
      <c r="T37" s="1764"/>
      <c r="U37" s="1783"/>
      <c r="V37" s="1764"/>
      <c r="W37" s="1764"/>
      <c r="X37" s="1764"/>
      <c r="Y37" s="1764"/>
      <c r="Z37" s="1764"/>
      <c r="AA37" s="1764"/>
      <c r="AB37" s="1764"/>
      <c r="AC37" s="1764"/>
      <c r="AD37" s="1764"/>
      <c r="AE37" s="1764"/>
      <c r="AF37" s="1764"/>
      <c r="AG37" s="1764"/>
      <c r="AH37" s="1764"/>
      <c r="AI37" s="1764"/>
      <c r="AJ37" s="876"/>
    </row>
    <row r="38" spans="1:36" ht="12.75" customHeight="1">
      <c r="A38" s="1789" t="s">
        <v>1427</v>
      </c>
      <c r="B38" s="1790" t="s">
        <v>443</v>
      </c>
      <c r="C38" s="1791"/>
      <c r="D38" s="1792">
        <f>'Stabilized Ops &amp; Debt'!E57</f>
        <v>0</v>
      </c>
      <c r="E38" s="1793">
        <f>'Stabilized Ops &amp; Debt'!D10</f>
        <v>3.5000000000000003E-2</v>
      </c>
      <c r="F38" s="1766">
        <f>$D38*F4</f>
        <v>0</v>
      </c>
      <c r="G38" s="1766">
        <f>D38*(1+$E$38)*G4</f>
        <v>0</v>
      </c>
      <c r="H38" s="1766">
        <f>D38*(1+$E$38)^2*H4</f>
        <v>0</v>
      </c>
      <c r="I38" s="1766">
        <f>+H38*(1+$E38)</f>
        <v>0</v>
      </c>
      <c r="J38" s="1766">
        <f t="shared" ref="J38:AI38" si="71">+I38*(1+$E38)</f>
        <v>0</v>
      </c>
      <c r="K38" s="1766">
        <f t="shared" si="71"/>
        <v>0</v>
      </c>
      <c r="L38" s="1766">
        <f t="shared" si="71"/>
        <v>0</v>
      </c>
      <c r="M38" s="1766">
        <f t="shared" si="71"/>
        <v>0</v>
      </c>
      <c r="N38" s="1766">
        <f t="shared" si="71"/>
        <v>0</v>
      </c>
      <c r="O38" s="1766">
        <f t="shared" si="71"/>
        <v>0</v>
      </c>
      <c r="P38" s="1766">
        <f t="shared" si="71"/>
        <v>0</v>
      </c>
      <c r="Q38" s="1766">
        <f t="shared" si="71"/>
        <v>0</v>
      </c>
      <c r="R38" s="1766">
        <f t="shared" si="71"/>
        <v>0</v>
      </c>
      <c r="S38" s="1766">
        <f t="shared" si="71"/>
        <v>0</v>
      </c>
      <c r="T38" s="1766">
        <f t="shared" si="71"/>
        <v>0</v>
      </c>
      <c r="U38" s="1768">
        <f t="shared" si="71"/>
        <v>0</v>
      </c>
      <c r="V38" s="1766">
        <f t="shared" si="71"/>
        <v>0</v>
      </c>
      <c r="W38" s="1766">
        <f t="shared" si="71"/>
        <v>0</v>
      </c>
      <c r="X38" s="1766">
        <f t="shared" si="71"/>
        <v>0</v>
      </c>
      <c r="Y38" s="1766">
        <f t="shared" si="71"/>
        <v>0</v>
      </c>
      <c r="Z38" s="1766">
        <f t="shared" si="71"/>
        <v>0</v>
      </c>
      <c r="AA38" s="1766">
        <f t="shared" si="71"/>
        <v>0</v>
      </c>
      <c r="AB38" s="1766">
        <f t="shared" si="71"/>
        <v>0</v>
      </c>
      <c r="AC38" s="1766">
        <f t="shared" si="71"/>
        <v>0</v>
      </c>
      <c r="AD38" s="1766">
        <f t="shared" si="71"/>
        <v>0</v>
      </c>
      <c r="AE38" s="1766">
        <f t="shared" si="71"/>
        <v>0</v>
      </c>
      <c r="AF38" s="1766">
        <f t="shared" si="71"/>
        <v>0</v>
      </c>
      <c r="AG38" s="1766">
        <f t="shared" si="71"/>
        <v>0</v>
      </c>
      <c r="AH38" s="1766">
        <f t="shared" si="71"/>
        <v>0</v>
      </c>
      <c r="AI38" s="1766">
        <f t="shared" si="71"/>
        <v>0</v>
      </c>
      <c r="AJ38" s="876"/>
    </row>
    <row r="39" spans="1:36" ht="12.75" customHeight="1">
      <c r="A39" s="1789"/>
      <c r="B39" s="1790"/>
      <c r="C39" s="1791"/>
      <c r="D39" s="1788"/>
      <c r="E39" s="1793"/>
      <c r="F39" s="1786"/>
      <c r="G39" s="1764"/>
      <c r="H39" s="1764"/>
      <c r="I39" s="1764"/>
      <c r="J39" s="1764"/>
      <c r="K39" s="1764"/>
      <c r="L39" s="1764"/>
      <c r="M39" s="1764"/>
      <c r="N39" s="1764"/>
      <c r="O39" s="1764"/>
      <c r="P39" s="1764"/>
      <c r="Q39" s="1764"/>
      <c r="R39" s="1764"/>
      <c r="S39" s="1764"/>
      <c r="T39" s="1764"/>
      <c r="U39" s="1783"/>
      <c r="V39" s="1764"/>
      <c r="W39" s="1764"/>
      <c r="X39" s="1764"/>
      <c r="Y39" s="1764"/>
      <c r="Z39" s="1764"/>
      <c r="AA39" s="1764"/>
      <c r="AB39" s="1764"/>
      <c r="AC39" s="1764"/>
      <c r="AD39" s="1764"/>
      <c r="AE39" s="1764"/>
      <c r="AF39" s="1764"/>
      <c r="AG39" s="1764"/>
      <c r="AH39" s="1764"/>
      <c r="AI39" s="1764"/>
      <c r="AJ39" s="876"/>
    </row>
    <row r="40" spans="1:36" ht="12.75" customHeight="1">
      <c r="A40" s="1789" t="s">
        <v>85</v>
      </c>
      <c r="B40" s="1790"/>
      <c r="C40" s="1791"/>
      <c r="D40" s="1788"/>
      <c r="E40" s="1793"/>
      <c r="F40" s="1786"/>
      <c r="G40" s="1764"/>
      <c r="H40" s="1764"/>
      <c r="I40" s="1764"/>
      <c r="J40" s="1764"/>
      <c r="K40" s="1764"/>
      <c r="L40" s="1764"/>
      <c r="M40" s="1764"/>
      <c r="N40" s="1764"/>
      <c r="O40" s="1764"/>
      <c r="P40" s="1764"/>
      <c r="Q40" s="1764"/>
      <c r="R40" s="1764"/>
      <c r="S40" s="1764"/>
      <c r="T40" s="1764"/>
      <c r="U40" s="1783"/>
      <c r="V40" s="1764"/>
      <c r="W40" s="1764"/>
      <c r="X40" s="1764"/>
      <c r="Y40" s="1764"/>
      <c r="Z40" s="1764"/>
      <c r="AA40" s="1764"/>
      <c r="AB40" s="1764"/>
      <c r="AC40" s="1764"/>
      <c r="AD40" s="1764"/>
      <c r="AE40" s="1764"/>
      <c r="AF40" s="1764"/>
      <c r="AG40" s="1764"/>
      <c r="AH40" s="1764"/>
      <c r="AI40" s="1764"/>
      <c r="AJ40" s="876"/>
    </row>
    <row r="41" spans="1:36" ht="12.75" customHeight="1">
      <c r="A41" s="1794" t="s">
        <v>86</v>
      </c>
      <c r="B41" s="1795"/>
      <c r="C41" s="1796"/>
      <c r="D41" s="1748"/>
      <c r="E41" s="1793">
        <f>+'Stabilized Ops &amp; Debt'!D5</f>
        <v>3.5000000000000003E-2</v>
      </c>
      <c r="F41" s="1764">
        <f>IF($F$4&lt;1,0,'Stabilized Ops &amp; Debt'!$E$60*F4)</f>
        <v>0</v>
      </c>
      <c r="G41" s="1764">
        <f>IF($G$4&lt;1,0,('Stabilized Ops &amp; Debt'!$E$60*G4)*(1+'Stabilized Ops &amp; Debt'!$D$5))</f>
        <v>0</v>
      </c>
      <c r="H41" s="1764">
        <f>+'Stabilized Ops &amp; Debt'!E60*(1+$E41)^2</f>
        <v>0</v>
      </c>
      <c r="I41" s="1764">
        <f>H41*(1+$E41)^2</f>
        <v>0</v>
      </c>
      <c r="J41" s="1764">
        <f t="shared" ref="J41:AI44" si="72">I41*(1+$E41)^2</f>
        <v>0</v>
      </c>
      <c r="K41" s="1764">
        <f t="shared" si="72"/>
        <v>0</v>
      </c>
      <c r="L41" s="1764">
        <f t="shared" si="72"/>
        <v>0</v>
      </c>
      <c r="M41" s="1764">
        <f t="shared" si="72"/>
        <v>0</v>
      </c>
      <c r="N41" s="1764">
        <f t="shared" si="72"/>
        <v>0</v>
      </c>
      <c r="O41" s="1764">
        <f t="shared" si="72"/>
        <v>0</v>
      </c>
      <c r="P41" s="1764">
        <f t="shared" si="72"/>
        <v>0</v>
      </c>
      <c r="Q41" s="1764">
        <f t="shared" si="72"/>
        <v>0</v>
      </c>
      <c r="R41" s="1764">
        <f t="shared" si="72"/>
        <v>0</v>
      </c>
      <c r="S41" s="1764">
        <f t="shared" si="72"/>
        <v>0</v>
      </c>
      <c r="T41" s="1764">
        <f t="shared" si="72"/>
        <v>0</v>
      </c>
      <c r="U41" s="1783">
        <f t="shared" si="72"/>
        <v>0</v>
      </c>
      <c r="V41" s="1764">
        <f t="shared" si="72"/>
        <v>0</v>
      </c>
      <c r="W41" s="1764">
        <f t="shared" si="72"/>
        <v>0</v>
      </c>
      <c r="X41" s="1764">
        <f t="shared" si="72"/>
        <v>0</v>
      </c>
      <c r="Y41" s="1764">
        <f t="shared" si="72"/>
        <v>0</v>
      </c>
      <c r="Z41" s="1764">
        <f t="shared" si="72"/>
        <v>0</v>
      </c>
      <c r="AA41" s="1764">
        <f t="shared" si="72"/>
        <v>0</v>
      </c>
      <c r="AB41" s="1764">
        <f t="shared" si="72"/>
        <v>0</v>
      </c>
      <c r="AC41" s="1764">
        <f t="shared" si="72"/>
        <v>0</v>
      </c>
      <c r="AD41" s="1764">
        <f t="shared" si="72"/>
        <v>0</v>
      </c>
      <c r="AE41" s="1764">
        <f t="shared" si="72"/>
        <v>0</v>
      </c>
      <c r="AF41" s="1764">
        <f t="shared" si="72"/>
        <v>0</v>
      </c>
      <c r="AG41" s="1764">
        <f t="shared" si="72"/>
        <v>0</v>
      </c>
      <c r="AH41" s="1764">
        <f t="shared" si="72"/>
        <v>0</v>
      </c>
      <c r="AI41" s="1764">
        <f t="shared" si="72"/>
        <v>0</v>
      </c>
      <c r="AJ41" s="876"/>
    </row>
    <row r="42" spans="1:36" s="60" customFormat="1" ht="12.75" customHeight="1">
      <c r="A42" s="1794" t="s">
        <v>87</v>
      </c>
      <c r="B42" s="1343"/>
      <c r="C42" s="1797"/>
      <c r="D42" s="1798"/>
      <c r="E42" s="1793">
        <f>+'Stabilized Ops &amp; Debt'!D5</f>
        <v>3.5000000000000003E-2</v>
      </c>
      <c r="F42" s="1764">
        <f>IF($F$4&lt;1,0,'Stabilized Ops &amp; Debt'!$E$60*F5)</f>
        <v>0</v>
      </c>
      <c r="G42" s="1764">
        <f>+'Stabilized Ops &amp; Debt'!E61*(1+E42)*$G$4</f>
        <v>0</v>
      </c>
      <c r="H42" s="1764">
        <f>+G42*(1+$E42)^2*$H$4</f>
        <v>0</v>
      </c>
      <c r="I42" s="1764">
        <f t="shared" ref="I42:X44" si="73">H42*(1+$E42)^2</f>
        <v>0</v>
      </c>
      <c r="J42" s="1764">
        <f t="shared" si="73"/>
        <v>0</v>
      </c>
      <c r="K42" s="1764">
        <f t="shared" si="73"/>
        <v>0</v>
      </c>
      <c r="L42" s="1764">
        <f t="shared" si="73"/>
        <v>0</v>
      </c>
      <c r="M42" s="1764">
        <f t="shared" si="73"/>
        <v>0</v>
      </c>
      <c r="N42" s="1764">
        <f t="shared" si="73"/>
        <v>0</v>
      </c>
      <c r="O42" s="1764">
        <f t="shared" si="73"/>
        <v>0</v>
      </c>
      <c r="P42" s="1764">
        <f t="shared" si="73"/>
        <v>0</v>
      </c>
      <c r="Q42" s="1764">
        <f t="shared" si="73"/>
        <v>0</v>
      </c>
      <c r="R42" s="1764">
        <f t="shared" si="73"/>
        <v>0</v>
      </c>
      <c r="S42" s="1764">
        <f t="shared" si="73"/>
        <v>0</v>
      </c>
      <c r="T42" s="1764">
        <f t="shared" si="73"/>
        <v>0</v>
      </c>
      <c r="U42" s="1783">
        <f t="shared" si="73"/>
        <v>0</v>
      </c>
      <c r="V42" s="1764">
        <f t="shared" si="73"/>
        <v>0</v>
      </c>
      <c r="W42" s="1764">
        <f t="shared" si="73"/>
        <v>0</v>
      </c>
      <c r="X42" s="1764">
        <f t="shared" si="73"/>
        <v>0</v>
      </c>
      <c r="Y42" s="1764">
        <f t="shared" si="72"/>
        <v>0</v>
      </c>
      <c r="Z42" s="1764">
        <f t="shared" si="72"/>
        <v>0</v>
      </c>
      <c r="AA42" s="1764">
        <f t="shared" si="72"/>
        <v>0</v>
      </c>
      <c r="AB42" s="1764">
        <f t="shared" si="72"/>
        <v>0</v>
      </c>
      <c r="AC42" s="1764">
        <f t="shared" si="72"/>
        <v>0</v>
      </c>
      <c r="AD42" s="1764">
        <f t="shared" si="72"/>
        <v>0</v>
      </c>
      <c r="AE42" s="1764">
        <f t="shared" si="72"/>
        <v>0</v>
      </c>
      <c r="AF42" s="1764">
        <f t="shared" si="72"/>
        <v>0</v>
      </c>
      <c r="AG42" s="1764">
        <f t="shared" si="72"/>
        <v>0</v>
      </c>
      <c r="AH42" s="1764">
        <f t="shared" si="72"/>
        <v>0</v>
      </c>
      <c r="AI42" s="1764">
        <f t="shared" si="72"/>
        <v>0</v>
      </c>
      <c r="AJ42" s="1343"/>
    </row>
    <row r="43" spans="1:36" ht="12.75" customHeight="1">
      <c r="A43" s="1794" t="s">
        <v>87</v>
      </c>
      <c r="B43" s="1798"/>
      <c r="C43" s="1799"/>
      <c r="D43" s="1800"/>
      <c r="E43" s="1793">
        <f>+'Stabilized Ops &amp; Debt'!D5</f>
        <v>3.5000000000000003E-2</v>
      </c>
      <c r="F43" s="1764">
        <f>IF($F$4&lt;1,0,'Stabilized Ops &amp; Debt'!$E$60*F6)</f>
        <v>0</v>
      </c>
      <c r="G43" s="1764">
        <f>+'Stabilized Ops &amp; Debt'!E62*(1+E43)*$G$4</f>
        <v>0</v>
      </c>
      <c r="H43" s="1764">
        <f>+G43*(1+$E43)^2*$H$4</f>
        <v>0</v>
      </c>
      <c r="I43" s="1764">
        <f t="shared" si="73"/>
        <v>0</v>
      </c>
      <c r="J43" s="1764">
        <f t="shared" si="72"/>
        <v>0</v>
      </c>
      <c r="K43" s="1764">
        <f t="shared" si="72"/>
        <v>0</v>
      </c>
      <c r="L43" s="1764">
        <f t="shared" si="72"/>
        <v>0</v>
      </c>
      <c r="M43" s="1764">
        <f t="shared" si="72"/>
        <v>0</v>
      </c>
      <c r="N43" s="1764">
        <f t="shared" si="72"/>
        <v>0</v>
      </c>
      <c r="O43" s="1764">
        <f t="shared" si="72"/>
        <v>0</v>
      </c>
      <c r="P43" s="1764">
        <f t="shared" si="72"/>
        <v>0</v>
      </c>
      <c r="Q43" s="1764">
        <f t="shared" si="72"/>
        <v>0</v>
      </c>
      <c r="R43" s="1764">
        <f t="shared" si="72"/>
        <v>0</v>
      </c>
      <c r="S43" s="1764">
        <f t="shared" si="72"/>
        <v>0</v>
      </c>
      <c r="T43" s="1764">
        <f t="shared" si="72"/>
        <v>0</v>
      </c>
      <c r="U43" s="1783">
        <f t="shared" si="72"/>
        <v>0</v>
      </c>
      <c r="V43" s="1764">
        <f t="shared" si="72"/>
        <v>0</v>
      </c>
      <c r="W43" s="1764">
        <f t="shared" si="72"/>
        <v>0</v>
      </c>
      <c r="X43" s="1764">
        <f t="shared" si="72"/>
        <v>0</v>
      </c>
      <c r="Y43" s="1764">
        <f t="shared" si="72"/>
        <v>0</v>
      </c>
      <c r="Z43" s="1764">
        <f t="shared" si="72"/>
        <v>0</v>
      </c>
      <c r="AA43" s="1764">
        <f t="shared" si="72"/>
        <v>0</v>
      </c>
      <c r="AB43" s="1764">
        <f t="shared" si="72"/>
        <v>0</v>
      </c>
      <c r="AC43" s="1764">
        <f t="shared" si="72"/>
        <v>0</v>
      </c>
      <c r="AD43" s="1764">
        <f t="shared" si="72"/>
        <v>0</v>
      </c>
      <c r="AE43" s="1764">
        <f t="shared" si="72"/>
        <v>0</v>
      </c>
      <c r="AF43" s="1764">
        <f t="shared" si="72"/>
        <v>0</v>
      </c>
      <c r="AG43" s="1764">
        <f t="shared" si="72"/>
        <v>0</v>
      </c>
      <c r="AH43" s="1764">
        <f t="shared" si="72"/>
        <v>0</v>
      </c>
      <c r="AI43" s="1764">
        <f t="shared" si="72"/>
        <v>0</v>
      </c>
      <c r="AJ43" s="876"/>
    </row>
    <row r="44" spans="1:36" ht="12.75" customHeight="1">
      <c r="A44" s="1794" t="s">
        <v>87</v>
      </c>
      <c r="B44" s="1798"/>
      <c r="C44" s="1799"/>
      <c r="D44" s="1800"/>
      <c r="E44" s="1793">
        <f>+'Stabilized Ops &amp; Debt'!D5</f>
        <v>3.5000000000000003E-2</v>
      </c>
      <c r="F44" s="1764">
        <f>IF($F$4&lt;1,0,'Stabilized Ops &amp; Debt'!$E$60*F7)</f>
        <v>0</v>
      </c>
      <c r="G44" s="1764">
        <f>+'Stabilized Ops &amp; Debt'!E63*(1+E44)*$G$4</f>
        <v>0</v>
      </c>
      <c r="H44" s="1764">
        <f>+G44*(1+$E44)^2*$H$4</f>
        <v>0</v>
      </c>
      <c r="I44" s="1764">
        <f t="shared" si="73"/>
        <v>0</v>
      </c>
      <c r="J44" s="1764">
        <f t="shared" si="72"/>
        <v>0</v>
      </c>
      <c r="K44" s="1764">
        <f t="shared" si="72"/>
        <v>0</v>
      </c>
      <c r="L44" s="1764">
        <f t="shared" si="72"/>
        <v>0</v>
      </c>
      <c r="M44" s="1764">
        <f t="shared" si="72"/>
        <v>0</v>
      </c>
      <c r="N44" s="1764">
        <f t="shared" si="72"/>
        <v>0</v>
      </c>
      <c r="O44" s="1764">
        <f t="shared" si="72"/>
        <v>0</v>
      </c>
      <c r="P44" s="1764">
        <f t="shared" si="72"/>
        <v>0</v>
      </c>
      <c r="Q44" s="1764">
        <f t="shared" si="72"/>
        <v>0</v>
      </c>
      <c r="R44" s="1764">
        <f t="shared" si="72"/>
        <v>0</v>
      </c>
      <c r="S44" s="1764">
        <f t="shared" si="72"/>
        <v>0</v>
      </c>
      <c r="T44" s="1764">
        <f t="shared" si="72"/>
        <v>0</v>
      </c>
      <c r="U44" s="1783">
        <f t="shared" si="72"/>
        <v>0</v>
      </c>
      <c r="V44" s="1764">
        <f t="shared" si="72"/>
        <v>0</v>
      </c>
      <c r="W44" s="1764">
        <f t="shared" si="72"/>
        <v>0</v>
      </c>
      <c r="X44" s="1764">
        <f t="shared" si="72"/>
        <v>0</v>
      </c>
      <c r="Y44" s="1764">
        <f t="shared" si="72"/>
        <v>0</v>
      </c>
      <c r="Z44" s="1764">
        <f t="shared" si="72"/>
        <v>0</v>
      </c>
      <c r="AA44" s="1764">
        <f t="shared" si="72"/>
        <v>0</v>
      </c>
      <c r="AB44" s="1764">
        <f t="shared" si="72"/>
        <v>0</v>
      </c>
      <c r="AC44" s="1764">
        <f t="shared" si="72"/>
        <v>0</v>
      </c>
      <c r="AD44" s="1764">
        <f t="shared" si="72"/>
        <v>0</v>
      </c>
      <c r="AE44" s="1764">
        <f t="shared" si="72"/>
        <v>0</v>
      </c>
      <c r="AF44" s="1764">
        <f t="shared" si="72"/>
        <v>0</v>
      </c>
      <c r="AG44" s="1764">
        <f t="shared" si="72"/>
        <v>0</v>
      </c>
      <c r="AH44" s="1764">
        <f t="shared" si="72"/>
        <v>0</v>
      </c>
      <c r="AI44" s="1764">
        <f t="shared" si="72"/>
        <v>0</v>
      </c>
      <c r="AJ44" s="876"/>
    </row>
    <row r="45" spans="1:36" ht="12.75" customHeight="1">
      <c r="A45" s="1794"/>
      <c r="B45" s="1798"/>
      <c r="C45" s="1799"/>
      <c r="D45" s="1800"/>
      <c r="E45" s="1801"/>
      <c r="F45" s="1764"/>
      <c r="G45" s="1764"/>
      <c r="H45" s="1764"/>
      <c r="I45" s="1764"/>
      <c r="J45" s="1764"/>
      <c r="K45" s="1764"/>
      <c r="L45" s="1764"/>
      <c r="M45" s="1764"/>
      <c r="N45" s="1764"/>
      <c r="O45" s="1764"/>
      <c r="P45" s="1764"/>
      <c r="Q45" s="1764"/>
      <c r="R45" s="1764"/>
      <c r="S45" s="1764"/>
      <c r="T45" s="1764"/>
      <c r="U45" s="1783"/>
      <c r="V45" s="1764"/>
      <c r="W45" s="1764"/>
      <c r="X45" s="1764"/>
      <c r="Y45" s="1764"/>
      <c r="Z45" s="1764"/>
      <c r="AA45" s="1764"/>
      <c r="AB45" s="1764"/>
      <c r="AC45" s="1764"/>
      <c r="AD45" s="1764"/>
      <c r="AE45" s="1764"/>
      <c r="AF45" s="1764"/>
      <c r="AG45" s="1764"/>
      <c r="AH45" s="1764"/>
      <c r="AI45" s="1764"/>
      <c r="AJ45" s="876"/>
    </row>
    <row r="46" spans="1:36" ht="15.95" customHeight="1" thickBot="1">
      <c r="A46" s="1802" t="s">
        <v>445</v>
      </c>
      <c r="B46" s="1798"/>
      <c r="C46" s="1799"/>
      <c r="D46" s="1800"/>
      <c r="E46" s="1801"/>
      <c r="F46" s="1803">
        <f>+F36-F38-F41-F42-F43-F44</f>
        <v>0</v>
      </c>
      <c r="G46" s="1803">
        <f t="shared" ref="G46:AI46" si="74">+G36-G38-G41-G42-G43-G44</f>
        <v>0</v>
      </c>
      <c r="H46" s="1803">
        <f t="shared" si="74"/>
        <v>0</v>
      </c>
      <c r="I46" s="1803">
        <f t="shared" si="74"/>
        <v>0</v>
      </c>
      <c r="J46" s="1803">
        <f t="shared" si="74"/>
        <v>0</v>
      </c>
      <c r="K46" s="1803">
        <f t="shared" si="74"/>
        <v>0</v>
      </c>
      <c r="L46" s="1803">
        <f t="shared" si="74"/>
        <v>0</v>
      </c>
      <c r="M46" s="1803">
        <f t="shared" si="74"/>
        <v>0</v>
      </c>
      <c r="N46" s="1803">
        <f t="shared" si="74"/>
        <v>0</v>
      </c>
      <c r="O46" s="1803">
        <f t="shared" si="74"/>
        <v>0</v>
      </c>
      <c r="P46" s="1803">
        <f t="shared" si="74"/>
        <v>0</v>
      </c>
      <c r="Q46" s="1803">
        <f t="shared" si="74"/>
        <v>0</v>
      </c>
      <c r="R46" s="1803">
        <f t="shared" si="74"/>
        <v>0</v>
      </c>
      <c r="S46" s="1803">
        <f t="shared" si="74"/>
        <v>0</v>
      </c>
      <c r="T46" s="1803">
        <f t="shared" si="74"/>
        <v>0</v>
      </c>
      <c r="U46" s="1804">
        <f t="shared" si="74"/>
        <v>0</v>
      </c>
      <c r="V46" s="1803">
        <f t="shared" si="74"/>
        <v>0</v>
      </c>
      <c r="W46" s="1803">
        <f t="shared" si="74"/>
        <v>0</v>
      </c>
      <c r="X46" s="1803">
        <f t="shared" si="74"/>
        <v>0</v>
      </c>
      <c r="Y46" s="1803">
        <f t="shared" si="74"/>
        <v>0</v>
      </c>
      <c r="Z46" s="1803">
        <f t="shared" si="74"/>
        <v>0</v>
      </c>
      <c r="AA46" s="1803">
        <f t="shared" si="74"/>
        <v>0</v>
      </c>
      <c r="AB46" s="1803">
        <f t="shared" si="74"/>
        <v>0</v>
      </c>
      <c r="AC46" s="1803">
        <f t="shared" si="74"/>
        <v>0</v>
      </c>
      <c r="AD46" s="1803">
        <f t="shared" si="74"/>
        <v>0</v>
      </c>
      <c r="AE46" s="1803">
        <f t="shared" si="74"/>
        <v>0</v>
      </c>
      <c r="AF46" s="1803">
        <f t="shared" si="74"/>
        <v>0</v>
      </c>
      <c r="AG46" s="1803">
        <f t="shared" si="74"/>
        <v>0</v>
      </c>
      <c r="AH46" s="1803">
        <f t="shared" si="74"/>
        <v>0</v>
      </c>
      <c r="AI46" s="1803">
        <f t="shared" si="74"/>
        <v>0</v>
      </c>
      <c r="AJ46" s="876"/>
    </row>
    <row r="47" spans="1:36" ht="12.75" customHeight="1" thickTop="1">
      <c r="A47" s="1794"/>
      <c r="B47" s="1805" t="s">
        <v>368</v>
      </c>
      <c r="C47" s="1799" t="s">
        <v>147</v>
      </c>
      <c r="D47" s="1800"/>
      <c r="E47" s="1801"/>
      <c r="F47" s="1764"/>
      <c r="G47" s="1764"/>
      <c r="H47" s="1764"/>
      <c r="I47" s="1764"/>
      <c r="J47" s="1764"/>
      <c r="K47" s="1764"/>
      <c r="L47" s="1764"/>
      <c r="M47" s="1764"/>
      <c r="N47" s="1764"/>
      <c r="O47" s="1764"/>
      <c r="P47" s="1764"/>
      <c r="Q47" s="1764"/>
      <c r="R47" s="1764"/>
      <c r="S47" s="1764"/>
      <c r="T47" s="1764"/>
      <c r="U47" s="1783"/>
      <c r="V47" s="1764"/>
      <c r="W47" s="1764"/>
      <c r="X47" s="1764"/>
      <c r="Y47" s="1764"/>
      <c r="Z47" s="1764"/>
      <c r="AA47" s="1764"/>
      <c r="AB47" s="1764"/>
      <c r="AC47" s="1764"/>
      <c r="AD47" s="1764"/>
      <c r="AE47" s="1764"/>
      <c r="AF47" s="1764"/>
      <c r="AG47" s="1764"/>
      <c r="AH47" s="1764"/>
      <c r="AI47" s="1764"/>
      <c r="AJ47" s="876"/>
    </row>
    <row r="48" spans="1:36" ht="12.75" customHeight="1">
      <c r="A48" s="1802" t="s">
        <v>91</v>
      </c>
      <c r="B48" s="1796"/>
      <c r="C48" s="1796"/>
      <c r="D48" s="1800"/>
      <c r="E48" s="1801"/>
      <c r="F48" s="1764"/>
      <c r="G48" s="1764"/>
      <c r="H48" s="1764"/>
      <c r="I48" s="1764"/>
      <c r="J48" s="1764"/>
      <c r="K48" s="1764"/>
      <c r="L48" s="1764"/>
      <c r="M48" s="1764"/>
      <c r="N48" s="1764"/>
      <c r="O48" s="1764"/>
      <c r="P48" s="1764"/>
      <c r="Q48" s="1764"/>
      <c r="R48" s="1764"/>
      <c r="S48" s="1764"/>
      <c r="T48" s="1764"/>
      <c r="U48" s="1783"/>
      <c r="V48" s="1764"/>
      <c r="W48" s="1764"/>
      <c r="X48" s="1764"/>
      <c r="Y48" s="1764"/>
      <c r="Z48" s="1764"/>
      <c r="AA48" s="1764"/>
      <c r="AB48" s="1764"/>
      <c r="AC48" s="1764"/>
      <c r="AD48" s="1764"/>
      <c r="AE48" s="1764"/>
      <c r="AF48" s="1764"/>
      <c r="AG48" s="1764"/>
      <c r="AH48" s="1764"/>
      <c r="AI48" s="1764"/>
      <c r="AJ48" s="876"/>
    </row>
    <row r="49" spans="1:36" ht="12.75" customHeight="1">
      <c r="A49" s="1794" t="str">
        <f>IF('Stabilized Ops &amp; Debt'!K$18=0,"",'Stabilized Ops &amp; Debt'!K$18)</f>
        <v/>
      </c>
      <c r="B49" s="1806" t="str">
        <f>'Stabilized Ops &amp; Debt'!M20</f>
        <v>Amortizing</v>
      </c>
      <c r="C49" s="1807">
        <f>'Stabilized Ops &amp; Debt'!K23</f>
        <v>0</v>
      </c>
      <c r="D49" s="1808" t="s">
        <v>427</v>
      </c>
      <c r="E49" s="1809">
        <f>EDATE('Project Info'!O6,'Stabilized Ops &amp; Debt'!N21)</f>
        <v>0</v>
      </c>
      <c r="F49" s="1810">
        <v>0</v>
      </c>
      <c r="G49" s="1810">
        <f t="shared" ref="G49:AI49" si="75">+VLOOKUP(G6,amort1,6)</f>
        <v>0</v>
      </c>
      <c r="H49" s="1766">
        <f t="shared" si="75"/>
        <v>0</v>
      </c>
      <c r="I49" s="1766">
        <f t="shared" si="75"/>
        <v>0</v>
      </c>
      <c r="J49" s="1766">
        <f t="shared" si="75"/>
        <v>0</v>
      </c>
      <c r="K49" s="1766">
        <f t="shared" si="75"/>
        <v>0</v>
      </c>
      <c r="L49" s="1766">
        <f t="shared" si="75"/>
        <v>0</v>
      </c>
      <c r="M49" s="1766">
        <f t="shared" si="75"/>
        <v>0</v>
      </c>
      <c r="N49" s="1766">
        <f t="shared" si="75"/>
        <v>0</v>
      </c>
      <c r="O49" s="1766">
        <f t="shared" si="75"/>
        <v>0</v>
      </c>
      <c r="P49" s="1766">
        <f t="shared" si="75"/>
        <v>0</v>
      </c>
      <c r="Q49" s="1766">
        <f t="shared" si="75"/>
        <v>0</v>
      </c>
      <c r="R49" s="1766">
        <f t="shared" si="75"/>
        <v>0</v>
      </c>
      <c r="S49" s="1766">
        <f t="shared" si="75"/>
        <v>0</v>
      </c>
      <c r="T49" s="1766">
        <f t="shared" si="75"/>
        <v>0</v>
      </c>
      <c r="U49" s="1768">
        <f t="shared" si="75"/>
        <v>0</v>
      </c>
      <c r="V49" s="1766">
        <f t="shared" si="75"/>
        <v>0</v>
      </c>
      <c r="W49" s="1766">
        <f t="shared" si="75"/>
        <v>0</v>
      </c>
      <c r="X49" s="1766">
        <f t="shared" si="75"/>
        <v>0</v>
      </c>
      <c r="Y49" s="1766">
        <f t="shared" si="75"/>
        <v>0</v>
      </c>
      <c r="Z49" s="1766">
        <f t="shared" si="75"/>
        <v>0</v>
      </c>
      <c r="AA49" s="1766">
        <f t="shared" si="75"/>
        <v>0</v>
      </c>
      <c r="AB49" s="1766">
        <f t="shared" si="75"/>
        <v>0</v>
      </c>
      <c r="AC49" s="1766">
        <f t="shared" si="75"/>
        <v>0</v>
      </c>
      <c r="AD49" s="1766">
        <f t="shared" si="75"/>
        <v>0</v>
      </c>
      <c r="AE49" s="1766">
        <f t="shared" si="75"/>
        <v>0</v>
      </c>
      <c r="AF49" s="1766">
        <f t="shared" si="75"/>
        <v>0</v>
      </c>
      <c r="AG49" s="1766">
        <f t="shared" si="75"/>
        <v>0</v>
      </c>
      <c r="AH49" s="1766">
        <f t="shared" si="75"/>
        <v>0</v>
      </c>
      <c r="AI49" s="1766">
        <f t="shared" si="75"/>
        <v>0</v>
      </c>
      <c r="AJ49" s="876"/>
    </row>
    <row r="50" spans="1:36" ht="12.75" customHeight="1">
      <c r="A50" s="1794" t="s">
        <v>92</v>
      </c>
      <c r="B50" s="1808"/>
      <c r="C50" s="1808"/>
      <c r="D50" s="1800"/>
      <c r="E50" s="1801"/>
      <c r="F50" s="1811"/>
      <c r="G50" s="1811" t="str">
        <f>IFERROR(+G$46/G49,"-")</f>
        <v>-</v>
      </c>
      <c r="H50" s="1811" t="str">
        <f t="shared" ref="H50:AI50" si="76">IFERROR(+H46/H49,"-")</f>
        <v>-</v>
      </c>
      <c r="I50" s="1811" t="str">
        <f t="shared" si="76"/>
        <v>-</v>
      </c>
      <c r="J50" s="1811" t="str">
        <f t="shared" si="76"/>
        <v>-</v>
      </c>
      <c r="K50" s="1811" t="str">
        <f t="shared" si="76"/>
        <v>-</v>
      </c>
      <c r="L50" s="1811" t="str">
        <f t="shared" si="76"/>
        <v>-</v>
      </c>
      <c r="M50" s="1811" t="str">
        <f t="shared" si="76"/>
        <v>-</v>
      </c>
      <c r="N50" s="1811" t="str">
        <f t="shared" si="76"/>
        <v>-</v>
      </c>
      <c r="O50" s="1811" t="str">
        <f t="shared" si="76"/>
        <v>-</v>
      </c>
      <c r="P50" s="1811" t="str">
        <f t="shared" si="76"/>
        <v>-</v>
      </c>
      <c r="Q50" s="1811" t="str">
        <f t="shared" si="76"/>
        <v>-</v>
      </c>
      <c r="R50" s="1811" t="str">
        <f t="shared" si="76"/>
        <v>-</v>
      </c>
      <c r="S50" s="1811" t="str">
        <f t="shared" si="76"/>
        <v>-</v>
      </c>
      <c r="T50" s="1811" t="str">
        <f t="shared" si="76"/>
        <v>-</v>
      </c>
      <c r="U50" s="1811" t="str">
        <f t="shared" si="76"/>
        <v>-</v>
      </c>
      <c r="V50" s="1811" t="str">
        <f t="shared" si="76"/>
        <v>-</v>
      </c>
      <c r="W50" s="1811" t="str">
        <f t="shared" si="76"/>
        <v>-</v>
      </c>
      <c r="X50" s="1811" t="str">
        <f t="shared" si="76"/>
        <v>-</v>
      </c>
      <c r="Y50" s="1811" t="str">
        <f t="shared" si="76"/>
        <v>-</v>
      </c>
      <c r="Z50" s="1811" t="str">
        <f t="shared" si="76"/>
        <v>-</v>
      </c>
      <c r="AA50" s="1811" t="str">
        <f t="shared" si="76"/>
        <v>-</v>
      </c>
      <c r="AB50" s="1811" t="str">
        <f t="shared" si="76"/>
        <v>-</v>
      </c>
      <c r="AC50" s="1811" t="str">
        <f t="shared" si="76"/>
        <v>-</v>
      </c>
      <c r="AD50" s="1811" t="str">
        <f t="shared" si="76"/>
        <v>-</v>
      </c>
      <c r="AE50" s="1811" t="str">
        <f t="shared" si="76"/>
        <v>-</v>
      </c>
      <c r="AF50" s="1811" t="str">
        <f t="shared" si="76"/>
        <v>-</v>
      </c>
      <c r="AG50" s="1811" t="str">
        <f t="shared" si="76"/>
        <v>-</v>
      </c>
      <c r="AH50" s="1811" t="str">
        <f t="shared" si="76"/>
        <v>-</v>
      </c>
      <c r="AI50" s="1811" t="str">
        <f t="shared" si="76"/>
        <v>-</v>
      </c>
      <c r="AJ50" s="876"/>
    </row>
    <row r="51" spans="1:36" ht="12.75" customHeight="1">
      <c r="A51" s="1794" t="str">
        <f>IF('Stabilized Ops &amp; Debt'!K$27=0,"",'Stabilized Ops &amp; Debt'!K$27)</f>
        <v/>
      </c>
      <c r="B51" s="1812" t="str">
        <f>'Stabilized Ops &amp; Debt'!M29</f>
        <v>Fixed</v>
      </c>
      <c r="C51" s="1807" t="str">
        <f>IF(B51="Hard",'Stabilized Ops &amp; Debt'!K32,"-")</f>
        <v>-</v>
      </c>
      <c r="D51" s="1808" t="s">
        <v>427</v>
      </c>
      <c r="E51" s="1809">
        <f>conversion_date</f>
        <v>0</v>
      </c>
      <c r="F51" s="1810">
        <f>IF(F49=0,0,IF('Stabilized Ops &amp; Debt'!J29="Hard",'Stabilized Ops &amp; Debt'!$K33,0))</f>
        <v>0</v>
      </c>
      <c r="G51" s="1810">
        <f>IFERROR(G$49/'Stabilized Ops &amp; Debt'!$K$24*IF($B51="Fixed",'Stabilized Ops &amp; Debt'!$K$30*'Stabilized Ops &amp; Debt'!$K$28,IF($B51="Hard",IF(G$5-$F$5&lt;=$C51,'Stabilized Ops &amp; Debt'!$K$33,0),0)),0)</f>
        <v>0</v>
      </c>
      <c r="H51" s="1813">
        <f>IFERROR(H$49/'Stabilized Ops &amp; Debt'!$K$24*IF($B51="Fixed",'Stabilized Ops &amp; Debt'!$K$30*'Stabilized Ops &amp; Debt'!$K$28,IF($B51="Hard",IF(H$5-$F$5&lt;=$C51,'Stabilized Ops &amp; Debt'!$K$33,0),0)),0)</f>
        <v>0</v>
      </c>
      <c r="I51" s="1814">
        <f>IF($B$51="Fixed",'Stabilized Ops &amp; Debt'!$K$30*'Stabilized Ops &amp; Debt'!$K$28,IF($B51="Hard",IF(I$5-$F$5&lt;=$C51,'Stabilized Ops &amp; Debt'!$K$33,0),0))</f>
        <v>0</v>
      </c>
      <c r="J51" s="1814">
        <f>IF($B$51="Fixed",'Stabilized Ops &amp; Debt'!$K$30*'Stabilized Ops &amp; Debt'!$K$28,IF($B51="Hard",IF(J$5-$F$5&lt;=$C51,'Stabilized Ops &amp; Debt'!$K$33,0),0))</f>
        <v>0</v>
      </c>
      <c r="K51" s="1814">
        <f>IF($B$51="Fixed",'Stabilized Ops &amp; Debt'!$K$30*'Stabilized Ops &amp; Debt'!$K$28,IF($B51="Hard",IF(K$5-$F$5&lt;=$C51,'Stabilized Ops &amp; Debt'!$K$33,0),0))</f>
        <v>0</v>
      </c>
      <c r="L51" s="1814">
        <f>IF($B$51="Fixed",'Stabilized Ops &amp; Debt'!$K$30*'Stabilized Ops &amp; Debt'!$K$28,IF($B51="Hard",IF(L$5-$F$5&lt;=$C51,'Stabilized Ops &amp; Debt'!$K$33,0),0))</f>
        <v>0</v>
      </c>
      <c r="M51" s="1814">
        <f>IF($B$51="Fixed",'Stabilized Ops &amp; Debt'!$K$30*'Stabilized Ops &amp; Debt'!$K$28,IF($B51="Hard",IF(M$5-$F$5&lt;=$C51,'Stabilized Ops &amp; Debt'!$K$33,0),0))</f>
        <v>0</v>
      </c>
      <c r="N51" s="1814">
        <f>IF($B$51="Fixed",'Stabilized Ops &amp; Debt'!$K$30*'Stabilized Ops &amp; Debt'!$K$28,IF($B51="Hard",IF(N$5-$F$5&lt;=$C51,'Stabilized Ops &amp; Debt'!$K$33,0),0))</f>
        <v>0</v>
      </c>
      <c r="O51" s="1814">
        <f>IF($B$51="Fixed",'Stabilized Ops &amp; Debt'!$K$30*'Stabilized Ops &amp; Debt'!$K$28,IF($B51="Hard",IF(O$5-$F$5&lt;=$C51,'Stabilized Ops &amp; Debt'!$K$33,0),0))</f>
        <v>0</v>
      </c>
      <c r="P51" s="1814">
        <f>IF($B$51="Fixed",'Stabilized Ops &amp; Debt'!$K$30*'Stabilized Ops &amp; Debt'!$K$28,IF($B51="Hard",IF(P$5-$F$5&lt;=$C51,'Stabilized Ops &amp; Debt'!$K$33,0),0))</f>
        <v>0</v>
      </c>
      <c r="Q51" s="1814">
        <f>IF($B$51="Fixed",'Stabilized Ops &amp; Debt'!$K$30*'Stabilized Ops &amp; Debt'!$K$28,IF($B51="Hard",IF(Q$5-$F$5&lt;=$C51,'Stabilized Ops &amp; Debt'!$K$33,0),0))</f>
        <v>0</v>
      </c>
      <c r="R51" s="1814">
        <f>IF($B$51="Fixed",'Stabilized Ops &amp; Debt'!$K$30*'Stabilized Ops &amp; Debt'!$K$28,IF($B51="Hard",IF(R$5-$F$5&lt;=$C51,'Stabilized Ops &amp; Debt'!$K$33,0),0))</f>
        <v>0</v>
      </c>
      <c r="S51" s="1814">
        <f>IF($B$51="Fixed",'Stabilized Ops &amp; Debt'!$K$30*'Stabilized Ops &amp; Debt'!$K$28,IF($B51="Hard",IF(S$5-$F$5&lt;=$C51,'Stabilized Ops &amp; Debt'!$K$33,0),0))</f>
        <v>0</v>
      </c>
      <c r="T51" s="1814">
        <f>IF($B$51="Fixed",'Stabilized Ops &amp; Debt'!$K$30*'Stabilized Ops &amp; Debt'!$K$28,IF($B51="Hard",IF(T$5-$F$5&lt;=$C51,'Stabilized Ops &amp; Debt'!$K$33,0),0))</f>
        <v>0</v>
      </c>
      <c r="U51" s="1814">
        <f>IF($B$51="Fixed",'Stabilized Ops &amp; Debt'!$K$30*'Stabilized Ops &amp; Debt'!$K$28,IF($B51="Hard",IF(U$5-$F$5&lt;=$C51,'Stabilized Ops &amp; Debt'!$K$33,0),0))</f>
        <v>0</v>
      </c>
      <c r="V51" s="1814">
        <f>IF($B$51="Fixed",'Stabilized Ops &amp; Debt'!$K$30*'Stabilized Ops &amp; Debt'!$K$28,IF($B51="Hard",IF(V$5-$F$5&lt;=$C51,'Stabilized Ops &amp; Debt'!$K$33,0),0))</f>
        <v>0</v>
      </c>
      <c r="W51" s="1814">
        <f>IF($B$51="Fixed",'Stabilized Ops &amp; Debt'!$K$30*'Stabilized Ops &amp; Debt'!$K$28,IF($B51="Hard",IF(W$5-$F$5&lt;=$C51,'Stabilized Ops &amp; Debt'!$K$33,0),0))</f>
        <v>0</v>
      </c>
      <c r="X51" s="1814">
        <f>IF($B$51="Fixed",'Stabilized Ops &amp; Debt'!$K$30*'Stabilized Ops &amp; Debt'!$K$28,IF($B51="Hard",IF(X$5-$F$5&lt;=$C51,'Stabilized Ops &amp; Debt'!$K$33,0),0))</f>
        <v>0</v>
      </c>
      <c r="Y51" s="1814">
        <f>IF($B$51="Fixed",'Stabilized Ops &amp; Debt'!$K$30*'Stabilized Ops &amp; Debt'!$K$28,IF($B51="Hard",IF(Y$5-$F$5&lt;=$C51,'Stabilized Ops &amp; Debt'!$K$33,0),0))</f>
        <v>0</v>
      </c>
      <c r="Z51" s="1814">
        <f>IF($B$51="Fixed",'Stabilized Ops &amp; Debt'!$K$30*'Stabilized Ops &amp; Debt'!$K$28,IF($B51="Hard",IF(Z$5-$F$5&lt;=$C51,'Stabilized Ops &amp; Debt'!$K$33,0),0))</f>
        <v>0</v>
      </c>
      <c r="AA51" s="1814">
        <f>IF($B$51="Fixed",'Stabilized Ops &amp; Debt'!$K$30*'Stabilized Ops &amp; Debt'!$K$28,IF($B51="Hard",IF(AA$5-$F$5&lt;=$C51,'Stabilized Ops &amp; Debt'!$K$33,0),0))</f>
        <v>0</v>
      </c>
      <c r="AB51" s="1814">
        <f>IF($B$51="Fixed",'Stabilized Ops &amp; Debt'!$K$30*'Stabilized Ops &amp; Debt'!$K$28,IF($B51="Hard",IF(AB$5-$F$5&lt;=$C51,'Stabilized Ops &amp; Debt'!$K$33,0),0))</f>
        <v>0</v>
      </c>
      <c r="AC51" s="1814">
        <f>IF($B$51="Fixed",'Stabilized Ops &amp; Debt'!$K$30*'Stabilized Ops &amp; Debt'!$K$28,IF($B51="Hard",IF(AC$5-$F$5&lt;=$C51,'Stabilized Ops &amp; Debt'!$K$33,0),0))</f>
        <v>0</v>
      </c>
      <c r="AD51" s="1814">
        <f>IF($B$51="Fixed",'Stabilized Ops &amp; Debt'!$K$30*'Stabilized Ops &amp; Debt'!$K$28,IF($B51="Hard",IF(AD$5-$F$5&lt;=$C51,'Stabilized Ops &amp; Debt'!$K$33,0),0))</f>
        <v>0</v>
      </c>
      <c r="AE51" s="1814">
        <f>IF($B$51="Fixed",'Stabilized Ops &amp; Debt'!$K$30*'Stabilized Ops &amp; Debt'!$K$28,IF($B51="Hard",IF(AE$5-$F$5&lt;=$C51,'Stabilized Ops &amp; Debt'!$K$33,0),0))</f>
        <v>0</v>
      </c>
      <c r="AF51" s="1814">
        <f>IF($B$51="Fixed",'Stabilized Ops &amp; Debt'!$K$30*'Stabilized Ops &amp; Debt'!$K$28,IF($B51="Hard",IF(AF$5-$F$5&lt;=$C51,'Stabilized Ops &amp; Debt'!$K$33,0),0))</f>
        <v>0</v>
      </c>
      <c r="AG51" s="1814">
        <f>IF($B$51="Fixed",'Stabilized Ops &amp; Debt'!$K$30*'Stabilized Ops &amp; Debt'!$K$28,IF($B51="Hard",IF(AG$5-$F$5&lt;=$C51,'Stabilized Ops &amp; Debt'!$K$33,0),0))</f>
        <v>0</v>
      </c>
      <c r="AH51" s="1814">
        <f>IF($B$51="Fixed",'Stabilized Ops &amp; Debt'!$K$30*'Stabilized Ops &amp; Debt'!$K$28,IF($B51="Hard",IF(AH$5-$F$5&lt;=$C51,'Stabilized Ops &amp; Debt'!$K$33,0),0))</f>
        <v>0</v>
      </c>
      <c r="AI51" s="1814">
        <f>IF($B$51="Fixed",'Stabilized Ops &amp; Debt'!$K$30*'Stabilized Ops &amp; Debt'!$K$28,IF($B51="Hard",IF(AI$5-$F$5&lt;=$C51,'Stabilized Ops &amp; Debt'!$K$33,0),0))</f>
        <v>0</v>
      </c>
      <c r="AJ51" s="876"/>
    </row>
    <row r="52" spans="1:36" ht="12.75" customHeight="1">
      <c r="A52" s="1794" t="s">
        <v>92</v>
      </c>
      <c r="B52" s="1808"/>
      <c r="C52" s="1808"/>
      <c r="D52" s="1800"/>
      <c r="E52" s="1801"/>
      <c r="F52" s="1815"/>
      <c r="G52" s="1811" t="str">
        <f>IFERROR(+G$46/(G49+G51),"-")</f>
        <v>-</v>
      </c>
      <c r="H52" s="1811" t="str">
        <f t="shared" ref="H52:AI52" si="77">IFERROR(+H$46/(H49+H51),"-")</f>
        <v>-</v>
      </c>
      <c r="I52" s="1811" t="str">
        <f t="shared" si="77"/>
        <v>-</v>
      </c>
      <c r="J52" s="1811" t="str">
        <f t="shared" si="77"/>
        <v>-</v>
      </c>
      <c r="K52" s="1811" t="str">
        <f t="shared" si="77"/>
        <v>-</v>
      </c>
      <c r="L52" s="1811" t="str">
        <f t="shared" si="77"/>
        <v>-</v>
      </c>
      <c r="M52" s="1811" t="str">
        <f t="shared" si="77"/>
        <v>-</v>
      </c>
      <c r="N52" s="1811" t="str">
        <f t="shared" si="77"/>
        <v>-</v>
      </c>
      <c r="O52" s="1811" t="str">
        <f t="shared" si="77"/>
        <v>-</v>
      </c>
      <c r="P52" s="1811" t="str">
        <f t="shared" si="77"/>
        <v>-</v>
      </c>
      <c r="Q52" s="1811" t="str">
        <f t="shared" si="77"/>
        <v>-</v>
      </c>
      <c r="R52" s="1811" t="str">
        <f t="shared" si="77"/>
        <v>-</v>
      </c>
      <c r="S52" s="1811" t="str">
        <f t="shared" si="77"/>
        <v>-</v>
      </c>
      <c r="T52" s="1811" t="str">
        <f t="shared" si="77"/>
        <v>-</v>
      </c>
      <c r="U52" s="1811" t="str">
        <f t="shared" si="77"/>
        <v>-</v>
      </c>
      <c r="V52" s="1811" t="str">
        <f t="shared" si="77"/>
        <v>-</v>
      </c>
      <c r="W52" s="1811" t="str">
        <f t="shared" si="77"/>
        <v>-</v>
      </c>
      <c r="X52" s="1811" t="str">
        <f t="shared" si="77"/>
        <v>-</v>
      </c>
      <c r="Y52" s="1811" t="str">
        <f t="shared" si="77"/>
        <v>-</v>
      </c>
      <c r="Z52" s="1811" t="str">
        <f t="shared" si="77"/>
        <v>-</v>
      </c>
      <c r="AA52" s="1811" t="str">
        <f t="shared" si="77"/>
        <v>-</v>
      </c>
      <c r="AB52" s="1811" t="str">
        <f t="shared" si="77"/>
        <v>-</v>
      </c>
      <c r="AC52" s="1811" t="str">
        <f t="shared" si="77"/>
        <v>-</v>
      </c>
      <c r="AD52" s="1811" t="str">
        <f t="shared" si="77"/>
        <v>-</v>
      </c>
      <c r="AE52" s="1811" t="str">
        <f t="shared" si="77"/>
        <v>-</v>
      </c>
      <c r="AF52" s="1811" t="str">
        <f t="shared" si="77"/>
        <v>-</v>
      </c>
      <c r="AG52" s="1811" t="str">
        <f t="shared" si="77"/>
        <v>-</v>
      </c>
      <c r="AH52" s="1811" t="str">
        <f t="shared" si="77"/>
        <v>-</v>
      </c>
      <c r="AI52" s="1811" t="str">
        <f t="shared" si="77"/>
        <v>-</v>
      </c>
      <c r="AJ52" s="876"/>
    </row>
    <row r="53" spans="1:36" ht="12.75" customHeight="1">
      <c r="A53" s="1794" t="str">
        <f>IF('Stabilized Ops &amp; Debt'!K$34=0,"--",'Stabilized Ops &amp; Debt'!K$34)</f>
        <v>--</v>
      </c>
      <c r="B53" s="1812" t="str">
        <f>'Stabilized Ops &amp; Debt'!M36</f>
        <v>Fixed</v>
      </c>
      <c r="C53" s="1807" t="str">
        <f>IF(B53="Hard",'Stabilized Ops &amp; Debt'!K39,"-")</f>
        <v>-</v>
      </c>
      <c r="D53" s="1808" t="s">
        <v>427</v>
      </c>
      <c r="E53" s="1809">
        <f>conversion_date</f>
        <v>0</v>
      </c>
      <c r="F53" s="1810">
        <f>IF(F51=0,0,IF('Stabilized Ops &amp; Debt'!J36="Hard",'Stabilized Ops &amp; Debt'!$K40,0))</f>
        <v>0</v>
      </c>
      <c r="G53" s="1810" t="str">
        <f>IFERROR(G$49/'Stabilized Ops &amp; Debt'!$K$37*IF($B53="Fixed",'Stabilized Ops &amp; Debt'!$K$35*'Stabilized Ops &amp; Debt'!$K$28,IF($B53="Hard",IF(G$5-$F$5&lt;=$C53,'Stabilized Ops &amp; Debt'!$K$33,0),0)),"-")</f>
        <v>-</v>
      </c>
      <c r="H53" s="1814">
        <f>IFERROR(H$49/'Stabilized Ops &amp; Debt'!$K$24*IF($B53="Fixed",'Stabilized Ops &amp; Debt'!$K$37*'Stabilized Ops &amp; Debt'!$K$35,IF($B53="Hard",IF(H$5-$F$5&lt;=$C53,'Stabilized Ops &amp; Debt'!$K$39,0),0)),0)</f>
        <v>0</v>
      </c>
      <c r="I53" s="1814">
        <f>IF($B53="Fixed",'Stabilized Ops &amp; Debt'!$K$37*'Stabilized Ops &amp; Debt'!$K$35,IF($B53="Hard",IF(I$5-$F$5&lt;=$C53,'Stabilized Ops &amp; Debt'!$K$39,0),0))</f>
        <v>0</v>
      </c>
      <c r="J53" s="1814">
        <f>IF($B53="Fixed",'Stabilized Ops &amp; Debt'!$K$37*'Stabilized Ops &amp; Debt'!$K$35,IF($B53="Hard",IF(J$5-$F$5&lt;=$C53,'Stabilized Ops &amp; Debt'!$K$39,0),0))</f>
        <v>0</v>
      </c>
      <c r="K53" s="1814">
        <f>IF($B53="Fixed",'Stabilized Ops &amp; Debt'!$K$37*'Stabilized Ops &amp; Debt'!$K$35,IF($B53="Hard",IF(K$5-$F$5&lt;=$C53,'Stabilized Ops &amp; Debt'!$K$39,0),0))</f>
        <v>0</v>
      </c>
      <c r="L53" s="1814">
        <f>IF($B53="Fixed",'Stabilized Ops &amp; Debt'!$K$37*'Stabilized Ops &amp; Debt'!$K$35,IF($B53="Hard",IF(L$5-$F$5&lt;=$C53,'Stabilized Ops &amp; Debt'!$K$39,0),0))</f>
        <v>0</v>
      </c>
      <c r="M53" s="1814">
        <f>IF($B53="Fixed",'Stabilized Ops &amp; Debt'!$K$37*'Stabilized Ops &amp; Debt'!$K$35,IF($B53="Hard",IF(M$5-$F$5&lt;=$C53,'Stabilized Ops &amp; Debt'!$K$39,0),0))</f>
        <v>0</v>
      </c>
      <c r="N53" s="1814">
        <f>IF($B53="Fixed",'Stabilized Ops &amp; Debt'!$K$37*'Stabilized Ops &amp; Debt'!$K$35,IF($B53="Hard",IF(N$5-$F$5&lt;=$C53,'Stabilized Ops &amp; Debt'!$K$39,0),0))</f>
        <v>0</v>
      </c>
      <c r="O53" s="1814">
        <f>IF($B53="Fixed",'Stabilized Ops &amp; Debt'!$K$37*'Stabilized Ops &amp; Debt'!$K$35,IF($B53="Hard",IF(O$5-$F$5&lt;=$C53,'Stabilized Ops &amp; Debt'!$K$39,0),0))</f>
        <v>0</v>
      </c>
      <c r="P53" s="1814">
        <f>IF($B53="Fixed",'Stabilized Ops &amp; Debt'!$K$37*'Stabilized Ops &amp; Debt'!$K$35,IF($B53="Hard",IF(P$5-$F$5&lt;=$C53,'Stabilized Ops &amp; Debt'!$K$39,0),0))</f>
        <v>0</v>
      </c>
      <c r="Q53" s="1814">
        <f>IF($B53="Fixed",'Stabilized Ops &amp; Debt'!$K$37*'Stabilized Ops &amp; Debt'!$K$35,IF($B53="Hard",IF(Q$5-$F$5&lt;=$C53,'Stabilized Ops &amp; Debt'!$K$39,0),0))</f>
        <v>0</v>
      </c>
      <c r="R53" s="1814">
        <f>IF($B53="Fixed",'Stabilized Ops &amp; Debt'!$K$37*'Stabilized Ops &amp; Debt'!$K$35,IF($B53="Hard",IF(R$5-$F$5&lt;=$C53,'Stabilized Ops &amp; Debt'!$K$39,0),0))</f>
        <v>0</v>
      </c>
      <c r="S53" s="1814">
        <f>IF($B53="Fixed",'Stabilized Ops &amp; Debt'!$K$37*'Stabilized Ops &amp; Debt'!$K$35,IF($B53="Hard",IF(S$5-$F$5&lt;=$C53,'Stabilized Ops &amp; Debt'!$K$39,0),0))</f>
        <v>0</v>
      </c>
      <c r="T53" s="1814">
        <f>IF($B53="Fixed",'Stabilized Ops &amp; Debt'!$K$37*'Stabilized Ops &amp; Debt'!$K$35,IF($B53="Hard",IF(T$5-$F$5&lt;=$C53,'Stabilized Ops &amp; Debt'!$K$39,0),0))</f>
        <v>0</v>
      </c>
      <c r="U53" s="1814">
        <f>IF($B53="Fixed",'Stabilized Ops &amp; Debt'!$K$37*'Stabilized Ops &amp; Debt'!$K$35,IF($B53="Hard",IF(U$5-$F$5&lt;=$C53,'Stabilized Ops &amp; Debt'!$K$39,0),0))</f>
        <v>0</v>
      </c>
      <c r="V53" s="1814">
        <f>IF($B53="Fixed",'Stabilized Ops &amp; Debt'!$K$37*'Stabilized Ops &amp; Debt'!$K$35,IF($B53="Hard",IF(V$5-$F$5&lt;=$C53,'Stabilized Ops &amp; Debt'!$K$39,0),0))</f>
        <v>0</v>
      </c>
      <c r="W53" s="1814">
        <f>IF($B53="Fixed",'Stabilized Ops &amp; Debt'!$K$37*'Stabilized Ops &amp; Debt'!$K$35,IF($B53="Hard",IF(W$5-$F$5&lt;=$C53,'Stabilized Ops &amp; Debt'!$K$39,0),0))</f>
        <v>0</v>
      </c>
      <c r="X53" s="1814">
        <f>IF($B53="Fixed",'Stabilized Ops &amp; Debt'!$K$37*'Stabilized Ops &amp; Debt'!$K$35,IF($B53="Hard",IF(X$5-$F$5&lt;=$C53,'Stabilized Ops &amp; Debt'!$K$39,0),0))</f>
        <v>0</v>
      </c>
      <c r="Y53" s="1814">
        <f>IF($B53="Fixed",'Stabilized Ops &amp; Debt'!$K$37*'Stabilized Ops &amp; Debt'!$K$35,IF($B53="Hard",IF(Y$5-$F$5&lt;=$C53,'Stabilized Ops &amp; Debt'!$K$39,0),0))</f>
        <v>0</v>
      </c>
      <c r="Z53" s="1814">
        <f>IF($B53="Fixed",'Stabilized Ops &amp; Debt'!$K$37*'Stabilized Ops &amp; Debt'!$K$35,IF($B53="Hard",IF(Z$5-$F$5&lt;=$C53,'Stabilized Ops &amp; Debt'!$K$39,0),0))</f>
        <v>0</v>
      </c>
      <c r="AA53" s="1814">
        <f>IF($B53="Fixed",'Stabilized Ops &amp; Debt'!$K$37*'Stabilized Ops &amp; Debt'!$K$35,IF($B53="Hard",IF(AA$5-$F$5&lt;=$C53,'Stabilized Ops &amp; Debt'!$K$39,0),0))</f>
        <v>0</v>
      </c>
      <c r="AB53" s="1814">
        <f>IF($B53="Fixed",'Stabilized Ops &amp; Debt'!$K$37*'Stabilized Ops &amp; Debt'!$K$35,IF($B53="Hard",IF(AB$5-$F$5&lt;=$C53,'Stabilized Ops &amp; Debt'!$K$39,0),0))</f>
        <v>0</v>
      </c>
      <c r="AC53" s="1814">
        <f>IF($B53="Fixed",'Stabilized Ops &amp; Debt'!$K$37*'Stabilized Ops &amp; Debt'!$K$35,IF($B53="Hard",IF(AC$5-$F$5&lt;=$C53,'Stabilized Ops &amp; Debt'!$K$39,0),0))</f>
        <v>0</v>
      </c>
      <c r="AD53" s="1814">
        <f>IF($B53="Fixed",'Stabilized Ops &amp; Debt'!$K$37*'Stabilized Ops &amp; Debt'!$K$35,IF($B53="Hard",IF(AD$5-$F$5&lt;=$C53,'Stabilized Ops &amp; Debt'!$K$39,0),0))</f>
        <v>0</v>
      </c>
      <c r="AE53" s="1814">
        <f>IF($B53="Fixed",'Stabilized Ops &amp; Debt'!$K$37*'Stabilized Ops &amp; Debt'!$K$35,IF($B53="Hard",IF(AE$5-$F$5&lt;=$C53,'Stabilized Ops &amp; Debt'!$K$39,0),0))</f>
        <v>0</v>
      </c>
      <c r="AF53" s="1814">
        <f>IF($B53="Fixed",'Stabilized Ops &amp; Debt'!$K$37*'Stabilized Ops &amp; Debt'!$K$35,IF($B53="Hard",IF(AF$5-$F$5&lt;=$C53,'Stabilized Ops &amp; Debt'!$K$39,0),0))</f>
        <v>0</v>
      </c>
      <c r="AG53" s="1814">
        <f>IF($B53="Fixed",'Stabilized Ops &amp; Debt'!$K$37*'Stabilized Ops &amp; Debt'!$K$35,IF($B53="Hard",IF(AG$5-$F$5&lt;=$C53,'Stabilized Ops &amp; Debt'!$K$39,0),0))</f>
        <v>0</v>
      </c>
      <c r="AH53" s="1814">
        <f>IF($B53="Fixed",'Stabilized Ops &amp; Debt'!$K$37*'Stabilized Ops &amp; Debt'!$K$35,IF($B53="Hard",IF(AH$5-$F$5&lt;=$C53,'Stabilized Ops &amp; Debt'!$K$39,0),0))</f>
        <v>0</v>
      </c>
      <c r="AI53" s="1814">
        <f>IF($B53="Fixed",'Stabilized Ops &amp; Debt'!$K$37*'Stabilized Ops &amp; Debt'!$K$35,IF($B53="Hard",IF(AI$5-$F$5&lt;=$C53,'Stabilized Ops &amp; Debt'!$K$39,0),0))</f>
        <v>0</v>
      </c>
      <c r="AJ53" s="876"/>
    </row>
    <row r="54" spans="1:36" ht="12.75" customHeight="1">
      <c r="A54" s="1794" t="s">
        <v>92</v>
      </c>
      <c r="B54" s="1816"/>
      <c r="C54" s="1808"/>
      <c r="D54" s="1800"/>
      <c r="E54" s="1801"/>
      <c r="F54" s="1815"/>
      <c r="G54" s="1811" t="str">
        <f>IFERROR(+G$46/(G49+G51+G53),"-")</f>
        <v>-</v>
      </c>
      <c r="H54" s="1811" t="str">
        <f t="shared" ref="H54:AI54" si="78">IFERROR(+H$46/(H49+H51+H53),"-")</f>
        <v>-</v>
      </c>
      <c r="I54" s="1811" t="str">
        <f t="shared" si="78"/>
        <v>-</v>
      </c>
      <c r="J54" s="1811" t="str">
        <f t="shared" si="78"/>
        <v>-</v>
      </c>
      <c r="K54" s="1811" t="str">
        <f t="shared" si="78"/>
        <v>-</v>
      </c>
      <c r="L54" s="1811" t="str">
        <f t="shared" si="78"/>
        <v>-</v>
      </c>
      <c r="M54" s="1811" t="str">
        <f t="shared" si="78"/>
        <v>-</v>
      </c>
      <c r="N54" s="1811" t="str">
        <f t="shared" si="78"/>
        <v>-</v>
      </c>
      <c r="O54" s="1811" t="str">
        <f t="shared" si="78"/>
        <v>-</v>
      </c>
      <c r="P54" s="1811" t="str">
        <f t="shared" si="78"/>
        <v>-</v>
      </c>
      <c r="Q54" s="1811" t="str">
        <f t="shared" si="78"/>
        <v>-</v>
      </c>
      <c r="R54" s="1811" t="str">
        <f t="shared" si="78"/>
        <v>-</v>
      </c>
      <c r="S54" s="1811" t="str">
        <f t="shared" si="78"/>
        <v>-</v>
      </c>
      <c r="T54" s="1811" t="str">
        <f t="shared" si="78"/>
        <v>-</v>
      </c>
      <c r="U54" s="1811" t="str">
        <f t="shared" si="78"/>
        <v>-</v>
      </c>
      <c r="V54" s="1811" t="str">
        <f t="shared" si="78"/>
        <v>-</v>
      </c>
      <c r="W54" s="1811" t="str">
        <f t="shared" si="78"/>
        <v>-</v>
      </c>
      <c r="X54" s="1811" t="str">
        <f t="shared" si="78"/>
        <v>-</v>
      </c>
      <c r="Y54" s="1811" t="str">
        <f t="shared" si="78"/>
        <v>-</v>
      </c>
      <c r="Z54" s="1811" t="str">
        <f t="shared" si="78"/>
        <v>-</v>
      </c>
      <c r="AA54" s="1811" t="str">
        <f t="shared" si="78"/>
        <v>-</v>
      </c>
      <c r="AB54" s="1811" t="str">
        <f t="shared" si="78"/>
        <v>-</v>
      </c>
      <c r="AC54" s="1811" t="str">
        <f t="shared" si="78"/>
        <v>-</v>
      </c>
      <c r="AD54" s="1811" t="str">
        <f t="shared" si="78"/>
        <v>-</v>
      </c>
      <c r="AE54" s="1811" t="str">
        <f t="shared" si="78"/>
        <v>-</v>
      </c>
      <c r="AF54" s="1811" t="str">
        <f t="shared" si="78"/>
        <v>-</v>
      </c>
      <c r="AG54" s="1811" t="str">
        <f t="shared" si="78"/>
        <v>-</v>
      </c>
      <c r="AH54" s="1811" t="str">
        <f t="shared" si="78"/>
        <v>-</v>
      </c>
      <c r="AI54" s="1811" t="str">
        <f t="shared" si="78"/>
        <v>-</v>
      </c>
      <c r="AJ54" s="876"/>
    </row>
    <row r="55" spans="1:36" ht="12.75" customHeight="1">
      <c r="A55" s="1794" t="str">
        <f>IF('Stabilized Ops &amp; Debt'!K$41=0,"--",'Stabilized Ops &amp; Debt'!K$41)</f>
        <v>--</v>
      </c>
      <c r="B55" s="1812" t="str">
        <f>'Stabilized Ops &amp; Debt'!M43</f>
        <v>Fixed</v>
      </c>
      <c r="C55" s="1807" t="str">
        <f>IF(B55="Hard",'Stabilized Ops &amp; Debt'!K43,"-")</f>
        <v>-</v>
      </c>
      <c r="D55" s="1808" t="s">
        <v>427</v>
      </c>
      <c r="E55" s="1809">
        <f>conversion_date</f>
        <v>0</v>
      </c>
      <c r="F55" s="1815"/>
      <c r="G55" s="1811"/>
      <c r="H55" s="1811"/>
      <c r="I55" s="1811"/>
      <c r="J55" s="1811"/>
      <c r="K55" s="1811"/>
      <c r="L55" s="1811"/>
      <c r="M55" s="1811"/>
      <c r="N55" s="1811"/>
      <c r="O55" s="1811"/>
      <c r="P55" s="1811"/>
      <c r="Q55" s="1811"/>
      <c r="R55" s="1811"/>
      <c r="S55" s="1811"/>
      <c r="T55" s="1811"/>
      <c r="U55" s="1811"/>
      <c r="V55" s="1811"/>
      <c r="W55" s="1811"/>
      <c r="X55" s="1811"/>
      <c r="Y55" s="1811"/>
      <c r="Z55" s="1811"/>
      <c r="AA55" s="1811"/>
      <c r="AB55" s="1811"/>
      <c r="AC55" s="1811"/>
      <c r="AD55" s="1811"/>
      <c r="AE55" s="1811"/>
      <c r="AF55" s="1811"/>
      <c r="AG55" s="1811"/>
      <c r="AH55" s="1811"/>
      <c r="AI55" s="1811"/>
      <c r="AJ55" s="876"/>
    </row>
    <row r="56" spans="1:36" ht="12.75" customHeight="1">
      <c r="A56" s="1794"/>
      <c r="B56" s="1816"/>
      <c r="C56" s="1808"/>
      <c r="D56" s="1800"/>
      <c r="E56" s="1801"/>
      <c r="F56" s="1815"/>
      <c r="G56" s="1811"/>
      <c r="H56" s="1811"/>
      <c r="I56" s="1811"/>
      <c r="J56" s="1811"/>
      <c r="K56" s="1811"/>
      <c r="L56" s="1811"/>
      <c r="M56" s="1811"/>
      <c r="N56" s="1811"/>
      <c r="O56" s="1811"/>
      <c r="P56" s="1811"/>
      <c r="Q56" s="1811"/>
      <c r="R56" s="1811"/>
      <c r="S56" s="1811"/>
      <c r="T56" s="1811"/>
      <c r="U56" s="1811"/>
      <c r="V56" s="1811"/>
      <c r="W56" s="1811"/>
      <c r="X56" s="1811"/>
      <c r="Y56" s="1811"/>
      <c r="Z56" s="1811"/>
      <c r="AA56" s="1811"/>
      <c r="AB56" s="1811"/>
      <c r="AC56" s="1811"/>
      <c r="AD56" s="1811"/>
      <c r="AE56" s="1811"/>
      <c r="AF56" s="1811"/>
      <c r="AG56" s="1811"/>
      <c r="AH56" s="1811"/>
      <c r="AI56" s="1811"/>
      <c r="AJ56" s="876"/>
    </row>
    <row r="57" spans="1:36" ht="12.75" customHeight="1">
      <c r="A57" s="1802" t="s">
        <v>666</v>
      </c>
      <c r="B57" s="1816"/>
      <c r="C57" s="1808"/>
      <c r="D57" s="1800"/>
      <c r="E57" s="1801"/>
      <c r="F57" s="1815"/>
      <c r="G57" s="1811"/>
      <c r="H57" s="1811"/>
      <c r="I57" s="1811"/>
      <c r="J57" s="1811"/>
      <c r="K57" s="1811"/>
      <c r="L57" s="1811"/>
      <c r="M57" s="1811"/>
      <c r="N57" s="1811"/>
      <c r="O57" s="1811"/>
      <c r="P57" s="1811"/>
      <c r="Q57" s="1811"/>
      <c r="R57" s="1811"/>
      <c r="S57" s="1811"/>
      <c r="T57" s="1811"/>
      <c r="U57" s="1811"/>
      <c r="V57" s="1811"/>
      <c r="W57" s="1811"/>
      <c r="X57" s="1811"/>
      <c r="Y57" s="1811"/>
      <c r="Z57" s="1811"/>
      <c r="AA57" s="1811"/>
      <c r="AB57" s="1811"/>
      <c r="AC57" s="1811"/>
      <c r="AD57" s="1811"/>
      <c r="AE57" s="1811"/>
      <c r="AF57" s="1811"/>
      <c r="AG57" s="1811"/>
      <c r="AH57" s="1811"/>
      <c r="AI57" s="1811"/>
      <c r="AJ57" s="876"/>
    </row>
    <row r="58" spans="1:36" ht="12.75" customHeight="1">
      <c r="A58" s="1794" t="s">
        <v>594</v>
      </c>
      <c r="B58" s="1816"/>
      <c r="C58" s="1808"/>
      <c r="D58" s="1126">
        <f>'Stabilized Ops &amp; Debt'!E93</f>
        <v>0</v>
      </c>
      <c r="E58" s="1817"/>
      <c r="F58" s="1810">
        <f>IF(F$49=0,0,$D58)</f>
        <v>0</v>
      </c>
      <c r="G58" s="1810">
        <f t="shared" ref="G58:AI60" si="79">IF(G$49=0,0,$D58)</f>
        <v>0</v>
      </c>
      <c r="H58" s="1810">
        <f t="shared" si="79"/>
        <v>0</v>
      </c>
      <c r="I58" s="1810">
        <f t="shared" si="79"/>
        <v>0</v>
      </c>
      <c r="J58" s="1810">
        <f t="shared" si="79"/>
        <v>0</v>
      </c>
      <c r="K58" s="1810">
        <f t="shared" si="79"/>
        <v>0</v>
      </c>
      <c r="L58" s="1810">
        <f t="shared" si="79"/>
        <v>0</v>
      </c>
      <c r="M58" s="1810">
        <f t="shared" si="79"/>
        <v>0</v>
      </c>
      <c r="N58" s="1810">
        <f t="shared" si="79"/>
        <v>0</v>
      </c>
      <c r="O58" s="1810">
        <f t="shared" si="79"/>
        <v>0</v>
      </c>
      <c r="P58" s="1810">
        <f t="shared" si="79"/>
        <v>0</v>
      </c>
      <c r="Q58" s="1810">
        <f t="shared" si="79"/>
        <v>0</v>
      </c>
      <c r="R58" s="1810">
        <f t="shared" si="79"/>
        <v>0</v>
      </c>
      <c r="S58" s="1810">
        <f t="shared" si="79"/>
        <v>0</v>
      </c>
      <c r="T58" s="1810">
        <f t="shared" si="79"/>
        <v>0</v>
      </c>
      <c r="U58" s="1810">
        <f t="shared" si="79"/>
        <v>0</v>
      </c>
      <c r="V58" s="1810">
        <f t="shared" si="79"/>
        <v>0</v>
      </c>
      <c r="W58" s="1810">
        <f t="shared" si="79"/>
        <v>0</v>
      </c>
      <c r="X58" s="1810">
        <f t="shared" si="79"/>
        <v>0</v>
      </c>
      <c r="Y58" s="1810">
        <f t="shared" si="79"/>
        <v>0</v>
      </c>
      <c r="Z58" s="1810">
        <f t="shared" si="79"/>
        <v>0</v>
      </c>
      <c r="AA58" s="1810">
        <f t="shared" si="79"/>
        <v>0</v>
      </c>
      <c r="AB58" s="1810">
        <f t="shared" si="79"/>
        <v>0</v>
      </c>
      <c r="AC58" s="1810">
        <f t="shared" si="79"/>
        <v>0</v>
      </c>
      <c r="AD58" s="1810">
        <f t="shared" si="79"/>
        <v>0</v>
      </c>
      <c r="AE58" s="1810">
        <f t="shared" si="79"/>
        <v>0</v>
      </c>
      <c r="AF58" s="1810">
        <f t="shared" si="79"/>
        <v>0</v>
      </c>
      <c r="AG58" s="1810">
        <f t="shared" si="79"/>
        <v>0</v>
      </c>
      <c r="AH58" s="1810">
        <f t="shared" si="79"/>
        <v>0</v>
      </c>
      <c r="AI58" s="1810">
        <f t="shared" si="79"/>
        <v>0</v>
      </c>
      <c r="AJ58" s="876"/>
    </row>
    <row r="59" spans="1:36" ht="12.75" customHeight="1">
      <c r="A59" s="1794" t="s">
        <v>593</v>
      </c>
      <c r="B59" s="1816"/>
      <c r="C59" s="1808"/>
      <c r="D59" s="1126">
        <f>'Stabilized Ops &amp; Debt'!E94</f>
        <v>0</v>
      </c>
      <c r="E59" s="1817"/>
      <c r="F59" s="1810">
        <f t="shared" ref="F59:U60" si="80">IF(F$49=0,0,$D59)</f>
        <v>0</v>
      </c>
      <c r="G59" s="1810">
        <f t="shared" si="80"/>
        <v>0</v>
      </c>
      <c r="H59" s="1810">
        <f t="shared" si="80"/>
        <v>0</v>
      </c>
      <c r="I59" s="1810">
        <f t="shared" si="80"/>
        <v>0</v>
      </c>
      <c r="J59" s="1810">
        <f t="shared" si="80"/>
        <v>0</v>
      </c>
      <c r="K59" s="1810">
        <f t="shared" si="80"/>
        <v>0</v>
      </c>
      <c r="L59" s="1810">
        <f t="shared" si="80"/>
        <v>0</v>
      </c>
      <c r="M59" s="1810">
        <f t="shared" si="80"/>
        <v>0</v>
      </c>
      <c r="N59" s="1810">
        <f t="shared" si="80"/>
        <v>0</v>
      </c>
      <c r="O59" s="1810">
        <f t="shared" si="80"/>
        <v>0</v>
      </c>
      <c r="P59" s="1810">
        <f t="shared" si="80"/>
        <v>0</v>
      </c>
      <c r="Q59" s="1810">
        <f t="shared" si="80"/>
        <v>0</v>
      </c>
      <c r="R59" s="1810">
        <f t="shared" si="80"/>
        <v>0</v>
      </c>
      <c r="S59" s="1810">
        <f t="shared" si="80"/>
        <v>0</v>
      </c>
      <c r="T59" s="1810">
        <f t="shared" si="80"/>
        <v>0</v>
      </c>
      <c r="U59" s="1810">
        <f t="shared" si="80"/>
        <v>0</v>
      </c>
      <c r="V59" s="1810">
        <f t="shared" si="79"/>
        <v>0</v>
      </c>
      <c r="W59" s="1810">
        <f t="shared" si="79"/>
        <v>0</v>
      </c>
      <c r="X59" s="1810">
        <f t="shared" si="79"/>
        <v>0</v>
      </c>
      <c r="Y59" s="1810">
        <f t="shared" si="79"/>
        <v>0</v>
      </c>
      <c r="Z59" s="1810">
        <f t="shared" si="79"/>
        <v>0</v>
      </c>
      <c r="AA59" s="1810">
        <f t="shared" si="79"/>
        <v>0</v>
      </c>
      <c r="AB59" s="1810">
        <f t="shared" si="79"/>
        <v>0</v>
      </c>
      <c r="AC59" s="1810">
        <f t="shared" si="79"/>
        <v>0</v>
      </c>
      <c r="AD59" s="1810">
        <f t="shared" si="79"/>
        <v>0</v>
      </c>
      <c r="AE59" s="1810">
        <f t="shared" si="79"/>
        <v>0</v>
      </c>
      <c r="AF59" s="1810">
        <f t="shared" si="79"/>
        <v>0</v>
      </c>
      <c r="AG59" s="1810">
        <f t="shared" si="79"/>
        <v>0</v>
      </c>
      <c r="AH59" s="1810">
        <f t="shared" si="79"/>
        <v>0</v>
      </c>
      <c r="AI59" s="1810">
        <f t="shared" si="79"/>
        <v>0</v>
      </c>
      <c r="AJ59" s="876"/>
    </row>
    <row r="60" spans="1:36" ht="12.75" customHeight="1">
      <c r="A60" s="1794" t="str">
        <f>IF('Stabilized Ops &amp; Debt'!B95=0,"--",'Stabilized Ops &amp; Debt'!B95)</f>
        <v>--</v>
      </c>
      <c r="B60" s="1816"/>
      <c r="C60" s="1808"/>
      <c r="D60" s="1126">
        <f>'Stabilized Ops &amp; Debt'!E95</f>
        <v>0</v>
      </c>
      <c r="E60" s="1817"/>
      <c r="F60" s="1810">
        <f t="shared" si="80"/>
        <v>0</v>
      </c>
      <c r="G60" s="1810">
        <f t="shared" si="79"/>
        <v>0</v>
      </c>
      <c r="H60" s="1810">
        <f t="shared" si="79"/>
        <v>0</v>
      </c>
      <c r="I60" s="1810">
        <f t="shared" si="79"/>
        <v>0</v>
      </c>
      <c r="J60" s="1810">
        <f t="shared" si="79"/>
        <v>0</v>
      </c>
      <c r="K60" s="1810">
        <f t="shared" si="79"/>
        <v>0</v>
      </c>
      <c r="L60" s="1810">
        <f t="shared" si="79"/>
        <v>0</v>
      </c>
      <c r="M60" s="1810">
        <f t="shared" si="79"/>
        <v>0</v>
      </c>
      <c r="N60" s="1810">
        <f t="shared" si="79"/>
        <v>0</v>
      </c>
      <c r="O60" s="1810">
        <f t="shared" si="79"/>
        <v>0</v>
      </c>
      <c r="P60" s="1810">
        <f t="shared" si="79"/>
        <v>0</v>
      </c>
      <c r="Q60" s="1810">
        <f t="shared" si="79"/>
        <v>0</v>
      </c>
      <c r="R60" s="1810">
        <f t="shared" si="79"/>
        <v>0</v>
      </c>
      <c r="S60" s="1810">
        <f t="shared" si="79"/>
        <v>0</v>
      </c>
      <c r="T60" s="1810">
        <f t="shared" si="79"/>
        <v>0</v>
      </c>
      <c r="U60" s="1810">
        <f t="shared" si="79"/>
        <v>0</v>
      </c>
      <c r="V60" s="1810">
        <f t="shared" si="79"/>
        <v>0</v>
      </c>
      <c r="W60" s="1810">
        <f t="shared" si="79"/>
        <v>0</v>
      </c>
      <c r="X60" s="1810">
        <f t="shared" si="79"/>
        <v>0</v>
      </c>
      <c r="Y60" s="1810">
        <f t="shared" si="79"/>
        <v>0</v>
      </c>
      <c r="Z60" s="1810">
        <f t="shared" si="79"/>
        <v>0</v>
      </c>
      <c r="AA60" s="1810">
        <f t="shared" si="79"/>
        <v>0</v>
      </c>
      <c r="AB60" s="1810">
        <f t="shared" si="79"/>
        <v>0</v>
      </c>
      <c r="AC60" s="1810">
        <f t="shared" si="79"/>
        <v>0</v>
      </c>
      <c r="AD60" s="1810">
        <f t="shared" si="79"/>
        <v>0</v>
      </c>
      <c r="AE60" s="1810">
        <f t="shared" si="79"/>
        <v>0</v>
      </c>
      <c r="AF60" s="1810">
        <f t="shared" si="79"/>
        <v>0</v>
      </c>
      <c r="AG60" s="1810">
        <f t="shared" si="79"/>
        <v>0</v>
      </c>
      <c r="AH60" s="1810">
        <f t="shared" si="79"/>
        <v>0</v>
      </c>
      <c r="AI60" s="1810">
        <f t="shared" si="79"/>
        <v>0</v>
      </c>
      <c r="AJ60" s="876"/>
    </row>
    <row r="61" spans="1:36" ht="12.75" customHeight="1">
      <c r="A61" s="1794"/>
      <c r="B61" s="1816"/>
      <c r="C61" s="1808"/>
      <c r="D61" s="1800"/>
      <c r="E61" s="1801"/>
      <c r="F61" s="1815"/>
      <c r="G61" s="1815"/>
      <c r="H61" s="1815"/>
      <c r="I61" s="1815"/>
      <c r="J61" s="1815"/>
      <c r="K61" s="1815"/>
      <c r="L61" s="1815"/>
      <c r="M61" s="1815"/>
      <c r="N61" s="1815"/>
      <c r="O61" s="1815"/>
      <c r="P61" s="1815"/>
      <c r="Q61" s="1815"/>
      <c r="R61" s="1815"/>
      <c r="S61" s="1815"/>
      <c r="T61" s="1815"/>
      <c r="U61" s="1818"/>
      <c r="V61" s="1815"/>
      <c r="W61" s="1815"/>
      <c r="X61" s="1815"/>
      <c r="Y61" s="1815"/>
      <c r="Z61" s="1815"/>
      <c r="AA61" s="1815"/>
      <c r="AB61" s="1815"/>
      <c r="AC61" s="1815"/>
      <c r="AD61" s="1815"/>
      <c r="AE61" s="1815"/>
      <c r="AF61" s="1815"/>
      <c r="AG61" s="1815"/>
      <c r="AH61" s="1815"/>
      <c r="AI61" s="1815"/>
      <c r="AJ61" s="876"/>
    </row>
    <row r="62" spans="1:36" ht="12.75" customHeight="1">
      <c r="A62" s="1802" t="s">
        <v>123</v>
      </c>
      <c r="B62" s="1790"/>
      <c r="C62" s="1797"/>
      <c r="D62" s="1819"/>
      <c r="E62" s="1793"/>
      <c r="F62" s="1820">
        <f>+F46-F49-F51-F53-F58-F59-F60</f>
        <v>0</v>
      </c>
      <c r="G62" s="1820">
        <f>IFERROR(+G46-G49-G51,0)</f>
        <v>0</v>
      </c>
      <c r="H62" s="1820">
        <f>IFERROR(+H46-H49-H51,0)</f>
        <v>0</v>
      </c>
      <c r="I62" s="1820">
        <f t="shared" ref="I62:AI62" si="81">+I46-I49-I51</f>
        <v>0</v>
      </c>
      <c r="J62" s="1820">
        <f t="shared" si="81"/>
        <v>0</v>
      </c>
      <c r="K62" s="1820">
        <f t="shared" si="81"/>
        <v>0</v>
      </c>
      <c r="L62" s="1820">
        <f t="shared" si="81"/>
        <v>0</v>
      </c>
      <c r="M62" s="1820">
        <f t="shared" si="81"/>
        <v>0</v>
      </c>
      <c r="N62" s="1820">
        <f t="shared" si="81"/>
        <v>0</v>
      </c>
      <c r="O62" s="1820">
        <f t="shared" si="81"/>
        <v>0</v>
      </c>
      <c r="P62" s="1820">
        <f t="shared" si="81"/>
        <v>0</v>
      </c>
      <c r="Q62" s="1820">
        <f t="shared" si="81"/>
        <v>0</v>
      </c>
      <c r="R62" s="1820">
        <f t="shared" si="81"/>
        <v>0</v>
      </c>
      <c r="S62" s="1820">
        <f t="shared" si="81"/>
        <v>0</v>
      </c>
      <c r="T62" s="1820">
        <f t="shared" si="81"/>
        <v>0</v>
      </c>
      <c r="U62" s="1821">
        <f t="shared" si="81"/>
        <v>0</v>
      </c>
      <c r="V62" s="1820">
        <f t="shared" si="81"/>
        <v>0</v>
      </c>
      <c r="W62" s="1820">
        <f t="shared" si="81"/>
        <v>0</v>
      </c>
      <c r="X62" s="1820">
        <f t="shared" si="81"/>
        <v>0</v>
      </c>
      <c r="Y62" s="1820">
        <f t="shared" si="81"/>
        <v>0</v>
      </c>
      <c r="Z62" s="1820">
        <f t="shared" si="81"/>
        <v>0</v>
      </c>
      <c r="AA62" s="1820">
        <f t="shared" si="81"/>
        <v>0</v>
      </c>
      <c r="AB62" s="1820">
        <f t="shared" si="81"/>
        <v>0</v>
      </c>
      <c r="AC62" s="1820">
        <f t="shared" si="81"/>
        <v>0</v>
      </c>
      <c r="AD62" s="1820">
        <f t="shared" si="81"/>
        <v>0</v>
      </c>
      <c r="AE62" s="1820">
        <f t="shared" si="81"/>
        <v>0</v>
      </c>
      <c r="AF62" s="1820">
        <f t="shared" si="81"/>
        <v>0</v>
      </c>
      <c r="AG62" s="1820">
        <f t="shared" si="81"/>
        <v>0</v>
      </c>
      <c r="AH62" s="1820">
        <f t="shared" si="81"/>
        <v>0</v>
      </c>
      <c r="AI62" s="1820">
        <f t="shared" si="81"/>
        <v>0</v>
      </c>
      <c r="AJ62" s="876"/>
    </row>
    <row r="63" spans="1:36" ht="12.75" customHeight="1">
      <c r="A63" s="1822" t="s">
        <v>43</v>
      </c>
      <c r="B63" s="1823" t="s">
        <v>408</v>
      </c>
      <c r="C63" s="1824">
        <f>'Stabilized Ops &amp; Debt'!L91</f>
        <v>15</v>
      </c>
      <c r="D63" s="1792">
        <f>'Stabilized Ops &amp; Debt'!K91</f>
        <v>0</v>
      </c>
      <c r="E63" s="1793">
        <f>'Stabilized Ops &amp; Debt'!D8</f>
        <v>2.5000000000000001E-2</v>
      </c>
      <c r="F63" s="1766">
        <f t="shared" ref="F63:AI63" si="82">IF(F62&gt;0,IF(F$5&lt;=$C63,MIN($D$63*(1+$E63)^(F5-$F5),F62),0),0)</f>
        <v>0</v>
      </c>
      <c r="G63" s="1766">
        <f>IFERROR(IF(G62&gt;0,IF(G$5&lt;=$C63,MIN($D$63*(1+$E63)^(G5-$F5),G62),0),0),0)</f>
        <v>0</v>
      </c>
      <c r="H63" s="1766">
        <f>IFERROR(IF(H62&gt;0,IF(H$5&lt;=$C63,MIN($D$63*(1+$E63)^(H5-$F5),H62),0),0),0)</f>
        <v>0</v>
      </c>
      <c r="I63" s="1766">
        <f t="shared" si="82"/>
        <v>0</v>
      </c>
      <c r="J63" s="1766">
        <f t="shared" si="82"/>
        <v>0</v>
      </c>
      <c r="K63" s="1766">
        <f t="shared" si="82"/>
        <v>0</v>
      </c>
      <c r="L63" s="1766">
        <f t="shared" si="82"/>
        <v>0</v>
      </c>
      <c r="M63" s="1766">
        <f t="shared" si="82"/>
        <v>0</v>
      </c>
      <c r="N63" s="1766">
        <f t="shared" si="82"/>
        <v>0</v>
      </c>
      <c r="O63" s="1766">
        <f t="shared" si="82"/>
        <v>0</v>
      </c>
      <c r="P63" s="1766">
        <f t="shared" si="82"/>
        <v>0</v>
      </c>
      <c r="Q63" s="1766">
        <f t="shared" si="82"/>
        <v>0</v>
      </c>
      <c r="R63" s="1766">
        <f t="shared" si="82"/>
        <v>0</v>
      </c>
      <c r="S63" s="1766">
        <f t="shared" si="82"/>
        <v>0</v>
      </c>
      <c r="T63" s="1766">
        <f t="shared" si="82"/>
        <v>0</v>
      </c>
      <c r="U63" s="1768">
        <f t="shared" si="82"/>
        <v>0</v>
      </c>
      <c r="V63" s="1766">
        <f t="shared" si="82"/>
        <v>0</v>
      </c>
      <c r="W63" s="1766">
        <f t="shared" si="82"/>
        <v>0</v>
      </c>
      <c r="X63" s="1766">
        <f t="shared" si="82"/>
        <v>0</v>
      </c>
      <c r="Y63" s="1766">
        <f t="shared" si="82"/>
        <v>0</v>
      </c>
      <c r="Z63" s="1766">
        <f t="shared" si="82"/>
        <v>0</v>
      </c>
      <c r="AA63" s="1766">
        <f t="shared" si="82"/>
        <v>0</v>
      </c>
      <c r="AB63" s="1766">
        <f t="shared" si="82"/>
        <v>0</v>
      </c>
      <c r="AC63" s="1766">
        <f t="shared" si="82"/>
        <v>0</v>
      </c>
      <c r="AD63" s="1766">
        <f t="shared" si="82"/>
        <v>0</v>
      </c>
      <c r="AE63" s="1766">
        <f t="shared" si="82"/>
        <v>0</v>
      </c>
      <c r="AF63" s="1766">
        <f t="shared" si="82"/>
        <v>0</v>
      </c>
      <c r="AG63" s="1766">
        <f t="shared" si="82"/>
        <v>0</v>
      </c>
      <c r="AH63" s="1766">
        <f t="shared" si="82"/>
        <v>0</v>
      </c>
      <c r="AI63" s="1766">
        <f t="shared" si="82"/>
        <v>0</v>
      </c>
      <c r="AJ63" s="876"/>
    </row>
    <row r="64" spans="1:36" ht="12.75" customHeight="1">
      <c r="A64" s="1794" t="s">
        <v>42</v>
      </c>
      <c r="B64" s="1790"/>
      <c r="C64" s="1791"/>
      <c r="D64" s="1788"/>
      <c r="E64" s="1793"/>
      <c r="F64" s="1766">
        <f t="shared" ref="F64:AI64" si="83">+F62-F63</f>
        <v>0</v>
      </c>
      <c r="G64" s="1766">
        <f>IFERROR(+G62-G63,0)</f>
        <v>0</v>
      </c>
      <c r="H64" s="1766">
        <f>IFERROR(+H62-H63,0)</f>
        <v>0</v>
      </c>
      <c r="I64" s="1766">
        <f t="shared" si="83"/>
        <v>0</v>
      </c>
      <c r="J64" s="1766">
        <f t="shared" si="83"/>
        <v>0</v>
      </c>
      <c r="K64" s="1766">
        <f t="shared" si="83"/>
        <v>0</v>
      </c>
      <c r="L64" s="1766">
        <f t="shared" si="83"/>
        <v>0</v>
      </c>
      <c r="M64" s="1766">
        <f t="shared" si="83"/>
        <v>0</v>
      </c>
      <c r="N64" s="1766">
        <f t="shared" si="83"/>
        <v>0</v>
      </c>
      <c r="O64" s="1766">
        <f t="shared" si="83"/>
        <v>0</v>
      </c>
      <c r="P64" s="1766">
        <f t="shared" si="83"/>
        <v>0</v>
      </c>
      <c r="Q64" s="1766">
        <f t="shared" si="83"/>
        <v>0</v>
      </c>
      <c r="R64" s="1766">
        <f t="shared" si="83"/>
        <v>0</v>
      </c>
      <c r="S64" s="1766">
        <f t="shared" si="83"/>
        <v>0</v>
      </c>
      <c r="T64" s="1766">
        <f t="shared" si="83"/>
        <v>0</v>
      </c>
      <c r="U64" s="1768">
        <f t="shared" si="83"/>
        <v>0</v>
      </c>
      <c r="V64" s="1766">
        <f t="shared" si="83"/>
        <v>0</v>
      </c>
      <c r="W64" s="1766">
        <f t="shared" si="83"/>
        <v>0</v>
      </c>
      <c r="X64" s="1766">
        <f t="shared" si="83"/>
        <v>0</v>
      </c>
      <c r="Y64" s="1766">
        <f t="shared" si="83"/>
        <v>0</v>
      </c>
      <c r="Z64" s="1766">
        <f t="shared" si="83"/>
        <v>0</v>
      </c>
      <c r="AA64" s="1766">
        <f t="shared" si="83"/>
        <v>0</v>
      </c>
      <c r="AB64" s="1766">
        <f t="shared" si="83"/>
        <v>0</v>
      </c>
      <c r="AC64" s="1766">
        <f t="shared" si="83"/>
        <v>0</v>
      </c>
      <c r="AD64" s="1766">
        <f t="shared" si="83"/>
        <v>0</v>
      </c>
      <c r="AE64" s="1766">
        <f t="shared" si="83"/>
        <v>0</v>
      </c>
      <c r="AF64" s="1766">
        <f t="shared" si="83"/>
        <v>0</v>
      </c>
      <c r="AG64" s="1766">
        <f t="shared" si="83"/>
        <v>0</v>
      </c>
      <c r="AH64" s="1766">
        <f t="shared" si="83"/>
        <v>0</v>
      </c>
      <c r="AI64" s="1766">
        <f t="shared" si="83"/>
        <v>0</v>
      </c>
      <c r="AJ64" s="876"/>
    </row>
    <row r="65" spans="1:36" ht="12.75" customHeight="1">
      <c r="A65" s="1794"/>
      <c r="B65" s="1790"/>
      <c r="C65" s="1791"/>
      <c r="D65" s="1788"/>
      <c r="E65" s="1793"/>
      <c r="F65" s="1766"/>
      <c r="G65" s="1766"/>
      <c r="H65" s="1766"/>
      <c r="I65" s="1766"/>
      <c r="J65" s="1766"/>
      <c r="K65" s="1766"/>
      <c r="L65" s="1766"/>
      <c r="M65" s="1766"/>
      <c r="N65" s="1766"/>
      <c r="O65" s="1766"/>
      <c r="P65" s="1766"/>
      <c r="Q65" s="1766"/>
      <c r="R65" s="1766"/>
      <c r="S65" s="1766"/>
      <c r="T65" s="1766"/>
      <c r="U65" s="1768"/>
      <c r="V65" s="1766"/>
      <c r="W65" s="1766"/>
      <c r="X65" s="1766"/>
      <c r="Y65" s="1766"/>
      <c r="Z65" s="1766"/>
      <c r="AA65" s="1766"/>
      <c r="AB65" s="1766"/>
      <c r="AC65" s="1766"/>
      <c r="AD65" s="1766"/>
      <c r="AE65" s="1766"/>
      <c r="AF65" s="1766"/>
      <c r="AG65" s="1766"/>
      <c r="AH65" s="1766"/>
      <c r="AI65" s="1766"/>
      <c r="AJ65" s="876"/>
    </row>
    <row r="66" spans="1:36" ht="12.75" customHeight="1">
      <c r="A66" s="1825" t="s">
        <v>18</v>
      </c>
      <c r="B66" s="1790"/>
      <c r="C66" s="1791"/>
      <c r="D66" s="1138"/>
      <c r="E66" s="1793"/>
      <c r="F66" s="1365"/>
      <c r="G66" s="1766"/>
      <c r="H66" s="1766"/>
      <c r="I66" s="1766"/>
      <c r="J66" s="1766"/>
      <c r="K66" s="1766"/>
      <c r="L66" s="1766"/>
      <c r="M66" s="1766"/>
      <c r="N66" s="1766"/>
      <c r="O66" s="1766"/>
      <c r="P66" s="1766"/>
      <c r="Q66" s="1766"/>
      <c r="R66" s="1766"/>
      <c r="S66" s="1766"/>
      <c r="T66" s="1766"/>
      <c r="U66" s="1768"/>
      <c r="V66" s="1766"/>
      <c r="W66" s="1766"/>
      <c r="X66" s="1766"/>
      <c r="Y66" s="1766"/>
      <c r="Z66" s="1766"/>
      <c r="AA66" s="1766"/>
      <c r="AB66" s="1766"/>
      <c r="AC66" s="1766"/>
      <c r="AD66" s="1766"/>
      <c r="AE66" s="1766"/>
      <c r="AF66" s="1766"/>
      <c r="AG66" s="1766"/>
      <c r="AH66" s="1766"/>
      <c r="AI66" s="1766"/>
      <c r="AJ66" s="876"/>
    </row>
    <row r="67" spans="1:36" ht="12.75" customHeight="1">
      <c r="A67" s="1343" t="s">
        <v>45</v>
      </c>
      <c r="B67" s="1343"/>
      <c r="C67" s="1343"/>
      <c r="D67" s="1343"/>
      <c r="E67" s="1793"/>
      <c r="F67" s="1766">
        <f>+'Source and Uses'!E53</f>
        <v>0</v>
      </c>
      <c r="G67" s="1766">
        <f>+F67-F68</f>
        <v>0</v>
      </c>
      <c r="H67" s="1766">
        <f t="shared" ref="H67:AI67" si="84">+G67-G68</f>
        <v>0</v>
      </c>
      <c r="I67" s="1766">
        <f t="shared" si="84"/>
        <v>0</v>
      </c>
      <c r="J67" s="1766">
        <f t="shared" si="84"/>
        <v>0</v>
      </c>
      <c r="K67" s="1766">
        <f>+J67-J68</f>
        <v>0</v>
      </c>
      <c r="L67" s="1766">
        <f t="shared" si="84"/>
        <v>0</v>
      </c>
      <c r="M67" s="1766">
        <f t="shared" si="84"/>
        <v>0</v>
      </c>
      <c r="N67" s="1766">
        <f t="shared" si="84"/>
        <v>0</v>
      </c>
      <c r="O67" s="1766">
        <f t="shared" si="84"/>
        <v>0</v>
      </c>
      <c r="P67" s="1766">
        <f t="shared" si="84"/>
        <v>0</v>
      </c>
      <c r="Q67" s="1766">
        <f t="shared" si="84"/>
        <v>0</v>
      </c>
      <c r="R67" s="1766">
        <f t="shared" si="84"/>
        <v>0</v>
      </c>
      <c r="S67" s="1766">
        <f t="shared" si="84"/>
        <v>0</v>
      </c>
      <c r="T67" s="1766">
        <f t="shared" si="84"/>
        <v>0</v>
      </c>
      <c r="U67" s="1766">
        <f t="shared" si="84"/>
        <v>0</v>
      </c>
      <c r="V67" s="1766">
        <f t="shared" si="84"/>
        <v>0</v>
      </c>
      <c r="W67" s="1766">
        <f t="shared" si="84"/>
        <v>0</v>
      </c>
      <c r="X67" s="1766">
        <f t="shared" si="84"/>
        <v>0</v>
      </c>
      <c r="Y67" s="1766">
        <f t="shared" si="84"/>
        <v>0</v>
      </c>
      <c r="Z67" s="1766">
        <f t="shared" si="84"/>
        <v>0</v>
      </c>
      <c r="AA67" s="1766">
        <f t="shared" si="84"/>
        <v>0</v>
      </c>
      <c r="AB67" s="1766">
        <f t="shared" si="84"/>
        <v>0</v>
      </c>
      <c r="AC67" s="1766">
        <f t="shared" si="84"/>
        <v>0</v>
      </c>
      <c r="AD67" s="1766">
        <f t="shared" si="84"/>
        <v>0</v>
      </c>
      <c r="AE67" s="1766">
        <f t="shared" si="84"/>
        <v>0</v>
      </c>
      <c r="AF67" s="1766">
        <f t="shared" si="84"/>
        <v>0</v>
      </c>
      <c r="AG67" s="1766">
        <f t="shared" si="84"/>
        <v>0</v>
      </c>
      <c r="AH67" s="1766">
        <f t="shared" si="84"/>
        <v>0</v>
      </c>
      <c r="AI67" s="1766">
        <f t="shared" si="84"/>
        <v>0</v>
      </c>
      <c r="AJ67" s="876"/>
    </row>
    <row r="68" spans="1:36" ht="12.75" customHeight="1">
      <c r="A68" s="1343" t="s">
        <v>363</v>
      </c>
      <c r="B68" s="1826" t="s">
        <v>44</v>
      </c>
      <c r="C68" s="1827"/>
      <c r="D68" s="1828">
        <f>D78</f>
        <v>0.4</v>
      </c>
      <c r="E68" s="1793"/>
      <c r="F68" s="1766">
        <f t="shared" ref="F68:S68" si="85">IF(F64&gt;1,IF(F64*$D$68&lt;F67,F64*$D$68,IF(F67&gt;1,F67,0)),0)</f>
        <v>0</v>
      </c>
      <c r="G68" s="1766">
        <f>IFERROR(IF(G64&gt;1,IF(G64*$D$68&lt;G67,G64*$D$68,IF(G67&gt;1,G67,0)),0),0)</f>
        <v>0</v>
      </c>
      <c r="H68" s="1766">
        <f t="shared" si="85"/>
        <v>0</v>
      </c>
      <c r="I68" s="1766">
        <f t="shared" si="85"/>
        <v>0</v>
      </c>
      <c r="J68" s="1766">
        <f t="shared" si="85"/>
        <v>0</v>
      </c>
      <c r="K68" s="1766">
        <f t="shared" si="85"/>
        <v>0</v>
      </c>
      <c r="L68" s="1766">
        <f t="shared" si="85"/>
        <v>0</v>
      </c>
      <c r="M68" s="1766">
        <f t="shared" si="85"/>
        <v>0</v>
      </c>
      <c r="N68" s="1766">
        <f t="shared" si="85"/>
        <v>0</v>
      </c>
      <c r="O68" s="1766">
        <f t="shared" si="85"/>
        <v>0</v>
      </c>
      <c r="P68" s="1766">
        <f t="shared" si="85"/>
        <v>0</v>
      </c>
      <c r="Q68" s="1766">
        <f t="shared" si="85"/>
        <v>0</v>
      </c>
      <c r="R68" s="1766">
        <f t="shared" si="85"/>
        <v>0</v>
      </c>
      <c r="S68" s="1766">
        <f t="shared" si="85"/>
        <v>0</v>
      </c>
      <c r="T68" s="876"/>
      <c r="U68" s="1768">
        <f t="shared" ref="U68:AI68" si="86">IF(U64&gt;1,IF(U64*$D$68&lt;U67,U64*$D$68,IF(U67&gt;1,U67,0)),0)</f>
        <v>0</v>
      </c>
      <c r="V68" s="1766">
        <f t="shared" si="86"/>
        <v>0</v>
      </c>
      <c r="W68" s="1766">
        <f t="shared" si="86"/>
        <v>0</v>
      </c>
      <c r="X68" s="1766">
        <f t="shared" si="86"/>
        <v>0</v>
      </c>
      <c r="Y68" s="1766">
        <f t="shared" si="86"/>
        <v>0</v>
      </c>
      <c r="Z68" s="1766">
        <f t="shared" si="86"/>
        <v>0</v>
      </c>
      <c r="AA68" s="1766">
        <f t="shared" si="86"/>
        <v>0</v>
      </c>
      <c r="AB68" s="1766">
        <f t="shared" si="86"/>
        <v>0</v>
      </c>
      <c r="AC68" s="1766">
        <f t="shared" si="86"/>
        <v>0</v>
      </c>
      <c r="AD68" s="1766">
        <f t="shared" si="86"/>
        <v>0</v>
      </c>
      <c r="AE68" s="1766">
        <f t="shared" si="86"/>
        <v>0</v>
      </c>
      <c r="AF68" s="1766">
        <f t="shared" si="86"/>
        <v>0</v>
      </c>
      <c r="AG68" s="1766">
        <f t="shared" si="86"/>
        <v>0</v>
      </c>
      <c r="AH68" s="1766">
        <f t="shared" si="86"/>
        <v>0</v>
      </c>
      <c r="AI68" s="1766">
        <f t="shared" si="86"/>
        <v>0</v>
      </c>
      <c r="AJ68" s="876"/>
    </row>
    <row r="69" spans="1:36" ht="12.75" customHeight="1">
      <c r="A69" s="1802"/>
      <c r="B69" s="1790"/>
      <c r="C69" s="1791"/>
      <c r="D69" s="1788"/>
      <c r="E69" s="1793"/>
      <c r="F69" s="1766"/>
      <c r="G69" s="1766"/>
      <c r="H69" s="1766"/>
      <c r="I69" s="1766"/>
      <c r="J69" s="1766"/>
      <c r="K69" s="1766"/>
      <c r="L69" s="1766"/>
      <c r="M69" s="1766"/>
      <c r="N69" s="1766"/>
      <c r="O69" s="1766"/>
      <c r="P69" s="1766"/>
      <c r="Q69" s="1766"/>
      <c r="R69" s="1766"/>
      <c r="S69" s="1766"/>
      <c r="T69" s="1766">
        <f>IF(T64&gt;1,IF(T64*$D$68&lt;T67,T64*$D$68,IF(T67&gt;1,T67,0)),0)</f>
        <v>0</v>
      </c>
      <c r="U69" s="1768"/>
      <c r="V69" s="1766"/>
      <c r="W69" s="1766"/>
      <c r="X69" s="1766"/>
      <c r="Y69" s="1766"/>
      <c r="Z69" s="1766"/>
      <c r="AA69" s="1766"/>
      <c r="AB69" s="1766"/>
      <c r="AC69" s="1766"/>
      <c r="AD69" s="1766"/>
      <c r="AE69" s="1766"/>
      <c r="AF69" s="1766"/>
      <c r="AG69" s="1766"/>
      <c r="AH69" s="1766"/>
      <c r="AI69" s="1766"/>
      <c r="AJ69" s="876"/>
    </row>
    <row r="70" spans="1:36" ht="12.75" customHeight="1">
      <c r="A70" s="1802" t="s">
        <v>17</v>
      </c>
      <c r="B70" s="1788"/>
      <c r="C70" s="1829"/>
      <c r="D70" s="1788"/>
      <c r="E70" s="1793"/>
      <c r="F70" s="1820">
        <f t="shared" ref="F70:S70" si="87">+F64-F68</f>
        <v>0</v>
      </c>
      <c r="G70" s="1820">
        <f>IFERROR(+G64-G68,0)</f>
        <v>0</v>
      </c>
      <c r="H70" s="1820">
        <f t="shared" si="87"/>
        <v>0</v>
      </c>
      <c r="I70" s="1820">
        <f t="shared" si="87"/>
        <v>0</v>
      </c>
      <c r="J70" s="1820">
        <f t="shared" si="87"/>
        <v>0</v>
      </c>
      <c r="K70" s="1820">
        <f t="shared" si="87"/>
        <v>0</v>
      </c>
      <c r="L70" s="1820">
        <f t="shared" si="87"/>
        <v>0</v>
      </c>
      <c r="M70" s="1820">
        <f t="shared" si="87"/>
        <v>0</v>
      </c>
      <c r="N70" s="1820">
        <f t="shared" si="87"/>
        <v>0</v>
      </c>
      <c r="O70" s="1820">
        <f t="shared" si="87"/>
        <v>0</v>
      </c>
      <c r="P70" s="1820">
        <f t="shared" si="87"/>
        <v>0</v>
      </c>
      <c r="Q70" s="1820">
        <f t="shared" si="87"/>
        <v>0</v>
      </c>
      <c r="R70" s="1820">
        <f t="shared" si="87"/>
        <v>0</v>
      </c>
      <c r="S70" s="1820">
        <f t="shared" si="87"/>
        <v>0</v>
      </c>
      <c r="T70" s="1820">
        <f>+T64-T69</f>
        <v>0</v>
      </c>
      <c r="U70" s="1821">
        <f t="shared" ref="U70:AI70" si="88">+U64-U68</f>
        <v>0</v>
      </c>
      <c r="V70" s="1820">
        <f t="shared" si="88"/>
        <v>0</v>
      </c>
      <c r="W70" s="1820">
        <f t="shared" si="88"/>
        <v>0</v>
      </c>
      <c r="X70" s="1820">
        <f t="shared" si="88"/>
        <v>0</v>
      </c>
      <c r="Y70" s="1820">
        <f t="shared" si="88"/>
        <v>0</v>
      </c>
      <c r="Z70" s="1820">
        <f t="shared" si="88"/>
        <v>0</v>
      </c>
      <c r="AA70" s="1820">
        <f t="shared" si="88"/>
        <v>0</v>
      </c>
      <c r="AB70" s="1820">
        <f t="shared" si="88"/>
        <v>0</v>
      </c>
      <c r="AC70" s="1820">
        <f t="shared" si="88"/>
        <v>0</v>
      </c>
      <c r="AD70" s="1820">
        <f t="shared" si="88"/>
        <v>0</v>
      </c>
      <c r="AE70" s="1820">
        <f t="shared" si="88"/>
        <v>0</v>
      </c>
      <c r="AF70" s="1820">
        <f t="shared" si="88"/>
        <v>0</v>
      </c>
      <c r="AG70" s="1820">
        <f t="shared" si="88"/>
        <v>0</v>
      </c>
      <c r="AH70" s="1820">
        <f t="shared" si="88"/>
        <v>0</v>
      </c>
      <c r="AI70" s="1820">
        <f t="shared" si="88"/>
        <v>0</v>
      </c>
      <c r="AJ70" s="876"/>
    </row>
    <row r="71" spans="1:36" ht="12.75" customHeight="1">
      <c r="A71" s="1794" t="s">
        <v>668</v>
      </c>
      <c r="B71" s="1823" t="s">
        <v>408</v>
      </c>
      <c r="C71" s="1824">
        <f>'Stabilized Ops &amp; Debt'!L90</f>
        <v>15</v>
      </c>
      <c r="D71" s="1792">
        <f>'Stabilized Ops &amp; Debt'!K90</f>
        <v>0</v>
      </c>
      <c r="E71" s="1793">
        <f>'Stabilized Ops &amp; Debt'!D9</f>
        <v>2.5000000000000001E-2</v>
      </c>
      <c r="F71" s="1766">
        <f t="shared" ref="F71:AI71" si="89">IF(F70&gt;0,IF(F$5&lt;=$C71,MIN($D$71*(1+$E71)^(F5-$F5),F70),0),0)</f>
        <v>0</v>
      </c>
      <c r="G71" s="1766">
        <f>IFERROR(IF(G70&gt;0,IF(G$5&lt;=$C71,MIN($D$71*(1+$E71)^(G5-$F5),G70),0),0),0)</f>
        <v>0</v>
      </c>
      <c r="H71" s="1766">
        <f t="shared" si="89"/>
        <v>0</v>
      </c>
      <c r="I71" s="1766">
        <f t="shared" si="89"/>
        <v>0</v>
      </c>
      <c r="J71" s="1766">
        <f t="shared" si="89"/>
        <v>0</v>
      </c>
      <c r="K71" s="1766">
        <f t="shared" si="89"/>
        <v>0</v>
      </c>
      <c r="L71" s="1766">
        <f t="shared" si="89"/>
        <v>0</v>
      </c>
      <c r="M71" s="1766">
        <f t="shared" si="89"/>
        <v>0</v>
      </c>
      <c r="N71" s="1766">
        <f t="shared" si="89"/>
        <v>0</v>
      </c>
      <c r="O71" s="1766">
        <f t="shared" si="89"/>
        <v>0</v>
      </c>
      <c r="P71" s="1766">
        <f t="shared" si="89"/>
        <v>0</v>
      </c>
      <c r="Q71" s="1766">
        <f t="shared" si="89"/>
        <v>0</v>
      </c>
      <c r="R71" s="1766">
        <f t="shared" si="89"/>
        <v>0</v>
      </c>
      <c r="S71" s="1766">
        <f t="shared" si="89"/>
        <v>0</v>
      </c>
      <c r="T71" s="1766">
        <f t="shared" si="89"/>
        <v>0</v>
      </c>
      <c r="U71" s="1768">
        <f t="shared" si="89"/>
        <v>0</v>
      </c>
      <c r="V71" s="1766">
        <f t="shared" si="89"/>
        <v>0</v>
      </c>
      <c r="W71" s="1766">
        <f t="shared" si="89"/>
        <v>0</v>
      </c>
      <c r="X71" s="1766">
        <f t="shared" si="89"/>
        <v>0</v>
      </c>
      <c r="Y71" s="1766">
        <f t="shared" si="89"/>
        <v>0</v>
      </c>
      <c r="Z71" s="1766">
        <f t="shared" si="89"/>
        <v>0</v>
      </c>
      <c r="AA71" s="1766">
        <f t="shared" si="89"/>
        <v>0</v>
      </c>
      <c r="AB71" s="1766">
        <f t="shared" si="89"/>
        <v>0</v>
      </c>
      <c r="AC71" s="1766">
        <f t="shared" si="89"/>
        <v>0</v>
      </c>
      <c r="AD71" s="1766">
        <f t="shared" si="89"/>
        <v>0</v>
      </c>
      <c r="AE71" s="1766">
        <f t="shared" si="89"/>
        <v>0</v>
      </c>
      <c r="AF71" s="1766">
        <f t="shared" si="89"/>
        <v>0</v>
      </c>
      <c r="AG71" s="1766">
        <f t="shared" si="89"/>
        <v>0</v>
      </c>
      <c r="AH71" s="1766">
        <f t="shared" si="89"/>
        <v>0</v>
      </c>
      <c r="AI71" s="1766">
        <f t="shared" si="89"/>
        <v>0</v>
      </c>
      <c r="AJ71" s="876"/>
    </row>
    <row r="72" spans="1:36" ht="12.75" customHeight="1">
      <c r="A72" s="1794" t="str">
        <f>A85</f>
        <v>Oakland City Loan(s)</v>
      </c>
      <c r="B72" s="1791" t="str">
        <f>B85</f>
        <v>Resid. Receipts</v>
      </c>
      <c r="C72" s="1829"/>
      <c r="D72" s="1830">
        <f>'Stabilized Ops &amp; Debt'!M56</f>
        <v>0</v>
      </c>
      <c r="E72" s="1793"/>
      <c r="F72" s="1766">
        <f>IF($B72="Surplus Cash",F$70*$D72,0)</f>
        <v>0</v>
      </c>
      <c r="G72" s="1766">
        <f t="shared" ref="G72:AI77" si="90">IF($B72="Surplus Cash",G$70*$D72,0)</f>
        <v>0</v>
      </c>
      <c r="H72" s="1766">
        <f t="shared" si="90"/>
        <v>0</v>
      </c>
      <c r="I72" s="1766">
        <f t="shared" si="90"/>
        <v>0</v>
      </c>
      <c r="J72" s="1766">
        <f t="shared" si="90"/>
        <v>0</v>
      </c>
      <c r="K72" s="1766">
        <f t="shared" si="90"/>
        <v>0</v>
      </c>
      <c r="L72" s="1766">
        <f t="shared" si="90"/>
        <v>0</v>
      </c>
      <c r="M72" s="1766">
        <f t="shared" si="90"/>
        <v>0</v>
      </c>
      <c r="N72" s="1766">
        <f t="shared" si="90"/>
        <v>0</v>
      </c>
      <c r="O72" s="1766">
        <f t="shared" si="90"/>
        <v>0</v>
      </c>
      <c r="P72" s="1766">
        <f t="shared" si="90"/>
        <v>0</v>
      </c>
      <c r="Q72" s="1766">
        <f t="shared" si="90"/>
        <v>0</v>
      </c>
      <c r="R72" s="1766">
        <f t="shared" si="90"/>
        <v>0</v>
      </c>
      <c r="S72" s="1766">
        <f t="shared" si="90"/>
        <v>0</v>
      </c>
      <c r="T72" s="1766">
        <f t="shared" si="90"/>
        <v>0</v>
      </c>
      <c r="U72" s="1768">
        <f t="shared" si="90"/>
        <v>0</v>
      </c>
      <c r="V72" s="1766">
        <f t="shared" si="90"/>
        <v>0</v>
      </c>
      <c r="W72" s="1766">
        <f t="shared" si="90"/>
        <v>0</v>
      </c>
      <c r="X72" s="1766">
        <f t="shared" si="90"/>
        <v>0</v>
      </c>
      <c r="Y72" s="1766">
        <f t="shared" si="90"/>
        <v>0</v>
      </c>
      <c r="Z72" s="1766">
        <f t="shared" si="90"/>
        <v>0</v>
      </c>
      <c r="AA72" s="1766">
        <f t="shared" si="90"/>
        <v>0</v>
      </c>
      <c r="AB72" s="1766">
        <f t="shared" si="90"/>
        <v>0</v>
      </c>
      <c r="AC72" s="1766">
        <f t="shared" si="90"/>
        <v>0</v>
      </c>
      <c r="AD72" s="1766">
        <f t="shared" si="90"/>
        <v>0</v>
      </c>
      <c r="AE72" s="1766">
        <f t="shared" si="90"/>
        <v>0</v>
      </c>
      <c r="AF72" s="1766">
        <f t="shared" si="90"/>
        <v>0</v>
      </c>
      <c r="AG72" s="1766">
        <f t="shared" si="90"/>
        <v>0</v>
      </c>
      <c r="AH72" s="1766">
        <f t="shared" si="90"/>
        <v>0</v>
      </c>
      <c r="AI72" s="1766">
        <f t="shared" si="90"/>
        <v>0</v>
      </c>
      <c r="AJ72" s="876"/>
    </row>
    <row r="73" spans="1:36" ht="12.75" customHeight="1">
      <c r="A73" s="1794" t="str">
        <f>A90</f>
        <v>--</v>
      </c>
      <c r="B73" s="1831" t="str">
        <f>B90</f>
        <v>Resid. Receipts</v>
      </c>
      <c r="C73" s="1797"/>
      <c r="D73" s="1830">
        <f>'Stabilized Ops &amp; Debt'!M61</f>
        <v>0</v>
      </c>
      <c r="E73" s="1793"/>
      <c r="F73" s="1766">
        <f t="shared" ref="F73:U78" si="91">IF($B73="Surplus Cash",F$70*$D73,0)</f>
        <v>0</v>
      </c>
      <c r="G73" s="1766">
        <f t="shared" si="91"/>
        <v>0</v>
      </c>
      <c r="H73" s="1766">
        <f t="shared" si="91"/>
        <v>0</v>
      </c>
      <c r="I73" s="1766">
        <f t="shared" si="91"/>
        <v>0</v>
      </c>
      <c r="J73" s="1766">
        <f t="shared" si="91"/>
        <v>0</v>
      </c>
      <c r="K73" s="1766">
        <f t="shared" si="91"/>
        <v>0</v>
      </c>
      <c r="L73" s="1766">
        <f t="shared" si="91"/>
        <v>0</v>
      </c>
      <c r="M73" s="1766">
        <f t="shared" si="91"/>
        <v>0</v>
      </c>
      <c r="N73" s="1766">
        <f t="shared" si="91"/>
        <v>0</v>
      </c>
      <c r="O73" s="1766">
        <f t="shared" si="91"/>
        <v>0</v>
      </c>
      <c r="P73" s="1766">
        <f t="shared" si="91"/>
        <v>0</v>
      </c>
      <c r="Q73" s="1766">
        <f t="shared" si="91"/>
        <v>0</v>
      </c>
      <c r="R73" s="1766">
        <f t="shared" si="91"/>
        <v>0</v>
      </c>
      <c r="S73" s="1766">
        <f t="shared" si="91"/>
        <v>0</v>
      </c>
      <c r="T73" s="1766">
        <f t="shared" si="91"/>
        <v>0</v>
      </c>
      <c r="U73" s="1768">
        <f t="shared" si="91"/>
        <v>0</v>
      </c>
      <c r="V73" s="1766">
        <f t="shared" si="90"/>
        <v>0</v>
      </c>
      <c r="W73" s="1766">
        <f t="shared" si="90"/>
        <v>0</v>
      </c>
      <c r="X73" s="1766">
        <f t="shared" si="90"/>
        <v>0</v>
      </c>
      <c r="Y73" s="1766">
        <f t="shared" si="90"/>
        <v>0</v>
      </c>
      <c r="Z73" s="1766">
        <f t="shared" si="90"/>
        <v>0</v>
      </c>
      <c r="AA73" s="1766">
        <f t="shared" si="90"/>
        <v>0</v>
      </c>
      <c r="AB73" s="1766">
        <f t="shared" si="90"/>
        <v>0</v>
      </c>
      <c r="AC73" s="1766">
        <f t="shared" si="90"/>
        <v>0</v>
      </c>
      <c r="AD73" s="1766">
        <f t="shared" si="90"/>
        <v>0</v>
      </c>
      <c r="AE73" s="1766">
        <f t="shared" si="90"/>
        <v>0</v>
      </c>
      <c r="AF73" s="1766">
        <f t="shared" si="90"/>
        <v>0</v>
      </c>
      <c r="AG73" s="1766">
        <f t="shared" si="90"/>
        <v>0</v>
      </c>
      <c r="AH73" s="1766">
        <f t="shared" si="90"/>
        <v>0</v>
      </c>
      <c r="AI73" s="1766">
        <f t="shared" si="90"/>
        <v>0</v>
      </c>
      <c r="AJ73" s="876"/>
    </row>
    <row r="74" spans="1:36" ht="12.75" customHeight="1">
      <c r="A74" s="1794">
        <f>A95</f>
        <v>0</v>
      </c>
      <c r="B74" s="1831" t="str">
        <f>B95</f>
        <v>Resid. Receipts</v>
      </c>
      <c r="C74" s="1817"/>
      <c r="D74" s="1830">
        <f>'Stabilized Ops &amp; Debt'!M66</f>
        <v>0</v>
      </c>
      <c r="E74" s="1793"/>
      <c r="F74" s="1766">
        <f t="shared" si="91"/>
        <v>0</v>
      </c>
      <c r="G74" s="1766">
        <f t="shared" si="91"/>
        <v>0</v>
      </c>
      <c r="H74" s="1766">
        <f t="shared" si="91"/>
        <v>0</v>
      </c>
      <c r="I74" s="1766">
        <f t="shared" si="91"/>
        <v>0</v>
      </c>
      <c r="J74" s="1766">
        <f t="shared" si="91"/>
        <v>0</v>
      </c>
      <c r="K74" s="1766">
        <f t="shared" si="91"/>
        <v>0</v>
      </c>
      <c r="L74" s="1766">
        <f t="shared" si="90"/>
        <v>0</v>
      </c>
      <c r="M74" s="1766">
        <f t="shared" si="90"/>
        <v>0</v>
      </c>
      <c r="N74" s="1766">
        <f t="shared" si="90"/>
        <v>0</v>
      </c>
      <c r="O74" s="1766">
        <f t="shared" si="90"/>
        <v>0</v>
      </c>
      <c r="P74" s="1766">
        <f t="shared" si="90"/>
        <v>0</v>
      </c>
      <c r="Q74" s="1766">
        <f t="shared" si="90"/>
        <v>0</v>
      </c>
      <c r="R74" s="1766">
        <f t="shared" si="90"/>
        <v>0</v>
      </c>
      <c r="S74" s="1766">
        <f t="shared" si="90"/>
        <v>0</v>
      </c>
      <c r="T74" s="1766">
        <f t="shared" si="90"/>
        <v>0</v>
      </c>
      <c r="U74" s="1768">
        <f t="shared" si="90"/>
        <v>0</v>
      </c>
      <c r="V74" s="1766">
        <f t="shared" si="90"/>
        <v>0</v>
      </c>
      <c r="W74" s="1766">
        <f t="shared" si="90"/>
        <v>0</v>
      </c>
      <c r="X74" s="1766">
        <f t="shared" si="90"/>
        <v>0</v>
      </c>
      <c r="Y74" s="1766">
        <f t="shared" si="90"/>
        <v>0</v>
      </c>
      <c r="Z74" s="1766">
        <f t="shared" si="90"/>
        <v>0</v>
      </c>
      <c r="AA74" s="1766">
        <f t="shared" si="90"/>
        <v>0</v>
      </c>
      <c r="AB74" s="1766">
        <f t="shared" si="90"/>
        <v>0</v>
      </c>
      <c r="AC74" s="1766">
        <f t="shared" si="90"/>
        <v>0</v>
      </c>
      <c r="AD74" s="1766">
        <f t="shared" si="90"/>
        <v>0</v>
      </c>
      <c r="AE74" s="1766">
        <f t="shared" si="90"/>
        <v>0</v>
      </c>
      <c r="AF74" s="1766">
        <f t="shared" si="90"/>
        <v>0</v>
      </c>
      <c r="AG74" s="1766">
        <f t="shared" si="90"/>
        <v>0</v>
      </c>
      <c r="AH74" s="1766">
        <f t="shared" si="90"/>
        <v>0</v>
      </c>
      <c r="AI74" s="1766">
        <f t="shared" si="90"/>
        <v>0</v>
      </c>
      <c r="AJ74" s="876"/>
    </row>
    <row r="75" spans="1:36" ht="12.75" customHeight="1">
      <c r="A75" s="1794" t="str">
        <f>IF(A100=0,"-",A100)</f>
        <v>--</v>
      </c>
      <c r="B75" s="1831" t="str">
        <f>B100</f>
        <v>Resid. Receipts</v>
      </c>
      <c r="C75" s="1817"/>
      <c r="D75" s="1830">
        <f>'Stabilized Ops &amp; Debt'!M71</f>
        <v>0</v>
      </c>
      <c r="E75" s="1793"/>
      <c r="F75" s="1766">
        <f t="shared" si="91"/>
        <v>0</v>
      </c>
      <c r="G75" s="1766">
        <f t="shared" si="91"/>
        <v>0</v>
      </c>
      <c r="H75" s="1766">
        <f t="shared" si="91"/>
        <v>0</v>
      </c>
      <c r="I75" s="1766">
        <f t="shared" si="91"/>
        <v>0</v>
      </c>
      <c r="J75" s="1766">
        <f t="shared" si="91"/>
        <v>0</v>
      </c>
      <c r="K75" s="1766">
        <f t="shared" si="91"/>
        <v>0</v>
      </c>
      <c r="L75" s="1766">
        <f t="shared" si="91"/>
        <v>0</v>
      </c>
      <c r="M75" s="1766">
        <f t="shared" si="91"/>
        <v>0</v>
      </c>
      <c r="N75" s="1766">
        <f t="shared" si="91"/>
        <v>0</v>
      </c>
      <c r="O75" s="1766">
        <f t="shared" si="91"/>
        <v>0</v>
      </c>
      <c r="P75" s="1766">
        <f t="shared" si="91"/>
        <v>0</v>
      </c>
      <c r="Q75" s="1766">
        <f t="shared" si="91"/>
        <v>0</v>
      </c>
      <c r="R75" s="1766">
        <f t="shared" si="91"/>
        <v>0</v>
      </c>
      <c r="S75" s="1766">
        <f t="shared" si="91"/>
        <v>0</v>
      </c>
      <c r="T75" s="1766">
        <f t="shared" si="91"/>
        <v>0</v>
      </c>
      <c r="U75" s="1766">
        <f t="shared" si="91"/>
        <v>0</v>
      </c>
      <c r="V75" s="1766">
        <f t="shared" si="90"/>
        <v>0</v>
      </c>
      <c r="W75" s="1766">
        <f t="shared" si="90"/>
        <v>0</v>
      </c>
      <c r="X75" s="1766">
        <f t="shared" si="90"/>
        <v>0</v>
      </c>
      <c r="Y75" s="1766">
        <f t="shared" si="90"/>
        <v>0</v>
      </c>
      <c r="Z75" s="1766">
        <f t="shared" si="90"/>
        <v>0</v>
      </c>
      <c r="AA75" s="1766">
        <f t="shared" si="90"/>
        <v>0</v>
      </c>
      <c r="AB75" s="1766">
        <f t="shared" si="90"/>
        <v>0</v>
      </c>
      <c r="AC75" s="1766">
        <f t="shared" si="90"/>
        <v>0</v>
      </c>
      <c r="AD75" s="1766">
        <f t="shared" si="90"/>
        <v>0</v>
      </c>
      <c r="AE75" s="1766">
        <f t="shared" si="90"/>
        <v>0</v>
      </c>
      <c r="AF75" s="1766">
        <f t="shared" si="90"/>
        <v>0</v>
      </c>
      <c r="AG75" s="1766">
        <f t="shared" si="90"/>
        <v>0</v>
      </c>
      <c r="AH75" s="1766">
        <f t="shared" si="90"/>
        <v>0</v>
      </c>
      <c r="AI75" s="1766">
        <f t="shared" si="90"/>
        <v>0</v>
      </c>
      <c r="AJ75" s="876"/>
    </row>
    <row r="76" spans="1:36" ht="12.75" customHeight="1">
      <c r="A76" s="1794" t="str">
        <f>IF(A101=0,"-",A101)</f>
        <v xml:space="preserve">   Beginning Balance</v>
      </c>
      <c r="B76" s="1831" t="str">
        <f>B105</f>
        <v>Resid. Receipts</v>
      </c>
      <c r="C76" s="1817"/>
      <c r="D76" s="1830">
        <f>'Stabilized Ops &amp; Debt'!M76</f>
        <v>0</v>
      </c>
      <c r="E76" s="1793"/>
      <c r="F76" s="1766">
        <f t="shared" si="91"/>
        <v>0</v>
      </c>
      <c r="G76" s="1766">
        <f t="shared" si="90"/>
        <v>0</v>
      </c>
      <c r="H76" s="1766">
        <f t="shared" si="90"/>
        <v>0</v>
      </c>
      <c r="I76" s="1766">
        <f t="shared" si="90"/>
        <v>0</v>
      </c>
      <c r="J76" s="1766">
        <f t="shared" si="90"/>
        <v>0</v>
      </c>
      <c r="K76" s="1766">
        <f t="shared" si="90"/>
        <v>0</v>
      </c>
      <c r="L76" s="1766">
        <f t="shared" si="90"/>
        <v>0</v>
      </c>
      <c r="M76" s="1766">
        <f t="shared" si="90"/>
        <v>0</v>
      </c>
      <c r="N76" s="1766">
        <f t="shared" si="90"/>
        <v>0</v>
      </c>
      <c r="O76" s="1766">
        <f t="shared" si="90"/>
        <v>0</v>
      </c>
      <c r="P76" s="1766">
        <f t="shared" si="90"/>
        <v>0</v>
      </c>
      <c r="Q76" s="1766">
        <f t="shared" si="90"/>
        <v>0</v>
      </c>
      <c r="R76" s="1766">
        <f t="shared" si="90"/>
        <v>0</v>
      </c>
      <c r="S76" s="1766">
        <f t="shared" si="90"/>
        <v>0</v>
      </c>
      <c r="T76" s="1766">
        <f t="shared" si="90"/>
        <v>0</v>
      </c>
      <c r="U76" s="1766">
        <f t="shared" si="90"/>
        <v>0</v>
      </c>
      <c r="V76" s="1766">
        <f t="shared" si="90"/>
        <v>0</v>
      </c>
      <c r="W76" s="1766">
        <f t="shared" si="90"/>
        <v>0</v>
      </c>
      <c r="X76" s="1766">
        <f t="shared" si="90"/>
        <v>0</v>
      </c>
      <c r="Y76" s="1766">
        <f t="shared" si="90"/>
        <v>0</v>
      </c>
      <c r="Z76" s="1766">
        <f t="shared" si="90"/>
        <v>0</v>
      </c>
      <c r="AA76" s="1766">
        <f t="shared" si="90"/>
        <v>0</v>
      </c>
      <c r="AB76" s="1766">
        <f t="shared" si="90"/>
        <v>0</v>
      </c>
      <c r="AC76" s="1766">
        <f t="shared" si="90"/>
        <v>0</v>
      </c>
      <c r="AD76" s="1766">
        <f t="shared" si="90"/>
        <v>0</v>
      </c>
      <c r="AE76" s="1766">
        <f t="shared" si="90"/>
        <v>0</v>
      </c>
      <c r="AF76" s="1766">
        <f t="shared" si="90"/>
        <v>0</v>
      </c>
      <c r="AG76" s="1766">
        <f t="shared" si="90"/>
        <v>0</v>
      </c>
      <c r="AH76" s="1766">
        <f t="shared" si="90"/>
        <v>0</v>
      </c>
      <c r="AI76" s="1766">
        <f t="shared" si="90"/>
        <v>0</v>
      </c>
      <c r="AJ76" s="876"/>
    </row>
    <row r="77" spans="1:36" ht="12.75" customHeight="1">
      <c r="A77" s="1794" t="str">
        <f>IF(A102=0,"-",A102)</f>
        <v xml:space="preserve">   Interest</v>
      </c>
      <c r="B77" s="1831" t="str">
        <f>B110</f>
        <v>Deferred</v>
      </c>
      <c r="C77" s="1817"/>
      <c r="D77" s="1830">
        <f>'Stabilized Ops &amp; Debt'!M81</f>
        <v>0</v>
      </c>
      <c r="E77" s="1793"/>
      <c r="F77" s="1766">
        <f t="shared" si="91"/>
        <v>0</v>
      </c>
      <c r="G77" s="1766">
        <f t="shared" si="90"/>
        <v>0</v>
      </c>
      <c r="H77" s="1766">
        <f t="shared" si="90"/>
        <v>0</v>
      </c>
      <c r="I77" s="1766">
        <f t="shared" si="90"/>
        <v>0</v>
      </c>
      <c r="J77" s="1766">
        <f t="shared" si="90"/>
        <v>0</v>
      </c>
      <c r="K77" s="1766">
        <f t="shared" si="90"/>
        <v>0</v>
      </c>
      <c r="L77" s="1766">
        <f t="shared" si="90"/>
        <v>0</v>
      </c>
      <c r="M77" s="1766">
        <f t="shared" si="90"/>
        <v>0</v>
      </c>
      <c r="N77" s="1766">
        <f t="shared" si="90"/>
        <v>0</v>
      </c>
      <c r="O77" s="1766">
        <f t="shared" si="90"/>
        <v>0</v>
      </c>
      <c r="P77" s="1766">
        <f t="shared" si="90"/>
        <v>0</v>
      </c>
      <c r="Q77" s="1766">
        <f t="shared" si="90"/>
        <v>0</v>
      </c>
      <c r="R77" s="1766">
        <f t="shared" si="90"/>
        <v>0</v>
      </c>
      <c r="S77" s="1766">
        <f t="shared" si="90"/>
        <v>0</v>
      </c>
      <c r="T77" s="1766">
        <f t="shared" si="90"/>
        <v>0</v>
      </c>
      <c r="U77" s="1766">
        <f t="shared" si="90"/>
        <v>0</v>
      </c>
      <c r="V77" s="1766">
        <f t="shared" si="90"/>
        <v>0</v>
      </c>
      <c r="W77" s="1766">
        <f t="shared" si="90"/>
        <v>0</v>
      </c>
      <c r="X77" s="1766">
        <f t="shared" si="90"/>
        <v>0</v>
      </c>
      <c r="Y77" s="1766">
        <f t="shared" si="90"/>
        <v>0</v>
      </c>
      <c r="Z77" s="1766">
        <f t="shared" si="90"/>
        <v>0</v>
      </c>
      <c r="AA77" s="1766">
        <f t="shared" si="90"/>
        <v>0</v>
      </c>
      <c r="AB77" s="1766">
        <f t="shared" si="90"/>
        <v>0</v>
      </c>
      <c r="AC77" s="1766">
        <f t="shared" si="90"/>
        <v>0</v>
      </c>
      <c r="AD77" s="1766">
        <f t="shared" si="90"/>
        <v>0</v>
      </c>
      <c r="AE77" s="1766">
        <f t="shared" si="90"/>
        <v>0</v>
      </c>
      <c r="AF77" s="1766">
        <f t="shared" si="90"/>
        <v>0</v>
      </c>
      <c r="AG77" s="1766">
        <f t="shared" si="90"/>
        <v>0</v>
      </c>
      <c r="AH77" s="1766">
        <f t="shared" si="90"/>
        <v>0</v>
      </c>
      <c r="AI77" s="1766">
        <f t="shared" si="90"/>
        <v>0</v>
      </c>
      <c r="AJ77" s="876"/>
    </row>
    <row r="78" spans="1:36" ht="12.75" customHeight="1">
      <c r="A78" s="1832" t="s">
        <v>441</v>
      </c>
      <c r="B78" s="1093"/>
      <c r="C78" s="1808"/>
      <c r="D78" s="1830">
        <f>'Stabilized Ops &amp; Debt'!M85</f>
        <v>0.4</v>
      </c>
      <c r="E78" s="1793"/>
      <c r="F78" s="1766">
        <f t="shared" si="91"/>
        <v>0</v>
      </c>
      <c r="G78" s="1766">
        <f>IFERROR(IF(G$70&gt;0,G$70*$D78,0),0)</f>
        <v>0</v>
      </c>
      <c r="H78" s="1766">
        <f t="shared" ref="H78:J78" si="92">IF(H$70&gt;0,H$70*$D78,0)</f>
        <v>0</v>
      </c>
      <c r="I78" s="1766">
        <f t="shared" si="92"/>
        <v>0</v>
      </c>
      <c r="J78" s="1766">
        <f t="shared" si="92"/>
        <v>0</v>
      </c>
      <c r="K78" s="1766">
        <f t="shared" ref="K78:AI78" si="93">IF(K$70&gt;0,K$70*$D78,0)</f>
        <v>0</v>
      </c>
      <c r="L78" s="1766">
        <f t="shared" si="93"/>
        <v>0</v>
      </c>
      <c r="M78" s="1766">
        <f t="shared" si="93"/>
        <v>0</v>
      </c>
      <c r="N78" s="1766">
        <f t="shared" si="93"/>
        <v>0</v>
      </c>
      <c r="O78" s="1766">
        <f t="shared" si="93"/>
        <v>0</v>
      </c>
      <c r="P78" s="1766">
        <f t="shared" si="93"/>
        <v>0</v>
      </c>
      <c r="Q78" s="1766">
        <f t="shared" si="93"/>
        <v>0</v>
      </c>
      <c r="R78" s="1766">
        <f t="shared" si="93"/>
        <v>0</v>
      </c>
      <c r="S78" s="1766">
        <f t="shared" si="93"/>
        <v>0</v>
      </c>
      <c r="T78" s="1766">
        <f t="shared" si="93"/>
        <v>0</v>
      </c>
      <c r="U78" s="1768">
        <f t="shared" si="93"/>
        <v>0</v>
      </c>
      <c r="V78" s="1766">
        <f t="shared" si="93"/>
        <v>0</v>
      </c>
      <c r="W78" s="1766">
        <f t="shared" si="93"/>
        <v>0</v>
      </c>
      <c r="X78" s="1766">
        <f t="shared" si="93"/>
        <v>0</v>
      </c>
      <c r="Y78" s="1766">
        <f t="shared" si="93"/>
        <v>0</v>
      </c>
      <c r="Z78" s="1766">
        <f t="shared" si="93"/>
        <v>0</v>
      </c>
      <c r="AA78" s="1766">
        <f t="shared" si="93"/>
        <v>0</v>
      </c>
      <c r="AB78" s="1766">
        <f t="shared" si="93"/>
        <v>0</v>
      </c>
      <c r="AC78" s="1766">
        <f t="shared" si="93"/>
        <v>0</v>
      </c>
      <c r="AD78" s="1766">
        <f t="shared" si="93"/>
        <v>0</v>
      </c>
      <c r="AE78" s="1766">
        <f t="shared" si="93"/>
        <v>0</v>
      </c>
      <c r="AF78" s="1766">
        <f t="shared" si="93"/>
        <v>0</v>
      </c>
      <c r="AG78" s="1766">
        <f t="shared" si="93"/>
        <v>0</v>
      </c>
      <c r="AH78" s="1766">
        <f t="shared" si="93"/>
        <v>0</v>
      </c>
      <c r="AI78" s="1766">
        <f t="shared" si="93"/>
        <v>0</v>
      </c>
      <c r="AJ78" s="876"/>
    </row>
    <row r="79" spans="1:36" ht="12.75" customHeight="1">
      <c r="A79" s="1343" t="s">
        <v>727</v>
      </c>
      <c r="B79" s="1343"/>
      <c r="C79" s="1797"/>
      <c r="D79" s="1833">
        <f>SUM(D72:D78)</f>
        <v>0.4</v>
      </c>
      <c r="E79" s="1793"/>
      <c r="F79" s="876"/>
      <c r="G79" s="876"/>
      <c r="H79" s="876"/>
      <c r="I79" s="1044"/>
      <c r="J79" s="876"/>
      <c r="K79" s="876"/>
      <c r="L79" s="876"/>
      <c r="M79" s="876"/>
      <c r="N79" s="876"/>
      <c r="O79" s="876"/>
      <c r="P79" s="876"/>
      <c r="Q79" s="876"/>
      <c r="R79" s="876"/>
      <c r="S79" s="876"/>
      <c r="T79" s="876"/>
      <c r="U79" s="1343"/>
      <c r="V79" s="876"/>
      <c r="W79" s="876"/>
      <c r="X79" s="876"/>
      <c r="Y79" s="876"/>
      <c r="Z79" s="876"/>
      <c r="AA79" s="876"/>
      <c r="AB79" s="876"/>
      <c r="AC79" s="876"/>
      <c r="AD79" s="876"/>
      <c r="AE79" s="876"/>
      <c r="AF79" s="876"/>
      <c r="AG79" s="876"/>
      <c r="AH79" s="876"/>
      <c r="AI79" s="876"/>
      <c r="AJ79" s="876"/>
    </row>
    <row r="80" spans="1:36" ht="6" customHeight="1">
      <c r="A80" s="1343"/>
      <c r="B80" s="1343"/>
      <c r="C80" s="1797"/>
      <c r="D80" s="1343"/>
      <c r="E80" s="1793"/>
      <c r="F80" s="876"/>
      <c r="G80" s="876"/>
      <c r="H80" s="876"/>
      <c r="I80" s="1044"/>
      <c r="J80" s="876"/>
      <c r="K80" s="876"/>
      <c r="L80" s="876"/>
      <c r="M80" s="876"/>
      <c r="N80" s="876"/>
      <c r="O80" s="876"/>
      <c r="P80" s="876"/>
      <c r="Q80" s="876"/>
      <c r="R80" s="876"/>
      <c r="S80" s="876"/>
      <c r="T80" s="876"/>
      <c r="U80" s="1343"/>
      <c r="V80" s="876"/>
      <c r="W80" s="876"/>
      <c r="X80" s="876"/>
      <c r="Y80" s="876"/>
      <c r="Z80" s="876"/>
      <c r="AA80" s="876"/>
      <c r="AB80" s="876"/>
      <c r="AC80" s="876"/>
      <c r="AD80" s="876"/>
      <c r="AE80" s="876"/>
      <c r="AF80" s="876"/>
      <c r="AG80" s="876"/>
      <c r="AH80" s="876"/>
      <c r="AI80" s="876"/>
      <c r="AJ80" s="876"/>
    </row>
    <row r="81" spans="1:36" ht="12.75" customHeight="1">
      <c r="A81" s="876"/>
      <c r="B81" s="876"/>
      <c r="C81" s="1366"/>
      <c r="D81" s="876"/>
      <c r="E81" s="1743"/>
      <c r="F81" s="1758">
        <f>F5</f>
        <v>1</v>
      </c>
      <c r="G81" s="1758">
        <f>F81+1</f>
        <v>2</v>
      </c>
      <c r="H81" s="1758">
        <f t="shared" ref="H81" si="94">G81+1</f>
        <v>3</v>
      </c>
      <c r="I81" s="1758">
        <f t="shared" ref="I81" si="95">H81+1</f>
        <v>4</v>
      </c>
      <c r="J81" s="1758">
        <f t="shared" ref="J81" si="96">I81+1</f>
        <v>5</v>
      </c>
      <c r="K81" s="1758">
        <f t="shared" ref="K81" si="97">J81+1</f>
        <v>6</v>
      </c>
      <c r="L81" s="1758">
        <f t="shared" ref="L81" si="98">K81+1</f>
        <v>7</v>
      </c>
      <c r="M81" s="1758">
        <f t="shared" ref="M81" si="99">L81+1</f>
        <v>8</v>
      </c>
      <c r="N81" s="1758">
        <f t="shared" ref="N81" si="100">M81+1</f>
        <v>9</v>
      </c>
      <c r="O81" s="1758">
        <f t="shared" ref="O81" si="101">N81+1</f>
        <v>10</v>
      </c>
      <c r="P81" s="1758">
        <f t="shared" ref="P81" si="102">O81+1</f>
        <v>11</v>
      </c>
      <c r="Q81" s="1758">
        <f t="shared" ref="Q81" si="103">P81+1</f>
        <v>12</v>
      </c>
      <c r="R81" s="1758">
        <f t="shared" ref="R81" si="104">Q81+1</f>
        <v>13</v>
      </c>
      <c r="S81" s="1758">
        <f t="shared" ref="S81" si="105">R81+1</f>
        <v>14</v>
      </c>
      <c r="T81" s="1758">
        <f t="shared" ref="T81" si="106">S81+1</f>
        <v>15</v>
      </c>
      <c r="U81" s="1759">
        <f t="shared" ref="U81" si="107">T81+1</f>
        <v>16</v>
      </c>
      <c r="V81" s="1758">
        <f t="shared" ref="V81" si="108">U81+1</f>
        <v>17</v>
      </c>
      <c r="W81" s="1758">
        <f t="shared" ref="W81" si="109">V81+1</f>
        <v>18</v>
      </c>
      <c r="X81" s="1758">
        <f t="shared" ref="X81" si="110">W81+1</f>
        <v>19</v>
      </c>
      <c r="Y81" s="1758">
        <f t="shared" ref="Y81" si="111">X81+1</f>
        <v>20</v>
      </c>
      <c r="Z81" s="1758">
        <f t="shared" ref="Z81" si="112">Y81+1</f>
        <v>21</v>
      </c>
      <c r="AA81" s="1758">
        <f t="shared" ref="AA81" si="113">Z81+1</f>
        <v>22</v>
      </c>
      <c r="AB81" s="1758">
        <f t="shared" ref="AB81" si="114">AA81+1</f>
        <v>23</v>
      </c>
      <c r="AC81" s="1758">
        <f t="shared" ref="AC81" si="115">AB81+1</f>
        <v>24</v>
      </c>
      <c r="AD81" s="1758">
        <f t="shared" ref="AD81" si="116">AC81+1</f>
        <v>25</v>
      </c>
      <c r="AE81" s="1758">
        <f t="shared" ref="AE81" si="117">AD81+1</f>
        <v>26</v>
      </c>
      <c r="AF81" s="1758">
        <f t="shared" ref="AF81" si="118">AE81+1</f>
        <v>27</v>
      </c>
      <c r="AG81" s="1758">
        <f t="shared" ref="AG81" si="119">AF81+1</f>
        <v>28</v>
      </c>
      <c r="AH81" s="1758">
        <f t="shared" ref="AH81" si="120">AG81+1</f>
        <v>29</v>
      </c>
      <c r="AI81" s="1758">
        <f t="shared" ref="AI81" si="121">AH81+1</f>
        <v>30</v>
      </c>
      <c r="AJ81" s="876"/>
    </row>
    <row r="82" spans="1:36" ht="12.75" customHeight="1">
      <c r="A82" s="876"/>
      <c r="B82" s="876"/>
      <c r="C82" s="1366"/>
      <c r="D82" s="876"/>
      <c r="E82" s="1743"/>
      <c r="F82" s="1675">
        <f>F6</f>
        <v>1904</v>
      </c>
      <c r="G82" s="1675">
        <f>+F82+1</f>
        <v>1905</v>
      </c>
      <c r="H82" s="1675">
        <f t="shared" ref="H82" si="122">+G82+1</f>
        <v>1906</v>
      </c>
      <c r="I82" s="1675">
        <f t="shared" ref="I82" si="123">+H82+1</f>
        <v>1907</v>
      </c>
      <c r="J82" s="1675">
        <f t="shared" ref="J82" si="124">+I82+1</f>
        <v>1908</v>
      </c>
      <c r="K82" s="1675">
        <f t="shared" ref="K82" si="125">+J82+1</f>
        <v>1909</v>
      </c>
      <c r="L82" s="1675">
        <f t="shared" ref="L82" si="126">+K82+1</f>
        <v>1910</v>
      </c>
      <c r="M82" s="1675">
        <f t="shared" ref="M82" si="127">+L82+1</f>
        <v>1911</v>
      </c>
      <c r="N82" s="1675">
        <f t="shared" ref="N82" si="128">+M82+1</f>
        <v>1912</v>
      </c>
      <c r="O82" s="1675">
        <f t="shared" ref="O82" si="129">+N82+1</f>
        <v>1913</v>
      </c>
      <c r="P82" s="1675">
        <f t="shared" ref="P82" si="130">+O82+1</f>
        <v>1914</v>
      </c>
      <c r="Q82" s="1675">
        <f t="shared" ref="Q82" si="131">+P82+1</f>
        <v>1915</v>
      </c>
      <c r="R82" s="1675">
        <f t="shared" ref="R82" si="132">+Q82+1</f>
        <v>1916</v>
      </c>
      <c r="S82" s="1675">
        <f t="shared" ref="S82" si="133">+R82+1</f>
        <v>1917</v>
      </c>
      <c r="T82" s="1675">
        <f t="shared" ref="T82" si="134">+S82+1</f>
        <v>1918</v>
      </c>
      <c r="U82" s="1762">
        <f t="shared" ref="U82" si="135">+T82+1</f>
        <v>1919</v>
      </c>
      <c r="V82" s="1675">
        <f t="shared" ref="V82" si="136">+U82+1</f>
        <v>1920</v>
      </c>
      <c r="W82" s="1675">
        <f t="shared" ref="W82" si="137">+V82+1</f>
        <v>1921</v>
      </c>
      <c r="X82" s="1675">
        <f t="shared" ref="X82" si="138">+W82+1</f>
        <v>1922</v>
      </c>
      <c r="Y82" s="1675">
        <f t="shared" ref="Y82" si="139">+X82+1</f>
        <v>1923</v>
      </c>
      <c r="Z82" s="1675">
        <f t="shared" ref="Z82" si="140">+Y82+1</f>
        <v>1924</v>
      </c>
      <c r="AA82" s="1675">
        <f t="shared" ref="AA82" si="141">+Z82+1</f>
        <v>1925</v>
      </c>
      <c r="AB82" s="1675">
        <f t="shared" ref="AB82" si="142">+AA82+1</f>
        <v>1926</v>
      </c>
      <c r="AC82" s="1675">
        <f t="shared" ref="AC82" si="143">+AB82+1</f>
        <v>1927</v>
      </c>
      <c r="AD82" s="1675">
        <f t="shared" ref="AD82" si="144">+AC82+1</f>
        <v>1928</v>
      </c>
      <c r="AE82" s="1675">
        <f t="shared" ref="AE82" si="145">+AD82+1</f>
        <v>1929</v>
      </c>
      <c r="AF82" s="1675">
        <f t="shared" ref="AF82" si="146">+AE82+1</f>
        <v>1930</v>
      </c>
      <c r="AG82" s="1675">
        <f t="shared" ref="AG82" si="147">+AF82+1</f>
        <v>1931</v>
      </c>
      <c r="AH82" s="1675">
        <f t="shared" ref="AH82" si="148">+AG82+1</f>
        <v>1932</v>
      </c>
      <c r="AI82" s="1675">
        <f t="shared" ref="AI82" si="149">+AH82+1</f>
        <v>1933</v>
      </c>
      <c r="AJ82" s="876"/>
    </row>
    <row r="83" spans="1:36" ht="12.75" customHeight="1">
      <c r="A83" s="1223" t="s">
        <v>659</v>
      </c>
      <c r="B83" s="876"/>
      <c r="C83" s="1366"/>
      <c r="D83" s="876"/>
      <c r="E83" s="1743"/>
      <c r="F83" s="876"/>
      <c r="G83" s="876"/>
      <c r="H83" s="876"/>
      <c r="I83" s="876"/>
      <c r="J83" s="876"/>
      <c r="K83" s="876"/>
      <c r="L83" s="876"/>
      <c r="M83" s="876"/>
      <c r="N83" s="876"/>
      <c r="O83" s="876"/>
      <c r="P83" s="876"/>
      <c r="Q83" s="876"/>
      <c r="R83" s="876"/>
      <c r="S83" s="876"/>
      <c r="T83" s="876"/>
      <c r="U83" s="1343"/>
      <c r="V83" s="876"/>
      <c r="W83" s="876"/>
      <c r="X83" s="876"/>
      <c r="Y83" s="876"/>
      <c r="Z83" s="876"/>
      <c r="AA83" s="876"/>
      <c r="AB83" s="876"/>
      <c r="AC83" s="876"/>
      <c r="AD83" s="876"/>
      <c r="AE83" s="876"/>
      <c r="AF83" s="876"/>
      <c r="AG83" s="876"/>
      <c r="AH83" s="876"/>
      <c r="AI83" s="876"/>
      <c r="AJ83" s="876"/>
    </row>
    <row r="84" spans="1:36" ht="12.75" customHeight="1">
      <c r="A84" s="1223"/>
      <c r="B84" s="876"/>
      <c r="C84" s="1366"/>
      <c r="D84" s="876"/>
      <c r="E84" s="1743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876"/>
      <c r="T84" s="876"/>
      <c r="U84" s="1343"/>
      <c r="V84" s="876"/>
      <c r="W84" s="876"/>
      <c r="X84" s="876"/>
      <c r="Y84" s="876"/>
      <c r="Z84" s="876"/>
      <c r="AA84" s="876"/>
      <c r="AB84" s="876"/>
      <c r="AC84" s="876"/>
      <c r="AD84" s="876"/>
      <c r="AE84" s="876"/>
      <c r="AF84" s="876"/>
      <c r="AG84" s="876"/>
      <c r="AH84" s="876"/>
      <c r="AI84" s="876"/>
      <c r="AJ84" s="876"/>
    </row>
    <row r="85" spans="1:36" ht="12.75" customHeight="1">
      <c r="A85" s="876" t="str">
        <f>'Stabilized Ops &amp; Debt'!K54</f>
        <v>Oakland City Loan(s)</v>
      </c>
      <c r="B85" s="1834" t="str">
        <f>'Stabilized Ops &amp; Debt'!K56</f>
        <v>Resid. Receipts</v>
      </c>
      <c r="C85" s="1366"/>
      <c r="D85" s="876"/>
      <c r="E85" s="1743"/>
      <c r="F85" s="876"/>
      <c r="G85" s="876"/>
      <c r="H85" s="876"/>
      <c r="I85" s="876"/>
      <c r="J85" s="876"/>
      <c r="K85" s="876"/>
      <c r="L85" s="876"/>
      <c r="M85" s="876"/>
      <c r="N85" s="876"/>
      <c r="O85" s="876"/>
      <c r="P85" s="876"/>
      <c r="Q85" s="876"/>
      <c r="R85" s="876"/>
      <c r="S85" s="876"/>
      <c r="T85" s="876"/>
      <c r="U85" s="1343"/>
      <c r="V85" s="876"/>
      <c r="W85" s="876"/>
      <c r="X85" s="876"/>
      <c r="Y85" s="876"/>
      <c r="Z85" s="876"/>
      <c r="AA85" s="876"/>
      <c r="AB85" s="876"/>
      <c r="AC85" s="876"/>
      <c r="AD85" s="876"/>
      <c r="AE85" s="876"/>
      <c r="AF85" s="876"/>
      <c r="AG85" s="876"/>
      <c r="AH85" s="876"/>
      <c r="AI85" s="876"/>
      <c r="AJ85" s="876"/>
    </row>
    <row r="86" spans="1:36" ht="12.75" customHeight="1">
      <c r="A86" s="876" t="s">
        <v>410</v>
      </c>
      <c r="B86" s="1834"/>
      <c r="C86" s="1366"/>
      <c r="D86" s="876"/>
      <c r="E86" s="1743"/>
      <c r="F86" s="1835">
        <f>IF($B85="Resid. Receipts",'Stabilized Ops &amp; Debt'!K55,0)</f>
        <v>0</v>
      </c>
      <c r="G86" s="1835">
        <f>F89</f>
        <v>0</v>
      </c>
      <c r="H86" s="1835">
        <f t="shared" ref="H86:AI86" si="150">G89</f>
        <v>0</v>
      </c>
      <c r="I86" s="1835">
        <f t="shared" si="150"/>
        <v>0</v>
      </c>
      <c r="J86" s="1835">
        <f t="shared" si="150"/>
        <v>0</v>
      </c>
      <c r="K86" s="1835">
        <f t="shared" si="150"/>
        <v>0</v>
      </c>
      <c r="L86" s="1835">
        <f t="shared" si="150"/>
        <v>0</v>
      </c>
      <c r="M86" s="1835">
        <f t="shared" si="150"/>
        <v>0</v>
      </c>
      <c r="N86" s="1835">
        <f t="shared" si="150"/>
        <v>0</v>
      </c>
      <c r="O86" s="1835">
        <f t="shared" si="150"/>
        <v>0</v>
      </c>
      <c r="P86" s="1835">
        <f t="shared" si="150"/>
        <v>0</v>
      </c>
      <c r="Q86" s="1835">
        <f t="shared" si="150"/>
        <v>0</v>
      </c>
      <c r="R86" s="1835">
        <f t="shared" si="150"/>
        <v>0</v>
      </c>
      <c r="S86" s="1835">
        <f t="shared" si="150"/>
        <v>0</v>
      </c>
      <c r="T86" s="1835">
        <f t="shared" si="150"/>
        <v>0</v>
      </c>
      <c r="U86" s="1836">
        <f t="shared" si="150"/>
        <v>0</v>
      </c>
      <c r="V86" s="1835">
        <f t="shared" si="150"/>
        <v>0</v>
      </c>
      <c r="W86" s="1835">
        <f t="shared" si="150"/>
        <v>0</v>
      </c>
      <c r="X86" s="1835">
        <f t="shared" si="150"/>
        <v>0</v>
      </c>
      <c r="Y86" s="1835">
        <f t="shared" si="150"/>
        <v>0</v>
      </c>
      <c r="Z86" s="1835">
        <f t="shared" si="150"/>
        <v>0</v>
      </c>
      <c r="AA86" s="1835">
        <f t="shared" si="150"/>
        <v>0</v>
      </c>
      <c r="AB86" s="1835">
        <f t="shared" si="150"/>
        <v>0</v>
      </c>
      <c r="AC86" s="1835">
        <f t="shared" si="150"/>
        <v>0</v>
      </c>
      <c r="AD86" s="1835">
        <f t="shared" si="150"/>
        <v>0</v>
      </c>
      <c r="AE86" s="1835">
        <f t="shared" si="150"/>
        <v>0</v>
      </c>
      <c r="AF86" s="1835">
        <f t="shared" si="150"/>
        <v>0</v>
      </c>
      <c r="AG86" s="1835">
        <f t="shared" si="150"/>
        <v>0</v>
      </c>
      <c r="AH86" s="1835">
        <f t="shared" si="150"/>
        <v>0</v>
      </c>
      <c r="AI86" s="1835">
        <f t="shared" si="150"/>
        <v>0</v>
      </c>
      <c r="AJ86" s="876"/>
    </row>
    <row r="87" spans="1:36" ht="12.75" customHeight="1">
      <c r="A87" s="876" t="s">
        <v>411</v>
      </c>
      <c r="B87" s="1837">
        <f>'Stabilized Ops &amp; Debt'!K57</f>
        <v>0</v>
      </c>
      <c r="C87" s="1366"/>
      <c r="D87" s="876"/>
      <c r="E87" s="1743"/>
      <c r="F87" s="1835">
        <f>$B87*F86</f>
        <v>0</v>
      </c>
      <c r="G87" s="1835">
        <f t="shared" ref="G87:AI87" si="151">$B87*G86</f>
        <v>0</v>
      </c>
      <c r="H87" s="1835">
        <f t="shared" si="151"/>
        <v>0</v>
      </c>
      <c r="I87" s="1835">
        <f t="shared" si="151"/>
        <v>0</v>
      </c>
      <c r="J87" s="1835">
        <f t="shared" si="151"/>
        <v>0</v>
      </c>
      <c r="K87" s="1835">
        <f t="shared" si="151"/>
        <v>0</v>
      </c>
      <c r="L87" s="1835">
        <f t="shared" si="151"/>
        <v>0</v>
      </c>
      <c r="M87" s="1835">
        <f t="shared" si="151"/>
        <v>0</v>
      </c>
      <c r="N87" s="1835">
        <f t="shared" si="151"/>
        <v>0</v>
      </c>
      <c r="O87" s="1835">
        <f t="shared" si="151"/>
        <v>0</v>
      </c>
      <c r="P87" s="1835">
        <f t="shared" si="151"/>
        <v>0</v>
      </c>
      <c r="Q87" s="1835">
        <f t="shared" si="151"/>
        <v>0</v>
      </c>
      <c r="R87" s="1835">
        <f t="shared" si="151"/>
        <v>0</v>
      </c>
      <c r="S87" s="1835">
        <f t="shared" si="151"/>
        <v>0</v>
      </c>
      <c r="T87" s="1835">
        <f t="shared" si="151"/>
        <v>0</v>
      </c>
      <c r="U87" s="1835">
        <f t="shared" si="151"/>
        <v>0</v>
      </c>
      <c r="V87" s="1835">
        <f t="shared" si="151"/>
        <v>0</v>
      </c>
      <c r="W87" s="1835">
        <f t="shared" si="151"/>
        <v>0</v>
      </c>
      <c r="X87" s="1835">
        <f t="shared" si="151"/>
        <v>0</v>
      </c>
      <c r="Y87" s="1835">
        <f t="shared" si="151"/>
        <v>0</v>
      </c>
      <c r="Z87" s="1835">
        <f t="shared" si="151"/>
        <v>0</v>
      </c>
      <c r="AA87" s="1835">
        <f t="shared" si="151"/>
        <v>0</v>
      </c>
      <c r="AB87" s="1835">
        <f t="shared" si="151"/>
        <v>0</v>
      </c>
      <c r="AC87" s="1835">
        <f t="shared" si="151"/>
        <v>0</v>
      </c>
      <c r="AD87" s="1835">
        <f t="shared" si="151"/>
        <v>0</v>
      </c>
      <c r="AE87" s="1835">
        <f t="shared" si="151"/>
        <v>0</v>
      </c>
      <c r="AF87" s="1835">
        <f t="shared" si="151"/>
        <v>0</v>
      </c>
      <c r="AG87" s="1835">
        <f t="shared" si="151"/>
        <v>0</v>
      </c>
      <c r="AH87" s="1835">
        <f t="shared" si="151"/>
        <v>0</v>
      </c>
      <c r="AI87" s="1835">
        <f t="shared" si="151"/>
        <v>0</v>
      </c>
      <c r="AJ87" s="876"/>
    </row>
    <row r="88" spans="1:36" ht="12.75" customHeight="1">
      <c r="A88" s="876" t="s">
        <v>409</v>
      </c>
      <c r="B88" s="1834"/>
      <c r="C88" s="1366"/>
      <c r="D88" s="876"/>
      <c r="E88" s="1743"/>
      <c r="F88" s="1835">
        <f t="shared" ref="F88:AI88" si="152">IF($B85="Resid. Receipts",-MIN(F70*$D72,F86+F87),0)</f>
        <v>0</v>
      </c>
      <c r="G88" s="1835">
        <f t="shared" si="152"/>
        <v>0</v>
      </c>
      <c r="H88" s="1835">
        <f t="shared" si="152"/>
        <v>0</v>
      </c>
      <c r="I88" s="1835">
        <f t="shared" si="152"/>
        <v>0</v>
      </c>
      <c r="J88" s="1835">
        <f t="shared" si="152"/>
        <v>0</v>
      </c>
      <c r="K88" s="1835">
        <f t="shared" si="152"/>
        <v>0</v>
      </c>
      <c r="L88" s="1835">
        <f t="shared" si="152"/>
        <v>0</v>
      </c>
      <c r="M88" s="1835">
        <f t="shared" si="152"/>
        <v>0</v>
      </c>
      <c r="N88" s="1835">
        <f t="shared" si="152"/>
        <v>0</v>
      </c>
      <c r="O88" s="1835">
        <f t="shared" si="152"/>
        <v>0</v>
      </c>
      <c r="P88" s="1835">
        <f t="shared" si="152"/>
        <v>0</v>
      </c>
      <c r="Q88" s="1835">
        <f t="shared" si="152"/>
        <v>0</v>
      </c>
      <c r="R88" s="1835">
        <f t="shared" si="152"/>
        <v>0</v>
      </c>
      <c r="S88" s="1835">
        <f t="shared" si="152"/>
        <v>0</v>
      </c>
      <c r="T88" s="1835">
        <f t="shared" si="152"/>
        <v>0</v>
      </c>
      <c r="U88" s="1835">
        <f t="shared" si="152"/>
        <v>0</v>
      </c>
      <c r="V88" s="1835">
        <f t="shared" si="152"/>
        <v>0</v>
      </c>
      <c r="W88" s="1835">
        <f t="shared" si="152"/>
        <v>0</v>
      </c>
      <c r="X88" s="1835">
        <f t="shared" si="152"/>
        <v>0</v>
      </c>
      <c r="Y88" s="1835">
        <f t="shared" si="152"/>
        <v>0</v>
      </c>
      <c r="Z88" s="1835">
        <f t="shared" si="152"/>
        <v>0</v>
      </c>
      <c r="AA88" s="1835">
        <f t="shared" si="152"/>
        <v>0</v>
      </c>
      <c r="AB88" s="1835">
        <f t="shared" si="152"/>
        <v>0</v>
      </c>
      <c r="AC88" s="1835">
        <f t="shared" si="152"/>
        <v>0</v>
      </c>
      <c r="AD88" s="1835">
        <f t="shared" si="152"/>
        <v>0</v>
      </c>
      <c r="AE88" s="1835">
        <f t="shared" si="152"/>
        <v>0</v>
      </c>
      <c r="AF88" s="1835">
        <f t="shared" si="152"/>
        <v>0</v>
      </c>
      <c r="AG88" s="1835">
        <f t="shared" si="152"/>
        <v>0</v>
      </c>
      <c r="AH88" s="1835">
        <f t="shared" si="152"/>
        <v>0</v>
      </c>
      <c r="AI88" s="1835">
        <f t="shared" si="152"/>
        <v>0</v>
      </c>
      <c r="AJ88" s="876"/>
    </row>
    <row r="89" spans="1:36" ht="12.75" customHeight="1">
      <c r="A89" s="876" t="s">
        <v>412</v>
      </c>
      <c r="B89" s="1834"/>
      <c r="C89" s="1366"/>
      <c r="D89" s="876"/>
      <c r="E89" s="1743"/>
      <c r="F89" s="1835">
        <f>SUM(F86:F88)</f>
        <v>0</v>
      </c>
      <c r="G89" s="1835">
        <f>SUM(G86:G88)</f>
        <v>0</v>
      </c>
      <c r="H89" s="1835">
        <f t="shared" ref="H89:AI89" si="153">SUM(H86:H88)</f>
        <v>0</v>
      </c>
      <c r="I89" s="1835">
        <f t="shared" si="153"/>
        <v>0</v>
      </c>
      <c r="J89" s="1835">
        <f t="shared" si="153"/>
        <v>0</v>
      </c>
      <c r="K89" s="1835">
        <f t="shared" si="153"/>
        <v>0</v>
      </c>
      <c r="L89" s="1835">
        <f t="shared" si="153"/>
        <v>0</v>
      </c>
      <c r="M89" s="1835">
        <f t="shared" si="153"/>
        <v>0</v>
      </c>
      <c r="N89" s="1835">
        <f t="shared" si="153"/>
        <v>0</v>
      </c>
      <c r="O89" s="1835">
        <f t="shared" si="153"/>
        <v>0</v>
      </c>
      <c r="P89" s="1835">
        <f t="shared" si="153"/>
        <v>0</v>
      </c>
      <c r="Q89" s="1835">
        <f t="shared" si="153"/>
        <v>0</v>
      </c>
      <c r="R89" s="1835">
        <f t="shared" si="153"/>
        <v>0</v>
      </c>
      <c r="S89" s="1835">
        <f t="shared" si="153"/>
        <v>0</v>
      </c>
      <c r="T89" s="1835">
        <f t="shared" si="153"/>
        <v>0</v>
      </c>
      <c r="U89" s="1836">
        <f t="shared" si="153"/>
        <v>0</v>
      </c>
      <c r="V89" s="1835">
        <f t="shared" si="153"/>
        <v>0</v>
      </c>
      <c r="W89" s="1835">
        <f t="shared" si="153"/>
        <v>0</v>
      </c>
      <c r="X89" s="1835">
        <f t="shared" si="153"/>
        <v>0</v>
      </c>
      <c r="Y89" s="1835">
        <f t="shared" si="153"/>
        <v>0</v>
      </c>
      <c r="Z89" s="1835">
        <f t="shared" si="153"/>
        <v>0</v>
      </c>
      <c r="AA89" s="1835">
        <f t="shared" si="153"/>
        <v>0</v>
      </c>
      <c r="AB89" s="1835">
        <f t="shared" si="153"/>
        <v>0</v>
      </c>
      <c r="AC89" s="1835">
        <f t="shared" si="153"/>
        <v>0</v>
      </c>
      <c r="AD89" s="1835">
        <f t="shared" si="153"/>
        <v>0</v>
      </c>
      <c r="AE89" s="1835">
        <f t="shared" si="153"/>
        <v>0</v>
      </c>
      <c r="AF89" s="1835">
        <f t="shared" si="153"/>
        <v>0</v>
      </c>
      <c r="AG89" s="1835">
        <f t="shared" si="153"/>
        <v>0</v>
      </c>
      <c r="AH89" s="1835">
        <f t="shared" si="153"/>
        <v>0</v>
      </c>
      <c r="AI89" s="1835">
        <f t="shared" si="153"/>
        <v>0</v>
      </c>
      <c r="AJ89" s="876"/>
    </row>
    <row r="90" spans="1:36" ht="12.75" customHeight="1">
      <c r="A90" s="876" t="str">
        <f>IF('Stabilized Ops &amp; Debt'!K59=0,"--",'Stabilized Ops &amp; Debt'!K59)</f>
        <v>--</v>
      </c>
      <c r="B90" s="1834" t="str">
        <f>'Stabilized Ops &amp; Debt'!K61</f>
        <v>Resid. Receipts</v>
      </c>
      <c r="C90" s="1366"/>
      <c r="D90" s="876"/>
      <c r="E90" s="1743"/>
      <c r="F90" s="1838"/>
      <c r="G90" s="1838"/>
      <c r="H90" s="1838"/>
      <c r="I90" s="1838"/>
      <c r="J90" s="1838"/>
      <c r="K90" s="1838"/>
      <c r="L90" s="1838"/>
      <c r="M90" s="1838"/>
      <c r="N90" s="1838"/>
      <c r="O90" s="1838"/>
      <c r="P90" s="1838"/>
      <c r="Q90" s="1838"/>
      <c r="R90" s="1838"/>
      <c r="S90" s="1838"/>
      <c r="T90" s="1838"/>
      <c r="U90" s="1839"/>
      <c r="V90" s="1838"/>
      <c r="W90" s="1838"/>
      <c r="X90" s="1838"/>
      <c r="Y90" s="1838"/>
      <c r="Z90" s="1838"/>
      <c r="AA90" s="1838"/>
      <c r="AB90" s="1838"/>
      <c r="AC90" s="1838"/>
      <c r="AD90" s="1838"/>
      <c r="AE90" s="1838"/>
      <c r="AF90" s="1838"/>
      <c r="AG90" s="1838"/>
      <c r="AH90" s="1838"/>
      <c r="AI90" s="1838"/>
      <c r="AJ90" s="876"/>
    </row>
    <row r="91" spans="1:36" ht="12.75" customHeight="1">
      <c r="A91" s="876" t="s">
        <v>410</v>
      </c>
      <c r="B91" s="1834"/>
      <c r="C91" s="1366"/>
      <c r="D91" s="876"/>
      <c r="E91" s="1743"/>
      <c r="F91" s="1835">
        <f>IF($B90="Resid. Receipts",'Stabilized Ops &amp; Debt'!$K60,0)</f>
        <v>0</v>
      </c>
      <c r="G91" s="1835">
        <f>F94</f>
        <v>0</v>
      </c>
      <c r="H91" s="1835">
        <f t="shared" ref="H91:AI91" si="154">G94</f>
        <v>0</v>
      </c>
      <c r="I91" s="1835">
        <f t="shared" si="154"/>
        <v>0</v>
      </c>
      <c r="J91" s="1835">
        <f t="shared" si="154"/>
        <v>0</v>
      </c>
      <c r="K91" s="1835">
        <f t="shared" si="154"/>
        <v>0</v>
      </c>
      <c r="L91" s="1835">
        <f t="shared" si="154"/>
        <v>0</v>
      </c>
      <c r="M91" s="1835">
        <f t="shared" si="154"/>
        <v>0</v>
      </c>
      <c r="N91" s="1835">
        <f t="shared" si="154"/>
        <v>0</v>
      </c>
      <c r="O91" s="1835">
        <f t="shared" si="154"/>
        <v>0</v>
      </c>
      <c r="P91" s="1835">
        <f t="shared" si="154"/>
        <v>0</v>
      </c>
      <c r="Q91" s="1835">
        <f t="shared" si="154"/>
        <v>0</v>
      </c>
      <c r="R91" s="1835">
        <f t="shared" si="154"/>
        <v>0</v>
      </c>
      <c r="S91" s="1835">
        <f t="shared" si="154"/>
        <v>0</v>
      </c>
      <c r="T91" s="1835">
        <f t="shared" si="154"/>
        <v>0</v>
      </c>
      <c r="U91" s="1836">
        <f t="shared" si="154"/>
        <v>0</v>
      </c>
      <c r="V91" s="1835">
        <f t="shared" si="154"/>
        <v>0</v>
      </c>
      <c r="W91" s="1835">
        <f t="shared" si="154"/>
        <v>0</v>
      </c>
      <c r="X91" s="1835">
        <f t="shared" si="154"/>
        <v>0</v>
      </c>
      <c r="Y91" s="1835">
        <f t="shared" si="154"/>
        <v>0</v>
      </c>
      <c r="Z91" s="1835">
        <f t="shared" si="154"/>
        <v>0</v>
      </c>
      <c r="AA91" s="1835">
        <f t="shared" si="154"/>
        <v>0</v>
      </c>
      <c r="AB91" s="1835">
        <f t="shared" si="154"/>
        <v>0</v>
      </c>
      <c r="AC91" s="1835">
        <f t="shared" si="154"/>
        <v>0</v>
      </c>
      <c r="AD91" s="1835">
        <f t="shared" si="154"/>
        <v>0</v>
      </c>
      <c r="AE91" s="1835">
        <f t="shared" si="154"/>
        <v>0</v>
      </c>
      <c r="AF91" s="1835">
        <f t="shared" si="154"/>
        <v>0</v>
      </c>
      <c r="AG91" s="1835">
        <f t="shared" si="154"/>
        <v>0</v>
      </c>
      <c r="AH91" s="1835">
        <f t="shared" si="154"/>
        <v>0</v>
      </c>
      <c r="AI91" s="1835">
        <f t="shared" si="154"/>
        <v>0</v>
      </c>
      <c r="AJ91" s="876"/>
    </row>
    <row r="92" spans="1:36" ht="12.75" customHeight="1">
      <c r="A92" s="876" t="s">
        <v>411</v>
      </c>
      <c r="B92" s="1837">
        <f>'Stabilized Ops &amp; Debt'!K62</f>
        <v>0</v>
      </c>
      <c r="C92" s="1366"/>
      <c r="D92" s="876"/>
      <c r="E92" s="1743"/>
      <c r="F92" s="1835">
        <f>$B92*F91</f>
        <v>0</v>
      </c>
      <c r="G92" s="1835">
        <f t="shared" ref="G92:N92" si="155">$B92*G91</f>
        <v>0</v>
      </c>
      <c r="H92" s="1835">
        <f t="shared" si="155"/>
        <v>0</v>
      </c>
      <c r="I92" s="1835">
        <f t="shared" si="155"/>
        <v>0</v>
      </c>
      <c r="J92" s="1835">
        <f t="shared" si="155"/>
        <v>0</v>
      </c>
      <c r="K92" s="1835">
        <f t="shared" si="155"/>
        <v>0</v>
      </c>
      <c r="L92" s="1835">
        <f t="shared" si="155"/>
        <v>0</v>
      </c>
      <c r="M92" s="1835">
        <f t="shared" si="155"/>
        <v>0</v>
      </c>
      <c r="N92" s="1835">
        <f t="shared" si="155"/>
        <v>0</v>
      </c>
      <c r="O92" s="1835">
        <f t="shared" ref="O92" si="156">$B92*O91</f>
        <v>0</v>
      </c>
      <c r="P92" s="1835">
        <f t="shared" ref="P92" si="157">$B92*P91</f>
        <v>0</v>
      </c>
      <c r="Q92" s="1835">
        <f t="shared" ref="Q92" si="158">$B92*Q91</f>
        <v>0</v>
      </c>
      <c r="R92" s="1835">
        <f t="shared" ref="R92" si="159">$B92*R91</f>
        <v>0</v>
      </c>
      <c r="S92" s="1835">
        <f t="shared" ref="S92" si="160">$B92*S91</f>
        <v>0</v>
      </c>
      <c r="T92" s="1835">
        <f t="shared" ref="T92" si="161">$B92*T91</f>
        <v>0</v>
      </c>
      <c r="U92" s="1836">
        <f t="shared" ref="U92" si="162">$B92*U91</f>
        <v>0</v>
      </c>
      <c r="V92" s="1835">
        <f t="shared" ref="V92" si="163">$B92*V91</f>
        <v>0</v>
      </c>
      <c r="W92" s="1835">
        <f t="shared" ref="W92" si="164">$B92*W91</f>
        <v>0</v>
      </c>
      <c r="X92" s="1835">
        <f t="shared" ref="X92" si="165">$B92*X91</f>
        <v>0</v>
      </c>
      <c r="Y92" s="1835">
        <f t="shared" ref="Y92" si="166">$B92*Y91</f>
        <v>0</v>
      </c>
      <c r="Z92" s="1835">
        <f t="shared" ref="Z92" si="167">$B92*Z91</f>
        <v>0</v>
      </c>
      <c r="AA92" s="1835">
        <f t="shared" ref="AA92" si="168">$B92*AA91</f>
        <v>0</v>
      </c>
      <c r="AB92" s="1835">
        <f t="shared" ref="AB92" si="169">$B92*AB91</f>
        <v>0</v>
      </c>
      <c r="AC92" s="1835">
        <f t="shared" ref="AC92" si="170">$B92*AC91</f>
        <v>0</v>
      </c>
      <c r="AD92" s="1835">
        <f t="shared" ref="AD92" si="171">$B92*AD91</f>
        <v>0</v>
      </c>
      <c r="AE92" s="1835">
        <f t="shared" ref="AE92" si="172">$B92*AE91</f>
        <v>0</v>
      </c>
      <c r="AF92" s="1835">
        <f t="shared" ref="AF92" si="173">$B92*AF91</f>
        <v>0</v>
      </c>
      <c r="AG92" s="1835">
        <f t="shared" ref="AG92" si="174">$B92*AG91</f>
        <v>0</v>
      </c>
      <c r="AH92" s="1835">
        <f t="shared" ref="AH92" si="175">$B92*AH91</f>
        <v>0</v>
      </c>
      <c r="AI92" s="1835">
        <f t="shared" ref="AI92" si="176">$B92*AI91</f>
        <v>0</v>
      </c>
      <c r="AJ92" s="876"/>
    </row>
    <row r="93" spans="1:36" ht="12.75" customHeight="1">
      <c r="A93" s="876" t="s">
        <v>409</v>
      </c>
      <c r="B93" s="1834"/>
      <c r="C93" s="1366"/>
      <c r="D93" s="876"/>
      <c r="E93" s="1743"/>
      <c r="F93" s="1835">
        <f t="shared" ref="F93:AI93" si="177">IF($B90="Resid. Receipts",-MIN(F70*$D73,F91+F92),0)</f>
        <v>0</v>
      </c>
      <c r="G93" s="1835">
        <f t="shared" si="177"/>
        <v>0</v>
      </c>
      <c r="H93" s="1835">
        <f t="shared" si="177"/>
        <v>0</v>
      </c>
      <c r="I93" s="1835">
        <f t="shared" si="177"/>
        <v>0</v>
      </c>
      <c r="J93" s="1835">
        <f t="shared" si="177"/>
        <v>0</v>
      </c>
      <c r="K93" s="1835">
        <f t="shared" si="177"/>
        <v>0</v>
      </c>
      <c r="L93" s="1835">
        <f t="shared" si="177"/>
        <v>0</v>
      </c>
      <c r="M93" s="1835">
        <f t="shared" si="177"/>
        <v>0</v>
      </c>
      <c r="N93" s="1835">
        <f t="shared" si="177"/>
        <v>0</v>
      </c>
      <c r="O93" s="1835">
        <f t="shared" si="177"/>
        <v>0</v>
      </c>
      <c r="P93" s="1835">
        <f t="shared" si="177"/>
        <v>0</v>
      </c>
      <c r="Q93" s="1835">
        <f t="shared" si="177"/>
        <v>0</v>
      </c>
      <c r="R93" s="1835">
        <f t="shared" si="177"/>
        <v>0</v>
      </c>
      <c r="S93" s="1835">
        <f t="shared" si="177"/>
        <v>0</v>
      </c>
      <c r="T93" s="1835">
        <f t="shared" si="177"/>
        <v>0</v>
      </c>
      <c r="U93" s="1835">
        <f t="shared" si="177"/>
        <v>0</v>
      </c>
      <c r="V93" s="1835">
        <f t="shared" si="177"/>
        <v>0</v>
      </c>
      <c r="W93" s="1835">
        <f t="shared" si="177"/>
        <v>0</v>
      </c>
      <c r="X93" s="1835">
        <f t="shared" si="177"/>
        <v>0</v>
      </c>
      <c r="Y93" s="1835">
        <f t="shared" si="177"/>
        <v>0</v>
      </c>
      <c r="Z93" s="1835">
        <f t="shared" si="177"/>
        <v>0</v>
      </c>
      <c r="AA93" s="1835">
        <f t="shared" si="177"/>
        <v>0</v>
      </c>
      <c r="AB93" s="1835">
        <f t="shared" si="177"/>
        <v>0</v>
      </c>
      <c r="AC93" s="1835">
        <f t="shared" si="177"/>
        <v>0</v>
      </c>
      <c r="AD93" s="1835">
        <f t="shared" si="177"/>
        <v>0</v>
      </c>
      <c r="AE93" s="1835">
        <f t="shared" si="177"/>
        <v>0</v>
      </c>
      <c r="AF93" s="1835">
        <f t="shared" si="177"/>
        <v>0</v>
      </c>
      <c r="AG93" s="1835">
        <f t="shared" si="177"/>
        <v>0</v>
      </c>
      <c r="AH93" s="1835">
        <f t="shared" si="177"/>
        <v>0</v>
      </c>
      <c r="AI93" s="1835">
        <f t="shared" si="177"/>
        <v>0</v>
      </c>
      <c r="AJ93" s="876"/>
    </row>
    <row r="94" spans="1:36" ht="12.75" customHeight="1">
      <c r="A94" s="876" t="s">
        <v>412</v>
      </c>
      <c r="B94" s="1834"/>
      <c r="C94" s="1366"/>
      <c r="D94" s="876"/>
      <c r="E94" s="1743"/>
      <c r="F94" s="1835">
        <f>SUM(F91:F93)</f>
        <v>0</v>
      </c>
      <c r="G94" s="1835">
        <f t="shared" ref="G94:N94" si="178">SUM(G91:G93)</f>
        <v>0</v>
      </c>
      <c r="H94" s="1835">
        <f t="shared" si="178"/>
        <v>0</v>
      </c>
      <c r="I94" s="1835">
        <f t="shared" si="178"/>
        <v>0</v>
      </c>
      <c r="J94" s="1835">
        <f t="shared" si="178"/>
        <v>0</v>
      </c>
      <c r="K94" s="1835">
        <f t="shared" si="178"/>
        <v>0</v>
      </c>
      <c r="L94" s="1835">
        <f t="shared" si="178"/>
        <v>0</v>
      </c>
      <c r="M94" s="1835">
        <f t="shared" si="178"/>
        <v>0</v>
      </c>
      <c r="N94" s="1835">
        <f t="shared" si="178"/>
        <v>0</v>
      </c>
      <c r="O94" s="1835">
        <f t="shared" ref="O94" si="179">SUM(O91:O93)</f>
        <v>0</v>
      </c>
      <c r="P94" s="1835">
        <f t="shared" ref="P94" si="180">SUM(P91:P93)</f>
        <v>0</v>
      </c>
      <c r="Q94" s="1835">
        <f t="shared" ref="Q94" si="181">SUM(Q91:Q93)</f>
        <v>0</v>
      </c>
      <c r="R94" s="1835">
        <f t="shared" ref="R94" si="182">SUM(R91:R93)</f>
        <v>0</v>
      </c>
      <c r="S94" s="1835">
        <f t="shared" ref="S94" si="183">SUM(S91:S93)</f>
        <v>0</v>
      </c>
      <c r="T94" s="1835">
        <f t="shared" ref="T94" si="184">SUM(T91:T93)</f>
        <v>0</v>
      </c>
      <c r="U94" s="1836">
        <f t="shared" ref="U94" si="185">SUM(U91:U93)</f>
        <v>0</v>
      </c>
      <c r="V94" s="1835">
        <f t="shared" ref="V94" si="186">SUM(V91:V93)</f>
        <v>0</v>
      </c>
      <c r="W94" s="1835">
        <f t="shared" ref="W94" si="187">SUM(W91:W93)</f>
        <v>0</v>
      </c>
      <c r="X94" s="1835">
        <f t="shared" ref="X94" si="188">SUM(X91:X93)</f>
        <v>0</v>
      </c>
      <c r="Y94" s="1835">
        <f t="shared" ref="Y94" si="189">SUM(Y91:Y93)</f>
        <v>0</v>
      </c>
      <c r="Z94" s="1835">
        <f t="shared" ref="Z94" si="190">SUM(Z91:Z93)</f>
        <v>0</v>
      </c>
      <c r="AA94" s="1835">
        <f t="shared" ref="AA94" si="191">SUM(AA91:AA93)</f>
        <v>0</v>
      </c>
      <c r="AB94" s="1835">
        <f t="shared" ref="AB94" si="192">SUM(AB91:AB93)</f>
        <v>0</v>
      </c>
      <c r="AC94" s="1835">
        <f t="shared" ref="AC94" si="193">SUM(AC91:AC93)</f>
        <v>0</v>
      </c>
      <c r="AD94" s="1835">
        <f t="shared" ref="AD94" si="194">SUM(AD91:AD93)</f>
        <v>0</v>
      </c>
      <c r="AE94" s="1835">
        <f t="shared" ref="AE94" si="195">SUM(AE91:AE93)</f>
        <v>0</v>
      </c>
      <c r="AF94" s="1835">
        <f t="shared" ref="AF94" si="196">SUM(AF91:AF93)</f>
        <v>0</v>
      </c>
      <c r="AG94" s="1835">
        <f t="shared" ref="AG94" si="197">SUM(AG91:AG93)</f>
        <v>0</v>
      </c>
      <c r="AH94" s="1835">
        <f t="shared" ref="AH94" si="198">SUM(AH91:AH93)</f>
        <v>0</v>
      </c>
      <c r="AI94" s="1835">
        <f t="shared" ref="AI94" si="199">SUM(AI91:AI93)</f>
        <v>0</v>
      </c>
      <c r="AJ94" s="876"/>
    </row>
    <row r="95" spans="1:36" ht="12.75" customHeight="1">
      <c r="A95" s="876">
        <f>IF('Stabilized Ops &amp; Debt'!K64=0,0,'Stabilized Ops &amp; Debt'!K64)</f>
        <v>0</v>
      </c>
      <c r="B95" s="1834" t="str">
        <f>'Stabilized Ops &amp; Debt'!K56</f>
        <v>Resid. Receipts</v>
      </c>
      <c r="C95" s="1366"/>
      <c r="D95" s="876"/>
      <c r="E95" s="1743"/>
      <c r="F95" s="1835"/>
      <c r="G95" s="1835"/>
      <c r="H95" s="1835"/>
      <c r="I95" s="1835"/>
      <c r="J95" s="1835"/>
      <c r="K95" s="1835"/>
      <c r="L95" s="1835"/>
      <c r="M95" s="1835"/>
      <c r="N95" s="1835"/>
      <c r="O95" s="1835"/>
      <c r="P95" s="1835"/>
      <c r="Q95" s="1835"/>
      <c r="R95" s="1835"/>
      <c r="S95" s="1835"/>
      <c r="T95" s="1835"/>
      <c r="U95" s="1836"/>
      <c r="V95" s="1835"/>
      <c r="W95" s="1835"/>
      <c r="X95" s="1835"/>
      <c r="Y95" s="1835"/>
      <c r="Z95" s="1835"/>
      <c r="AA95" s="1835"/>
      <c r="AB95" s="1835"/>
      <c r="AC95" s="1835"/>
      <c r="AD95" s="1835"/>
      <c r="AE95" s="1835"/>
      <c r="AF95" s="1835"/>
      <c r="AG95" s="1835"/>
      <c r="AH95" s="1835"/>
      <c r="AI95" s="1835"/>
      <c r="AJ95" s="876"/>
    </row>
    <row r="96" spans="1:36" ht="12.75" customHeight="1">
      <c r="A96" s="876" t="s">
        <v>410</v>
      </c>
      <c r="B96" s="1834"/>
      <c r="C96" s="1366"/>
      <c r="D96" s="876"/>
      <c r="E96" s="1743"/>
      <c r="F96" s="1835">
        <f>IF($B95="Resid. Receipts",'Stabilized Ops &amp; Debt'!$K$65,0)</f>
        <v>0</v>
      </c>
      <c r="G96" s="1835">
        <f>F99</f>
        <v>0</v>
      </c>
      <c r="H96" s="1835">
        <f t="shared" ref="H96:AI96" si="200">G99</f>
        <v>0</v>
      </c>
      <c r="I96" s="1835">
        <f t="shared" si="200"/>
        <v>0</v>
      </c>
      <c r="J96" s="1835">
        <f t="shared" si="200"/>
        <v>0</v>
      </c>
      <c r="K96" s="1835">
        <f t="shared" si="200"/>
        <v>0</v>
      </c>
      <c r="L96" s="1835">
        <f t="shared" si="200"/>
        <v>0</v>
      </c>
      <c r="M96" s="1835">
        <f t="shared" si="200"/>
        <v>0</v>
      </c>
      <c r="N96" s="1835">
        <f t="shared" si="200"/>
        <v>0</v>
      </c>
      <c r="O96" s="1835">
        <f t="shared" si="200"/>
        <v>0</v>
      </c>
      <c r="P96" s="1835">
        <f t="shared" si="200"/>
        <v>0</v>
      </c>
      <c r="Q96" s="1835">
        <f t="shared" si="200"/>
        <v>0</v>
      </c>
      <c r="R96" s="1835">
        <f t="shared" si="200"/>
        <v>0</v>
      </c>
      <c r="S96" s="1835">
        <f t="shared" si="200"/>
        <v>0</v>
      </c>
      <c r="T96" s="1835">
        <f t="shared" si="200"/>
        <v>0</v>
      </c>
      <c r="U96" s="1836">
        <f t="shared" si="200"/>
        <v>0</v>
      </c>
      <c r="V96" s="1835">
        <f t="shared" si="200"/>
        <v>0</v>
      </c>
      <c r="W96" s="1835">
        <f t="shared" si="200"/>
        <v>0</v>
      </c>
      <c r="X96" s="1835">
        <f t="shared" si="200"/>
        <v>0</v>
      </c>
      <c r="Y96" s="1835">
        <f t="shared" si="200"/>
        <v>0</v>
      </c>
      <c r="Z96" s="1835">
        <f t="shared" si="200"/>
        <v>0</v>
      </c>
      <c r="AA96" s="1835">
        <f t="shared" si="200"/>
        <v>0</v>
      </c>
      <c r="AB96" s="1835">
        <f t="shared" si="200"/>
        <v>0</v>
      </c>
      <c r="AC96" s="1835">
        <f t="shared" si="200"/>
        <v>0</v>
      </c>
      <c r="AD96" s="1835">
        <f t="shared" si="200"/>
        <v>0</v>
      </c>
      <c r="AE96" s="1835">
        <f t="shared" si="200"/>
        <v>0</v>
      </c>
      <c r="AF96" s="1835">
        <f t="shared" si="200"/>
        <v>0</v>
      </c>
      <c r="AG96" s="1835">
        <f t="shared" si="200"/>
        <v>0</v>
      </c>
      <c r="AH96" s="1835">
        <f t="shared" si="200"/>
        <v>0</v>
      </c>
      <c r="AI96" s="1835">
        <f t="shared" si="200"/>
        <v>0</v>
      </c>
      <c r="AJ96" s="876"/>
    </row>
    <row r="97" spans="1:36" ht="12.75" customHeight="1">
      <c r="A97" s="876" t="s">
        <v>411</v>
      </c>
      <c r="B97" s="1837">
        <f>'Stabilized Ops &amp; Debt'!K67</f>
        <v>0</v>
      </c>
      <c r="C97" s="1366"/>
      <c r="D97" s="876"/>
      <c r="E97" s="1743"/>
      <c r="F97" s="1835">
        <f>$B97*F96</f>
        <v>0</v>
      </c>
      <c r="G97" s="1835">
        <f t="shared" ref="G97:AI97" si="201">$B97*G96</f>
        <v>0</v>
      </c>
      <c r="H97" s="1835">
        <f t="shared" si="201"/>
        <v>0</v>
      </c>
      <c r="I97" s="1835">
        <f t="shared" si="201"/>
        <v>0</v>
      </c>
      <c r="J97" s="1835">
        <f t="shared" si="201"/>
        <v>0</v>
      </c>
      <c r="K97" s="1835">
        <f t="shared" si="201"/>
        <v>0</v>
      </c>
      <c r="L97" s="1835">
        <f t="shared" si="201"/>
        <v>0</v>
      </c>
      <c r="M97" s="1835">
        <f t="shared" si="201"/>
        <v>0</v>
      </c>
      <c r="N97" s="1835">
        <f t="shared" si="201"/>
        <v>0</v>
      </c>
      <c r="O97" s="1835">
        <f t="shared" si="201"/>
        <v>0</v>
      </c>
      <c r="P97" s="1835">
        <f t="shared" si="201"/>
        <v>0</v>
      </c>
      <c r="Q97" s="1835">
        <f t="shared" si="201"/>
        <v>0</v>
      </c>
      <c r="R97" s="1835">
        <f t="shared" si="201"/>
        <v>0</v>
      </c>
      <c r="S97" s="1835">
        <f t="shared" si="201"/>
        <v>0</v>
      </c>
      <c r="T97" s="1835">
        <f t="shared" si="201"/>
        <v>0</v>
      </c>
      <c r="U97" s="1836">
        <f t="shared" si="201"/>
        <v>0</v>
      </c>
      <c r="V97" s="1835">
        <f t="shared" si="201"/>
        <v>0</v>
      </c>
      <c r="W97" s="1835">
        <f t="shared" si="201"/>
        <v>0</v>
      </c>
      <c r="X97" s="1835">
        <f t="shared" si="201"/>
        <v>0</v>
      </c>
      <c r="Y97" s="1835">
        <f t="shared" si="201"/>
        <v>0</v>
      </c>
      <c r="Z97" s="1835">
        <f t="shared" si="201"/>
        <v>0</v>
      </c>
      <c r="AA97" s="1835">
        <f t="shared" si="201"/>
        <v>0</v>
      </c>
      <c r="AB97" s="1835">
        <f t="shared" si="201"/>
        <v>0</v>
      </c>
      <c r="AC97" s="1835">
        <f t="shared" si="201"/>
        <v>0</v>
      </c>
      <c r="AD97" s="1835">
        <f t="shared" si="201"/>
        <v>0</v>
      </c>
      <c r="AE97" s="1835">
        <f t="shared" si="201"/>
        <v>0</v>
      </c>
      <c r="AF97" s="1835">
        <f t="shared" si="201"/>
        <v>0</v>
      </c>
      <c r="AG97" s="1835">
        <f t="shared" si="201"/>
        <v>0</v>
      </c>
      <c r="AH97" s="1835">
        <f t="shared" si="201"/>
        <v>0</v>
      </c>
      <c r="AI97" s="1835">
        <f t="shared" si="201"/>
        <v>0</v>
      </c>
      <c r="AJ97" s="876"/>
    </row>
    <row r="98" spans="1:36" ht="12.75" customHeight="1">
      <c r="A98" s="876" t="s">
        <v>409</v>
      </c>
      <c r="B98" s="876"/>
      <c r="C98" s="1366"/>
      <c r="D98" s="876"/>
      <c r="E98" s="1743"/>
      <c r="F98" s="1835">
        <f>-MIN(F$70*$D$74,F96+F97)</f>
        <v>0</v>
      </c>
      <c r="G98" s="1835">
        <f t="shared" ref="G98:AI98" si="202">-MIN(G70*$D74,G96+G97)</f>
        <v>0</v>
      </c>
      <c r="H98" s="1835">
        <f t="shared" si="202"/>
        <v>0</v>
      </c>
      <c r="I98" s="1835">
        <f t="shared" si="202"/>
        <v>0</v>
      </c>
      <c r="J98" s="1835">
        <f t="shared" si="202"/>
        <v>0</v>
      </c>
      <c r="K98" s="1835">
        <f t="shared" si="202"/>
        <v>0</v>
      </c>
      <c r="L98" s="1835">
        <f t="shared" si="202"/>
        <v>0</v>
      </c>
      <c r="M98" s="1835">
        <f t="shared" si="202"/>
        <v>0</v>
      </c>
      <c r="N98" s="1835">
        <f t="shared" si="202"/>
        <v>0</v>
      </c>
      <c r="O98" s="1835">
        <f t="shared" si="202"/>
        <v>0</v>
      </c>
      <c r="P98" s="1835">
        <f t="shared" si="202"/>
        <v>0</v>
      </c>
      <c r="Q98" s="1835">
        <f t="shared" si="202"/>
        <v>0</v>
      </c>
      <c r="R98" s="1835">
        <f t="shared" si="202"/>
        <v>0</v>
      </c>
      <c r="S98" s="1835">
        <f t="shared" si="202"/>
        <v>0</v>
      </c>
      <c r="T98" s="1835">
        <f t="shared" si="202"/>
        <v>0</v>
      </c>
      <c r="U98" s="1836">
        <f t="shared" si="202"/>
        <v>0</v>
      </c>
      <c r="V98" s="1835">
        <f t="shared" si="202"/>
        <v>0</v>
      </c>
      <c r="W98" s="1835">
        <f t="shared" si="202"/>
        <v>0</v>
      </c>
      <c r="X98" s="1835">
        <f t="shared" si="202"/>
        <v>0</v>
      </c>
      <c r="Y98" s="1835">
        <f t="shared" si="202"/>
        <v>0</v>
      </c>
      <c r="Z98" s="1835">
        <f t="shared" si="202"/>
        <v>0</v>
      </c>
      <c r="AA98" s="1835">
        <f t="shared" si="202"/>
        <v>0</v>
      </c>
      <c r="AB98" s="1835">
        <f t="shared" si="202"/>
        <v>0</v>
      </c>
      <c r="AC98" s="1835">
        <f t="shared" si="202"/>
        <v>0</v>
      </c>
      <c r="AD98" s="1835">
        <f t="shared" si="202"/>
        <v>0</v>
      </c>
      <c r="AE98" s="1835">
        <f t="shared" si="202"/>
        <v>0</v>
      </c>
      <c r="AF98" s="1835">
        <f t="shared" si="202"/>
        <v>0</v>
      </c>
      <c r="AG98" s="1835">
        <f t="shared" si="202"/>
        <v>0</v>
      </c>
      <c r="AH98" s="1835">
        <f t="shared" si="202"/>
        <v>0</v>
      </c>
      <c r="AI98" s="1835">
        <f t="shared" si="202"/>
        <v>0</v>
      </c>
      <c r="AJ98" s="876"/>
    </row>
    <row r="99" spans="1:36" ht="12.75" customHeight="1">
      <c r="A99" s="876" t="s">
        <v>412</v>
      </c>
      <c r="B99" s="876"/>
      <c r="C99" s="1366"/>
      <c r="D99" s="876"/>
      <c r="E99" s="1743"/>
      <c r="F99" s="1835">
        <f>SUM(F96:F98)</f>
        <v>0</v>
      </c>
      <c r="G99" s="1835">
        <f t="shared" ref="G99:AI99" si="203">SUM(G96:G98)</f>
        <v>0</v>
      </c>
      <c r="H99" s="1835">
        <f t="shared" si="203"/>
        <v>0</v>
      </c>
      <c r="I99" s="1835">
        <f t="shared" si="203"/>
        <v>0</v>
      </c>
      <c r="J99" s="1835">
        <f t="shared" si="203"/>
        <v>0</v>
      </c>
      <c r="K99" s="1835">
        <f t="shared" si="203"/>
        <v>0</v>
      </c>
      <c r="L99" s="1835">
        <f t="shared" si="203"/>
        <v>0</v>
      </c>
      <c r="M99" s="1835">
        <f t="shared" si="203"/>
        <v>0</v>
      </c>
      <c r="N99" s="1835">
        <f t="shared" si="203"/>
        <v>0</v>
      </c>
      <c r="O99" s="1835">
        <f t="shared" si="203"/>
        <v>0</v>
      </c>
      <c r="P99" s="1835">
        <f t="shared" si="203"/>
        <v>0</v>
      </c>
      <c r="Q99" s="1835">
        <f t="shared" si="203"/>
        <v>0</v>
      </c>
      <c r="R99" s="1835">
        <f t="shared" si="203"/>
        <v>0</v>
      </c>
      <c r="S99" s="1835">
        <f t="shared" si="203"/>
        <v>0</v>
      </c>
      <c r="T99" s="1835">
        <f t="shared" si="203"/>
        <v>0</v>
      </c>
      <c r="U99" s="1835">
        <f t="shared" si="203"/>
        <v>0</v>
      </c>
      <c r="V99" s="1835">
        <f t="shared" si="203"/>
        <v>0</v>
      </c>
      <c r="W99" s="1835">
        <f t="shared" si="203"/>
        <v>0</v>
      </c>
      <c r="X99" s="1835">
        <f t="shared" si="203"/>
        <v>0</v>
      </c>
      <c r="Y99" s="1835">
        <f t="shared" si="203"/>
        <v>0</v>
      </c>
      <c r="Z99" s="1835">
        <f t="shared" si="203"/>
        <v>0</v>
      </c>
      <c r="AA99" s="1835">
        <f t="shared" si="203"/>
        <v>0</v>
      </c>
      <c r="AB99" s="1835">
        <f t="shared" si="203"/>
        <v>0</v>
      </c>
      <c r="AC99" s="1835">
        <f t="shared" si="203"/>
        <v>0</v>
      </c>
      <c r="AD99" s="1835">
        <f t="shared" si="203"/>
        <v>0</v>
      </c>
      <c r="AE99" s="1835">
        <f t="shared" si="203"/>
        <v>0</v>
      </c>
      <c r="AF99" s="1835">
        <f t="shared" si="203"/>
        <v>0</v>
      </c>
      <c r="AG99" s="1835">
        <f t="shared" si="203"/>
        <v>0</v>
      </c>
      <c r="AH99" s="1835">
        <f t="shared" si="203"/>
        <v>0</v>
      </c>
      <c r="AI99" s="1835">
        <f t="shared" si="203"/>
        <v>0</v>
      </c>
      <c r="AJ99" s="876"/>
    </row>
    <row r="100" spans="1:36" ht="12.75" customHeight="1">
      <c r="A100" s="876" t="str">
        <f>IF('Stabilized Ops &amp; Debt'!K69=0,"--",'Stabilized Ops &amp; Debt'!K69)</f>
        <v>--</v>
      </c>
      <c r="B100" s="1834" t="str">
        <f>'Stabilized Ops &amp; Debt'!K61</f>
        <v>Resid. Receipts</v>
      </c>
      <c r="C100" s="1366"/>
      <c r="D100" s="876"/>
      <c r="E100" s="1743"/>
      <c r="F100" s="1835"/>
      <c r="G100" s="1835"/>
      <c r="H100" s="1835"/>
      <c r="I100" s="1835"/>
      <c r="J100" s="1835"/>
      <c r="K100" s="1835"/>
      <c r="L100" s="1835"/>
      <c r="M100" s="1835"/>
      <c r="N100" s="1835"/>
      <c r="O100" s="1835"/>
      <c r="P100" s="1835"/>
      <c r="Q100" s="1835"/>
      <c r="R100" s="1835"/>
      <c r="S100" s="1835"/>
      <c r="T100" s="1835"/>
      <c r="U100" s="1835"/>
      <c r="V100" s="1835"/>
      <c r="W100" s="1835"/>
      <c r="X100" s="1835"/>
      <c r="Y100" s="1835"/>
      <c r="Z100" s="1835"/>
      <c r="AA100" s="1835"/>
      <c r="AB100" s="1835"/>
      <c r="AC100" s="1835"/>
      <c r="AD100" s="1835"/>
      <c r="AE100" s="1835"/>
      <c r="AF100" s="1835"/>
      <c r="AG100" s="1835"/>
      <c r="AH100" s="1835"/>
      <c r="AI100" s="1835"/>
      <c r="AJ100" s="876"/>
    </row>
    <row r="101" spans="1:36" ht="12.75" customHeight="1">
      <c r="A101" s="876" t="s">
        <v>410</v>
      </c>
      <c r="B101" s="1834"/>
      <c r="C101" s="1366"/>
      <c r="D101" s="876"/>
      <c r="E101" s="1743"/>
      <c r="F101" s="1835">
        <f>IF($B100="Resid. Receipts",'Stabilized Ops &amp; Debt'!$K$70,0)</f>
        <v>0</v>
      </c>
      <c r="G101" s="1835">
        <f>F101</f>
        <v>0</v>
      </c>
      <c r="H101" s="1835">
        <f t="shared" ref="H101:AI101" si="204">G101</f>
        <v>0</v>
      </c>
      <c r="I101" s="1835">
        <f t="shared" si="204"/>
        <v>0</v>
      </c>
      <c r="J101" s="1835">
        <f t="shared" si="204"/>
        <v>0</v>
      </c>
      <c r="K101" s="1835">
        <f t="shared" si="204"/>
        <v>0</v>
      </c>
      <c r="L101" s="1835">
        <f t="shared" si="204"/>
        <v>0</v>
      </c>
      <c r="M101" s="1835">
        <f t="shared" si="204"/>
        <v>0</v>
      </c>
      <c r="N101" s="1835">
        <f t="shared" si="204"/>
        <v>0</v>
      </c>
      <c r="O101" s="1835">
        <f t="shared" si="204"/>
        <v>0</v>
      </c>
      <c r="P101" s="1835">
        <f t="shared" si="204"/>
        <v>0</v>
      </c>
      <c r="Q101" s="1835">
        <f t="shared" si="204"/>
        <v>0</v>
      </c>
      <c r="R101" s="1835">
        <f t="shared" si="204"/>
        <v>0</v>
      </c>
      <c r="S101" s="1835">
        <f t="shared" si="204"/>
        <v>0</v>
      </c>
      <c r="T101" s="1835">
        <f t="shared" si="204"/>
        <v>0</v>
      </c>
      <c r="U101" s="1835">
        <f t="shared" si="204"/>
        <v>0</v>
      </c>
      <c r="V101" s="1835">
        <f t="shared" si="204"/>
        <v>0</v>
      </c>
      <c r="W101" s="1835">
        <f t="shared" si="204"/>
        <v>0</v>
      </c>
      <c r="X101" s="1835">
        <f t="shared" si="204"/>
        <v>0</v>
      </c>
      <c r="Y101" s="1835">
        <f t="shared" si="204"/>
        <v>0</v>
      </c>
      <c r="Z101" s="1835">
        <f t="shared" si="204"/>
        <v>0</v>
      </c>
      <c r="AA101" s="1835">
        <f t="shared" si="204"/>
        <v>0</v>
      </c>
      <c r="AB101" s="1835">
        <f t="shared" si="204"/>
        <v>0</v>
      </c>
      <c r="AC101" s="1835">
        <f t="shared" si="204"/>
        <v>0</v>
      </c>
      <c r="AD101" s="1835">
        <f t="shared" si="204"/>
        <v>0</v>
      </c>
      <c r="AE101" s="1835">
        <f t="shared" si="204"/>
        <v>0</v>
      </c>
      <c r="AF101" s="1835">
        <f t="shared" si="204"/>
        <v>0</v>
      </c>
      <c r="AG101" s="1835">
        <f t="shared" si="204"/>
        <v>0</v>
      </c>
      <c r="AH101" s="1835">
        <f t="shared" si="204"/>
        <v>0</v>
      </c>
      <c r="AI101" s="1835">
        <f t="shared" si="204"/>
        <v>0</v>
      </c>
      <c r="AJ101" s="876"/>
    </row>
    <row r="102" spans="1:36" ht="12.75" customHeight="1">
      <c r="A102" s="876" t="s">
        <v>411</v>
      </c>
      <c r="B102" s="1837">
        <f>'Stabilized Ops &amp; Debt'!K72</f>
        <v>0</v>
      </c>
      <c r="C102" s="1366"/>
      <c r="D102" s="876"/>
      <c r="E102" s="1743"/>
      <c r="F102" s="1835">
        <f>$B102*F101</f>
        <v>0</v>
      </c>
      <c r="G102" s="1835">
        <f t="shared" ref="G102:AI102" si="205">$B102*G101</f>
        <v>0</v>
      </c>
      <c r="H102" s="1835">
        <f t="shared" si="205"/>
        <v>0</v>
      </c>
      <c r="I102" s="1835">
        <f t="shared" si="205"/>
        <v>0</v>
      </c>
      <c r="J102" s="1835">
        <f t="shared" si="205"/>
        <v>0</v>
      </c>
      <c r="K102" s="1835">
        <f t="shared" si="205"/>
        <v>0</v>
      </c>
      <c r="L102" s="1835">
        <f t="shared" si="205"/>
        <v>0</v>
      </c>
      <c r="M102" s="1835">
        <f t="shared" si="205"/>
        <v>0</v>
      </c>
      <c r="N102" s="1835">
        <f t="shared" si="205"/>
        <v>0</v>
      </c>
      <c r="O102" s="1835">
        <f t="shared" si="205"/>
        <v>0</v>
      </c>
      <c r="P102" s="1835">
        <f t="shared" si="205"/>
        <v>0</v>
      </c>
      <c r="Q102" s="1835">
        <f t="shared" si="205"/>
        <v>0</v>
      </c>
      <c r="R102" s="1835">
        <f t="shared" si="205"/>
        <v>0</v>
      </c>
      <c r="S102" s="1835">
        <f t="shared" si="205"/>
        <v>0</v>
      </c>
      <c r="T102" s="1835">
        <f t="shared" si="205"/>
        <v>0</v>
      </c>
      <c r="U102" s="1835">
        <f t="shared" si="205"/>
        <v>0</v>
      </c>
      <c r="V102" s="1835">
        <f t="shared" si="205"/>
        <v>0</v>
      </c>
      <c r="W102" s="1835">
        <f t="shared" si="205"/>
        <v>0</v>
      </c>
      <c r="X102" s="1835">
        <f t="shared" si="205"/>
        <v>0</v>
      </c>
      <c r="Y102" s="1835">
        <f t="shared" si="205"/>
        <v>0</v>
      </c>
      <c r="Z102" s="1835">
        <f t="shared" si="205"/>
        <v>0</v>
      </c>
      <c r="AA102" s="1835">
        <f t="shared" si="205"/>
        <v>0</v>
      </c>
      <c r="AB102" s="1835">
        <f t="shared" si="205"/>
        <v>0</v>
      </c>
      <c r="AC102" s="1835">
        <f t="shared" si="205"/>
        <v>0</v>
      </c>
      <c r="AD102" s="1835">
        <f t="shared" si="205"/>
        <v>0</v>
      </c>
      <c r="AE102" s="1835">
        <f t="shared" si="205"/>
        <v>0</v>
      </c>
      <c r="AF102" s="1835">
        <f t="shared" si="205"/>
        <v>0</v>
      </c>
      <c r="AG102" s="1835">
        <f t="shared" si="205"/>
        <v>0</v>
      </c>
      <c r="AH102" s="1835">
        <f t="shared" si="205"/>
        <v>0</v>
      </c>
      <c r="AI102" s="1835">
        <f t="shared" si="205"/>
        <v>0</v>
      </c>
      <c r="AJ102" s="876"/>
    </row>
    <row r="103" spans="1:36" ht="12.75" customHeight="1">
      <c r="A103" s="876" t="s">
        <v>409</v>
      </c>
      <c r="B103" s="876"/>
      <c r="C103" s="1366"/>
      <c r="D103" s="876"/>
      <c r="E103" s="1743"/>
      <c r="F103" s="1835">
        <f>-MIN(F$70*$D$75,F101+F102)</f>
        <v>0</v>
      </c>
      <c r="G103" s="1835">
        <f t="shared" ref="G103:AI103" si="206">-MIN(G$70*$D$75,G101+G102)</f>
        <v>0</v>
      </c>
      <c r="H103" s="1835">
        <f t="shared" si="206"/>
        <v>0</v>
      </c>
      <c r="I103" s="1835">
        <f t="shared" si="206"/>
        <v>0</v>
      </c>
      <c r="J103" s="1835">
        <f t="shared" si="206"/>
        <v>0</v>
      </c>
      <c r="K103" s="1835">
        <f t="shared" si="206"/>
        <v>0</v>
      </c>
      <c r="L103" s="1835">
        <f t="shared" si="206"/>
        <v>0</v>
      </c>
      <c r="M103" s="1835">
        <f t="shared" si="206"/>
        <v>0</v>
      </c>
      <c r="N103" s="1835">
        <f t="shared" si="206"/>
        <v>0</v>
      </c>
      <c r="O103" s="1835">
        <f t="shared" si="206"/>
        <v>0</v>
      </c>
      <c r="P103" s="1835">
        <f t="shared" si="206"/>
        <v>0</v>
      </c>
      <c r="Q103" s="1835">
        <f t="shared" si="206"/>
        <v>0</v>
      </c>
      <c r="R103" s="1835">
        <f t="shared" si="206"/>
        <v>0</v>
      </c>
      <c r="S103" s="1835">
        <f t="shared" si="206"/>
        <v>0</v>
      </c>
      <c r="T103" s="1835">
        <f t="shared" si="206"/>
        <v>0</v>
      </c>
      <c r="U103" s="1835">
        <f t="shared" si="206"/>
        <v>0</v>
      </c>
      <c r="V103" s="1835">
        <f t="shared" si="206"/>
        <v>0</v>
      </c>
      <c r="W103" s="1835">
        <f t="shared" si="206"/>
        <v>0</v>
      </c>
      <c r="X103" s="1835">
        <f t="shared" si="206"/>
        <v>0</v>
      </c>
      <c r="Y103" s="1835">
        <f t="shared" si="206"/>
        <v>0</v>
      </c>
      <c r="Z103" s="1835">
        <f t="shared" si="206"/>
        <v>0</v>
      </c>
      <c r="AA103" s="1835">
        <f t="shared" si="206"/>
        <v>0</v>
      </c>
      <c r="AB103" s="1835">
        <f t="shared" si="206"/>
        <v>0</v>
      </c>
      <c r="AC103" s="1835">
        <f t="shared" si="206"/>
        <v>0</v>
      </c>
      <c r="AD103" s="1835">
        <f t="shared" si="206"/>
        <v>0</v>
      </c>
      <c r="AE103" s="1835">
        <f t="shared" si="206"/>
        <v>0</v>
      </c>
      <c r="AF103" s="1835">
        <f t="shared" si="206"/>
        <v>0</v>
      </c>
      <c r="AG103" s="1835">
        <f t="shared" si="206"/>
        <v>0</v>
      </c>
      <c r="AH103" s="1835">
        <f t="shared" si="206"/>
        <v>0</v>
      </c>
      <c r="AI103" s="1835">
        <f t="shared" si="206"/>
        <v>0</v>
      </c>
      <c r="AJ103" s="876"/>
    </row>
    <row r="104" spans="1:36" ht="12.75" customHeight="1">
      <c r="A104" s="876" t="s">
        <v>412</v>
      </c>
      <c r="B104" s="876"/>
      <c r="C104" s="1366"/>
      <c r="D104" s="876"/>
      <c r="E104" s="1743"/>
      <c r="F104" s="1835">
        <f>SUM(F101:F103)</f>
        <v>0</v>
      </c>
      <c r="G104" s="1835">
        <f t="shared" ref="G104:AI104" si="207">SUM(G101:G103)</f>
        <v>0</v>
      </c>
      <c r="H104" s="1835">
        <f t="shared" si="207"/>
        <v>0</v>
      </c>
      <c r="I104" s="1835">
        <f t="shared" si="207"/>
        <v>0</v>
      </c>
      <c r="J104" s="1835">
        <f t="shared" si="207"/>
        <v>0</v>
      </c>
      <c r="K104" s="1835">
        <f t="shared" si="207"/>
        <v>0</v>
      </c>
      <c r="L104" s="1835">
        <f t="shared" si="207"/>
        <v>0</v>
      </c>
      <c r="M104" s="1835">
        <f t="shared" si="207"/>
        <v>0</v>
      </c>
      <c r="N104" s="1835">
        <f t="shared" si="207"/>
        <v>0</v>
      </c>
      <c r="O104" s="1835">
        <f t="shared" si="207"/>
        <v>0</v>
      </c>
      <c r="P104" s="1835">
        <f t="shared" si="207"/>
        <v>0</v>
      </c>
      <c r="Q104" s="1835">
        <f t="shared" si="207"/>
        <v>0</v>
      </c>
      <c r="R104" s="1835">
        <f t="shared" si="207"/>
        <v>0</v>
      </c>
      <c r="S104" s="1835">
        <f t="shared" si="207"/>
        <v>0</v>
      </c>
      <c r="T104" s="1835">
        <f t="shared" si="207"/>
        <v>0</v>
      </c>
      <c r="U104" s="1835">
        <f t="shared" si="207"/>
        <v>0</v>
      </c>
      <c r="V104" s="1835">
        <f t="shared" si="207"/>
        <v>0</v>
      </c>
      <c r="W104" s="1835">
        <f t="shared" si="207"/>
        <v>0</v>
      </c>
      <c r="X104" s="1835">
        <f t="shared" si="207"/>
        <v>0</v>
      </c>
      <c r="Y104" s="1835">
        <f t="shared" si="207"/>
        <v>0</v>
      </c>
      <c r="Z104" s="1835">
        <f t="shared" si="207"/>
        <v>0</v>
      </c>
      <c r="AA104" s="1835">
        <f t="shared" si="207"/>
        <v>0</v>
      </c>
      <c r="AB104" s="1835">
        <f t="shared" si="207"/>
        <v>0</v>
      </c>
      <c r="AC104" s="1835">
        <f t="shared" si="207"/>
        <v>0</v>
      </c>
      <c r="AD104" s="1835">
        <f t="shared" si="207"/>
        <v>0</v>
      </c>
      <c r="AE104" s="1835">
        <f t="shared" si="207"/>
        <v>0</v>
      </c>
      <c r="AF104" s="1835">
        <f t="shared" si="207"/>
        <v>0</v>
      </c>
      <c r="AG104" s="1835">
        <f t="shared" si="207"/>
        <v>0</v>
      </c>
      <c r="AH104" s="1835">
        <f t="shared" si="207"/>
        <v>0</v>
      </c>
      <c r="AI104" s="1835">
        <f t="shared" si="207"/>
        <v>0</v>
      </c>
      <c r="AJ104" s="876"/>
    </row>
    <row r="105" spans="1:36" ht="12.75" customHeight="1">
      <c r="A105" s="876" t="str">
        <f>IF('Stabilized Ops &amp; Debt'!K74=0,"--",'Stabilized Ops &amp; Debt'!K74)</f>
        <v>--</v>
      </c>
      <c r="B105" s="1834" t="str">
        <f>'Stabilized Ops &amp; Debt'!K66</f>
        <v>Resid. Receipts</v>
      </c>
      <c r="C105" s="1366"/>
      <c r="D105" s="876"/>
      <c r="E105" s="1743"/>
      <c r="F105" s="1835"/>
      <c r="G105" s="1835"/>
      <c r="H105" s="1835"/>
      <c r="I105" s="1835"/>
      <c r="J105" s="1835"/>
      <c r="K105" s="1835"/>
      <c r="L105" s="1835"/>
      <c r="M105" s="1835"/>
      <c r="N105" s="1835"/>
      <c r="O105" s="1835"/>
      <c r="P105" s="1835"/>
      <c r="Q105" s="1835"/>
      <c r="R105" s="1835"/>
      <c r="S105" s="1835"/>
      <c r="T105" s="1835"/>
      <c r="U105" s="1835"/>
      <c r="V105" s="1835"/>
      <c r="W105" s="1835"/>
      <c r="X105" s="1835"/>
      <c r="Y105" s="1835"/>
      <c r="Z105" s="1835"/>
      <c r="AA105" s="1835"/>
      <c r="AB105" s="1835"/>
      <c r="AC105" s="1835"/>
      <c r="AD105" s="1835"/>
      <c r="AE105" s="1835"/>
      <c r="AF105" s="1835"/>
      <c r="AG105" s="1835"/>
      <c r="AH105" s="1835"/>
      <c r="AI105" s="1835"/>
      <c r="AJ105" s="876"/>
    </row>
    <row r="106" spans="1:36" ht="12.75" customHeight="1">
      <c r="A106" s="876" t="s">
        <v>410</v>
      </c>
      <c r="B106" s="1834"/>
      <c r="C106" s="1366"/>
      <c r="D106" s="876"/>
      <c r="E106" s="1743"/>
      <c r="F106" s="1835">
        <f>IF($B105="Resid. Receipts",'Stabilized Ops &amp; Debt'!$K$75,0)</f>
        <v>0</v>
      </c>
      <c r="G106" s="1835">
        <f>F106</f>
        <v>0</v>
      </c>
      <c r="H106" s="1835">
        <f t="shared" ref="H106" si="208">G106</f>
        <v>0</v>
      </c>
      <c r="I106" s="1835">
        <f t="shared" ref="I106" si="209">H106</f>
        <v>0</v>
      </c>
      <c r="J106" s="1835">
        <f t="shared" ref="J106" si="210">I106</f>
        <v>0</v>
      </c>
      <c r="K106" s="1835">
        <f t="shared" ref="K106" si="211">J106</f>
        <v>0</v>
      </c>
      <c r="L106" s="1835">
        <f t="shared" ref="L106" si="212">K106</f>
        <v>0</v>
      </c>
      <c r="M106" s="1835">
        <f t="shared" ref="M106" si="213">L106</f>
        <v>0</v>
      </c>
      <c r="N106" s="1835">
        <f t="shared" ref="N106" si="214">M106</f>
        <v>0</v>
      </c>
      <c r="O106" s="1835">
        <f t="shared" ref="O106" si="215">N106</f>
        <v>0</v>
      </c>
      <c r="P106" s="1835">
        <f t="shared" ref="P106" si="216">O106</f>
        <v>0</v>
      </c>
      <c r="Q106" s="1835">
        <f t="shared" ref="Q106" si="217">P106</f>
        <v>0</v>
      </c>
      <c r="R106" s="1835">
        <f t="shared" ref="R106" si="218">Q106</f>
        <v>0</v>
      </c>
      <c r="S106" s="1835">
        <f t="shared" ref="S106" si="219">R106</f>
        <v>0</v>
      </c>
      <c r="T106" s="1835">
        <f t="shared" ref="T106" si="220">S106</f>
        <v>0</v>
      </c>
      <c r="U106" s="1835">
        <f t="shared" ref="U106" si="221">T106</f>
        <v>0</v>
      </c>
      <c r="V106" s="1835">
        <f t="shared" ref="V106" si="222">U106</f>
        <v>0</v>
      </c>
      <c r="W106" s="1835">
        <f t="shared" ref="W106" si="223">V106</f>
        <v>0</v>
      </c>
      <c r="X106" s="1835">
        <f t="shared" ref="X106" si="224">W106</f>
        <v>0</v>
      </c>
      <c r="Y106" s="1835">
        <f t="shared" ref="Y106" si="225">X106</f>
        <v>0</v>
      </c>
      <c r="Z106" s="1835">
        <f t="shared" ref="Z106" si="226">Y106</f>
        <v>0</v>
      </c>
      <c r="AA106" s="1835">
        <f t="shared" ref="AA106" si="227">Z106</f>
        <v>0</v>
      </c>
      <c r="AB106" s="1835">
        <f t="shared" ref="AB106" si="228">AA106</f>
        <v>0</v>
      </c>
      <c r="AC106" s="1835">
        <f t="shared" ref="AC106" si="229">AB106</f>
        <v>0</v>
      </c>
      <c r="AD106" s="1835">
        <f t="shared" ref="AD106" si="230">AC106</f>
        <v>0</v>
      </c>
      <c r="AE106" s="1835">
        <f t="shared" ref="AE106" si="231">AD106</f>
        <v>0</v>
      </c>
      <c r="AF106" s="1835">
        <f t="shared" ref="AF106" si="232">AE106</f>
        <v>0</v>
      </c>
      <c r="AG106" s="1835">
        <f t="shared" ref="AG106" si="233">AF106</f>
        <v>0</v>
      </c>
      <c r="AH106" s="1835">
        <f t="shared" ref="AH106" si="234">AG106</f>
        <v>0</v>
      </c>
      <c r="AI106" s="1835">
        <f t="shared" ref="AI106" si="235">AH106</f>
        <v>0</v>
      </c>
      <c r="AJ106" s="876"/>
    </row>
    <row r="107" spans="1:36" ht="12.75" customHeight="1">
      <c r="A107" s="876" t="s">
        <v>411</v>
      </c>
      <c r="B107" s="1837">
        <f>'Stabilized Ops &amp; Debt'!K77</f>
        <v>0</v>
      </c>
      <c r="C107" s="1366"/>
      <c r="D107" s="876"/>
      <c r="E107" s="1743"/>
      <c r="F107" s="1835">
        <f>$B107*F106</f>
        <v>0</v>
      </c>
      <c r="G107" s="1835">
        <f t="shared" ref="G107:AI107" si="236">$B107*G106</f>
        <v>0</v>
      </c>
      <c r="H107" s="1835">
        <f t="shared" si="236"/>
        <v>0</v>
      </c>
      <c r="I107" s="1835">
        <f t="shared" si="236"/>
        <v>0</v>
      </c>
      <c r="J107" s="1835">
        <f t="shared" si="236"/>
        <v>0</v>
      </c>
      <c r="K107" s="1835">
        <f t="shared" si="236"/>
        <v>0</v>
      </c>
      <c r="L107" s="1835">
        <f t="shared" si="236"/>
        <v>0</v>
      </c>
      <c r="M107" s="1835">
        <f t="shared" si="236"/>
        <v>0</v>
      </c>
      <c r="N107" s="1835">
        <f t="shared" si="236"/>
        <v>0</v>
      </c>
      <c r="O107" s="1835">
        <f t="shared" si="236"/>
        <v>0</v>
      </c>
      <c r="P107" s="1835">
        <f t="shared" si="236"/>
        <v>0</v>
      </c>
      <c r="Q107" s="1835">
        <f t="shared" si="236"/>
        <v>0</v>
      </c>
      <c r="R107" s="1835">
        <f t="shared" si="236"/>
        <v>0</v>
      </c>
      <c r="S107" s="1835">
        <f t="shared" si="236"/>
        <v>0</v>
      </c>
      <c r="T107" s="1835">
        <f t="shared" si="236"/>
        <v>0</v>
      </c>
      <c r="U107" s="1835">
        <f t="shared" si="236"/>
        <v>0</v>
      </c>
      <c r="V107" s="1835">
        <f t="shared" si="236"/>
        <v>0</v>
      </c>
      <c r="W107" s="1835">
        <f t="shared" si="236"/>
        <v>0</v>
      </c>
      <c r="X107" s="1835">
        <f t="shared" si="236"/>
        <v>0</v>
      </c>
      <c r="Y107" s="1835">
        <f t="shared" si="236"/>
        <v>0</v>
      </c>
      <c r="Z107" s="1835">
        <f t="shared" si="236"/>
        <v>0</v>
      </c>
      <c r="AA107" s="1835">
        <f t="shared" si="236"/>
        <v>0</v>
      </c>
      <c r="AB107" s="1835">
        <f t="shared" si="236"/>
        <v>0</v>
      </c>
      <c r="AC107" s="1835">
        <f t="shared" si="236"/>
        <v>0</v>
      </c>
      <c r="AD107" s="1835">
        <f t="shared" si="236"/>
        <v>0</v>
      </c>
      <c r="AE107" s="1835">
        <f t="shared" si="236"/>
        <v>0</v>
      </c>
      <c r="AF107" s="1835">
        <f t="shared" si="236"/>
        <v>0</v>
      </c>
      <c r="AG107" s="1835">
        <f t="shared" si="236"/>
        <v>0</v>
      </c>
      <c r="AH107" s="1835">
        <f t="shared" si="236"/>
        <v>0</v>
      </c>
      <c r="AI107" s="1835">
        <f t="shared" si="236"/>
        <v>0</v>
      </c>
      <c r="AJ107" s="876"/>
    </row>
    <row r="108" spans="1:36" ht="12.75" customHeight="1">
      <c r="A108" s="876" t="s">
        <v>409</v>
      </c>
      <c r="B108" s="876"/>
      <c r="C108" s="1366"/>
      <c r="D108" s="876"/>
      <c r="E108" s="1743"/>
      <c r="F108" s="1835">
        <f>-MIN(F$70*$D$75,F106+F107)</f>
        <v>0</v>
      </c>
      <c r="G108" s="1835">
        <f t="shared" ref="G108:AI108" si="237">-MIN(G$70*$D$75,G106+G107)</f>
        <v>0</v>
      </c>
      <c r="H108" s="1835">
        <f t="shared" si="237"/>
        <v>0</v>
      </c>
      <c r="I108" s="1835">
        <f t="shared" si="237"/>
        <v>0</v>
      </c>
      <c r="J108" s="1835">
        <f t="shared" si="237"/>
        <v>0</v>
      </c>
      <c r="K108" s="1835">
        <f t="shared" si="237"/>
        <v>0</v>
      </c>
      <c r="L108" s="1835">
        <f t="shared" si="237"/>
        <v>0</v>
      </c>
      <c r="M108" s="1835">
        <f t="shared" si="237"/>
        <v>0</v>
      </c>
      <c r="N108" s="1835">
        <f t="shared" si="237"/>
        <v>0</v>
      </c>
      <c r="O108" s="1835">
        <f t="shared" si="237"/>
        <v>0</v>
      </c>
      <c r="P108" s="1835">
        <f t="shared" si="237"/>
        <v>0</v>
      </c>
      <c r="Q108" s="1835">
        <f t="shared" si="237"/>
        <v>0</v>
      </c>
      <c r="R108" s="1835">
        <f t="shared" si="237"/>
        <v>0</v>
      </c>
      <c r="S108" s="1835">
        <f t="shared" si="237"/>
        <v>0</v>
      </c>
      <c r="T108" s="1835">
        <f t="shared" si="237"/>
        <v>0</v>
      </c>
      <c r="U108" s="1835">
        <f t="shared" si="237"/>
        <v>0</v>
      </c>
      <c r="V108" s="1835">
        <f t="shared" si="237"/>
        <v>0</v>
      </c>
      <c r="W108" s="1835">
        <f t="shared" si="237"/>
        <v>0</v>
      </c>
      <c r="X108" s="1835">
        <f t="shared" si="237"/>
        <v>0</v>
      </c>
      <c r="Y108" s="1835">
        <f t="shared" si="237"/>
        <v>0</v>
      </c>
      <c r="Z108" s="1835">
        <f t="shared" si="237"/>
        <v>0</v>
      </c>
      <c r="AA108" s="1835">
        <f t="shared" si="237"/>
        <v>0</v>
      </c>
      <c r="AB108" s="1835">
        <f t="shared" si="237"/>
        <v>0</v>
      </c>
      <c r="AC108" s="1835">
        <f t="shared" si="237"/>
        <v>0</v>
      </c>
      <c r="AD108" s="1835">
        <f t="shared" si="237"/>
        <v>0</v>
      </c>
      <c r="AE108" s="1835">
        <f t="shared" si="237"/>
        <v>0</v>
      </c>
      <c r="AF108" s="1835">
        <f t="shared" si="237"/>
        <v>0</v>
      </c>
      <c r="AG108" s="1835">
        <f t="shared" si="237"/>
        <v>0</v>
      </c>
      <c r="AH108" s="1835">
        <f t="shared" si="237"/>
        <v>0</v>
      </c>
      <c r="AI108" s="1835">
        <f t="shared" si="237"/>
        <v>0</v>
      </c>
      <c r="AJ108" s="876"/>
    </row>
    <row r="109" spans="1:36" ht="12.75" customHeight="1">
      <c r="A109" s="876" t="s">
        <v>412</v>
      </c>
      <c r="B109" s="876"/>
      <c r="C109" s="1366"/>
      <c r="D109" s="876"/>
      <c r="E109" s="1743"/>
      <c r="F109" s="1835">
        <f>SUM(F106:F108)</f>
        <v>0</v>
      </c>
      <c r="G109" s="1835">
        <f t="shared" ref="G109:AI109" si="238">SUM(G106:G108)</f>
        <v>0</v>
      </c>
      <c r="H109" s="1835">
        <f t="shared" si="238"/>
        <v>0</v>
      </c>
      <c r="I109" s="1835">
        <f t="shared" si="238"/>
        <v>0</v>
      </c>
      <c r="J109" s="1835">
        <f t="shared" si="238"/>
        <v>0</v>
      </c>
      <c r="K109" s="1835">
        <f t="shared" si="238"/>
        <v>0</v>
      </c>
      <c r="L109" s="1835">
        <f t="shared" si="238"/>
        <v>0</v>
      </c>
      <c r="M109" s="1835">
        <f t="shared" si="238"/>
        <v>0</v>
      </c>
      <c r="N109" s="1835">
        <f t="shared" si="238"/>
        <v>0</v>
      </c>
      <c r="O109" s="1835">
        <f t="shared" si="238"/>
        <v>0</v>
      </c>
      <c r="P109" s="1835">
        <f t="shared" si="238"/>
        <v>0</v>
      </c>
      <c r="Q109" s="1835">
        <f t="shared" si="238"/>
        <v>0</v>
      </c>
      <c r="R109" s="1835">
        <f t="shared" si="238"/>
        <v>0</v>
      </c>
      <c r="S109" s="1835">
        <f t="shared" si="238"/>
        <v>0</v>
      </c>
      <c r="T109" s="1835">
        <f t="shared" si="238"/>
        <v>0</v>
      </c>
      <c r="U109" s="1835">
        <f t="shared" si="238"/>
        <v>0</v>
      </c>
      <c r="V109" s="1835">
        <f t="shared" si="238"/>
        <v>0</v>
      </c>
      <c r="W109" s="1835">
        <f t="shared" si="238"/>
        <v>0</v>
      </c>
      <c r="X109" s="1835">
        <f t="shared" si="238"/>
        <v>0</v>
      </c>
      <c r="Y109" s="1835">
        <f t="shared" si="238"/>
        <v>0</v>
      </c>
      <c r="Z109" s="1835">
        <f t="shared" si="238"/>
        <v>0</v>
      </c>
      <c r="AA109" s="1835">
        <f t="shared" si="238"/>
        <v>0</v>
      </c>
      <c r="AB109" s="1835">
        <f t="shared" si="238"/>
        <v>0</v>
      </c>
      <c r="AC109" s="1835">
        <f t="shared" si="238"/>
        <v>0</v>
      </c>
      <c r="AD109" s="1835">
        <f t="shared" si="238"/>
        <v>0</v>
      </c>
      <c r="AE109" s="1835">
        <f t="shared" si="238"/>
        <v>0</v>
      </c>
      <c r="AF109" s="1835">
        <f t="shared" si="238"/>
        <v>0</v>
      </c>
      <c r="AG109" s="1835">
        <f t="shared" si="238"/>
        <v>0</v>
      </c>
      <c r="AH109" s="1835">
        <f t="shared" si="238"/>
        <v>0</v>
      </c>
      <c r="AI109" s="1835">
        <f t="shared" si="238"/>
        <v>0</v>
      </c>
      <c r="AJ109" s="876"/>
    </row>
    <row r="110" spans="1:36" ht="12.75" customHeight="1">
      <c r="A110" s="876" t="str">
        <f>IF('Stabilized Ops &amp; Debt'!K79=0,"--",'Stabilized Ops &amp; Debt'!K79)</f>
        <v>--</v>
      </c>
      <c r="B110" s="1834" t="str">
        <f>'Stabilized Ops &amp; Debt'!K71</f>
        <v>Deferred</v>
      </c>
      <c r="C110" s="1366"/>
      <c r="D110" s="876"/>
      <c r="E110" s="1743"/>
      <c r="F110" s="1835"/>
      <c r="G110" s="1835"/>
      <c r="H110" s="1835"/>
      <c r="I110" s="1835"/>
      <c r="J110" s="1835"/>
      <c r="K110" s="1835"/>
      <c r="L110" s="1835"/>
      <c r="M110" s="1835"/>
      <c r="N110" s="1835"/>
      <c r="O110" s="1835"/>
      <c r="P110" s="1835"/>
      <c r="Q110" s="1835"/>
      <c r="R110" s="1835"/>
      <c r="S110" s="1835"/>
      <c r="T110" s="1835"/>
      <c r="U110" s="1835"/>
      <c r="V110" s="1835"/>
      <c r="W110" s="1835"/>
      <c r="X110" s="1835"/>
      <c r="Y110" s="1835"/>
      <c r="Z110" s="1835"/>
      <c r="AA110" s="1835"/>
      <c r="AB110" s="1835"/>
      <c r="AC110" s="1835"/>
      <c r="AD110" s="1835"/>
      <c r="AE110" s="1835"/>
      <c r="AF110" s="1835"/>
      <c r="AG110" s="1835"/>
      <c r="AH110" s="1835"/>
      <c r="AI110" s="1835"/>
      <c r="AJ110" s="876"/>
    </row>
    <row r="111" spans="1:36" ht="12.75" customHeight="1">
      <c r="A111" s="876" t="s">
        <v>410</v>
      </c>
      <c r="B111" s="1834"/>
      <c r="C111" s="1366"/>
      <c r="D111" s="876"/>
      <c r="E111" s="1743"/>
      <c r="F111" s="1835">
        <f>IF($B110="Resid. Receipts",'Stabilized Ops &amp; Debt'!$K$80,0)</f>
        <v>0</v>
      </c>
      <c r="G111" s="1835">
        <f>F111</f>
        <v>0</v>
      </c>
      <c r="H111" s="1835">
        <f t="shared" ref="H111" si="239">G111</f>
        <v>0</v>
      </c>
      <c r="I111" s="1835">
        <f t="shared" ref="I111" si="240">H111</f>
        <v>0</v>
      </c>
      <c r="J111" s="1835">
        <f t="shared" ref="J111" si="241">I111</f>
        <v>0</v>
      </c>
      <c r="K111" s="1835">
        <f t="shared" ref="K111" si="242">J111</f>
        <v>0</v>
      </c>
      <c r="L111" s="1835">
        <f t="shared" ref="L111" si="243">K111</f>
        <v>0</v>
      </c>
      <c r="M111" s="1835">
        <f t="shared" ref="M111" si="244">L111</f>
        <v>0</v>
      </c>
      <c r="N111" s="1835">
        <f t="shared" ref="N111" si="245">M111</f>
        <v>0</v>
      </c>
      <c r="O111" s="1835">
        <f t="shared" ref="O111" si="246">N111</f>
        <v>0</v>
      </c>
      <c r="P111" s="1835">
        <f t="shared" ref="P111" si="247">O111</f>
        <v>0</v>
      </c>
      <c r="Q111" s="1835">
        <f t="shared" ref="Q111" si="248">P111</f>
        <v>0</v>
      </c>
      <c r="R111" s="1835">
        <f t="shared" ref="R111" si="249">Q111</f>
        <v>0</v>
      </c>
      <c r="S111" s="1835">
        <f t="shared" ref="S111" si="250">R111</f>
        <v>0</v>
      </c>
      <c r="T111" s="1835">
        <f t="shared" ref="T111" si="251">S111</f>
        <v>0</v>
      </c>
      <c r="U111" s="1835">
        <f t="shared" ref="U111" si="252">T111</f>
        <v>0</v>
      </c>
      <c r="V111" s="1835">
        <f t="shared" ref="V111" si="253">U111</f>
        <v>0</v>
      </c>
      <c r="W111" s="1835">
        <f t="shared" ref="W111" si="254">V111</f>
        <v>0</v>
      </c>
      <c r="X111" s="1835">
        <f t="shared" ref="X111" si="255">W111</f>
        <v>0</v>
      </c>
      <c r="Y111" s="1835">
        <f t="shared" ref="Y111" si="256">X111</f>
        <v>0</v>
      </c>
      <c r="Z111" s="1835">
        <f t="shared" ref="Z111" si="257">Y111</f>
        <v>0</v>
      </c>
      <c r="AA111" s="1835">
        <f t="shared" ref="AA111" si="258">Z111</f>
        <v>0</v>
      </c>
      <c r="AB111" s="1835">
        <f t="shared" ref="AB111" si="259">AA111</f>
        <v>0</v>
      </c>
      <c r="AC111" s="1835">
        <f t="shared" ref="AC111" si="260">AB111</f>
        <v>0</v>
      </c>
      <c r="AD111" s="1835">
        <f t="shared" ref="AD111" si="261">AC111</f>
        <v>0</v>
      </c>
      <c r="AE111" s="1835">
        <f t="shared" ref="AE111" si="262">AD111</f>
        <v>0</v>
      </c>
      <c r="AF111" s="1835">
        <f t="shared" ref="AF111" si="263">AE111</f>
        <v>0</v>
      </c>
      <c r="AG111" s="1835">
        <f t="shared" ref="AG111" si="264">AF111</f>
        <v>0</v>
      </c>
      <c r="AH111" s="1835">
        <f t="shared" ref="AH111" si="265">AG111</f>
        <v>0</v>
      </c>
      <c r="AI111" s="1835">
        <f t="shared" ref="AI111" si="266">AH111</f>
        <v>0</v>
      </c>
      <c r="AJ111" s="876"/>
    </row>
    <row r="112" spans="1:36" ht="12.75" customHeight="1">
      <c r="A112" s="876" t="s">
        <v>411</v>
      </c>
      <c r="B112" s="1837">
        <f>'Stabilized Ops &amp; Debt'!K82</f>
        <v>0</v>
      </c>
      <c r="C112" s="1366"/>
      <c r="D112" s="876"/>
      <c r="E112" s="1743"/>
      <c r="F112" s="1835">
        <f>$B112*F111</f>
        <v>0</v>
      </c>
      <c r="G112" s="1835">
        <f t="shared" ref="G112:AI112" si="267">$B112*G111</f>
        <v>0</v>
      </c>
      <c r="H112" s="1835">
        <f t="shared" si="267"/>
        <v>0</v>
      </c>
      <c r="I112" s="1835">
        <f t="shared" si="267"/>
        <v>0</v>
      </c>
      <c r="J112" s="1835">
        <f t="shared" si="267"/>
        <v>0</v>
      </c>
      <c r="K112" s="1835">
        <f t="shared" si="267"/>
        <v>0</v>
      </c>
      <c r="L112" s="1835">
        <f t="shared" si="267"/>
        <v>0</v>
      </c>
      <c r="M112" s="1835">
        <f t="shared" si="267"/>
        <v>0</v>
      </c>
      <c r="N112" s="1835">
        <f t="shared" si="267"/>
        <v>0</v>
      </c>
      <c r="O112" s="1835">
        <f t="shared" si="267"/>
        <v>0</v>
      </c>
      <c r="P112" s="1835">
        <f t="shared" si="267"/>
        <v>0</v>
      </c>
      <c r="Q112" s="1835">
        <f t="shared" si="267"/>
        <v>0</v>
      </c>
      <c r="R112" s="1835">
        <f t="shared" si="267"/>
        <v>0</v>
      </c>
      <c r="S112" s="1835">
        <f t="shared" si="267"/>
        <v>0</v>
      </c>
      <c r="T112" s="1835">
        <f t="shared" si="267"/>
        <v>0</v>
      </c>
      <c r="U112" s="1835">
        <f t="shared" si="267"/>
        <v>0</v>
      </c>
      <c r="V112" s="1835">
        <f t="shared" si="267"/>
        <v>0</v>
      </c>
      <c r="W112" s="1835">
        <f t="shared" si="267"/>
        <v>0</v>
      </c>
      <c r="X112" s="1835">
        <f t="shared" si="267"/>
        <v>0</v>
      </c>
      <c r="Y112" s="1835">
        <f t="shared" si="267"/>
        <v>0</v>
      </c>
      <c r="Z112" s="1835">
        <f t="shared" si="267"/>
        <v>0</v>
      </c>
      <c r="AA112" s="1835">
        <f t="shared" si="267"/>
        <v>0</v>
      </c>
      <c r="AB112" s="1835">
        <f t="shared" si="267"/>
        <v>0</v>
      </c>
      <c r="AC112" s="1835">
        <f t="shared" si="267"/>
        <v>0</v>
      </c>
      <c r="AD112" s="1835">
        <f t="shared" si="267"/>
        <v>0</v>
      </c>
      <c r="AE112" s="1835">
        <f t="shared" si="267"/>
        <v>0</v>
      </c>
      <c r="AF112" s="1835">
        <f t="shared" si="267"/>
        <v>0</v>
      </c>
      <c r="AG112" s="1835">
        <f t="shared" si="267"/>
        <v>0</v>
      </c>
      <c r="AH112" s="1835">
        <f t="shared" si="267"/>
        <v>0</v>
      </c>
      <c r="AI112" s="1835">
        <f t="shared" si="267"/>
        <v>0</v>
      </c>
      <c r="AJ112" s="876"/>
    </row>
    <row r="113" spans="1:36" ht="12.75" customHeight="1">
      <c r="A113" s="876" t="s">
        <v>409</v>
      </c>
      <c r="B113" s="876"/>
      <c r="C113" s="1366"/>
      <c r="D113" s="876"/>
      <c r="E113" s="1743"/>
      <c r="F113" s="1835">
        <f>-MIN(F$70*$D$75,F111+F112)</f>
        <v>0</v>
      </c>
      <c r="G113" s="1835">
        <f t="shared" ref="G113:AI113" si="268">-MIN(G$70*$D$75,G111+G112)</f>
        <v>0</v>
      </c>
      <c r="H113" s="1835">
        <f t="shared" si="268"/>
        <v>0</v>
      </c>
      <c r="I113" s="1835">
        <f t="shared" si="268"/>
        <v>0</v>
      </c>
      <c r="J113" s="1835">
        <f t="shared" si="268"/>
        <v>0</v>
      </c>
      <c r="K113" s="1835">
        <f t="shared" si="268"/>
        <v>0</v>
      </c>
      <c r="L113" s="1835">
        <f t="shared" si="268"/>
        <v>0</v>
      </c>
      <c r="M113" s="1835">
        <f t="shared" si="268"/>
        <v>0</v>
      </c>
      <c r="N113" s="1835">
        <f t="shared" si="268"/>
        <v>0</v>
      </c>
      <c r="O113" s="1835">
        <f t="shared" si="268"/>
        <v>0</v>
      </c>
      <c r="P113" s="1835">
        <f t="shared" si="268"/>
        <v>0</v>
      </c>
      <c r="Q113" s="1835">
        <f t="shared" si="268"/>
        <v>0</v>
      </c>
      <c r="R113" s="1835">
        <f t="shared" si="268"/>
        <v>0</v>
      </c>
      <c r="S113" s="1835">
        <f t="shared" si="268"/>
        <v>0</v>
      </c>
      <c r="T113" s="1835">
        <f t="shared" si="268"/>
        <v>0</v>
      </c>
      <c r="U113" s="1835">
        <f t="shared" si="268"/>
        <v>0</v>
      </c>
      <c r="V113" s="1835">
        <f t="shared" si="268"/>
        <v>0</v>
      </c>
      <c r="W113" s="1835">
        <f t="shared" si="268"/>
        <v>0</v>
      </c>
      <c r="X113" s="1835">
        <f t="shared" si="268"/>
        <v>0</v>
      </c>
      <c r="Y113" s="1835">
        <f t="shared" si="268"/>
        <v>0</v>
      </c>
      <c r="Z113" s="1835">
        <f t="shared" si="268"/>
        <v>0</v>
      </c>
      <c r="AA113" s="1835">
        <f t="shared" si="268"/>
        <v>0</v>
      </c>
      <c r="AB113" s="1835">
        <f t="shared" si="268"/>
        <v>0</v>
      </c>
      <c r="AC113" s="1835">
        <f t="shared" si="268"/>
        <v>0</v>
      </c>
      <c r="AD113" s="1835">
        <f t="shared" si="268"/>
        <v>0</v>
      </c>
      <c r="AE113" s="1835">
        <f t="shared" si="268"/>
        <v>0</v>
      </c>
      <c r="AF113" s="1835">
        <f t="shared" si="268"/>
        <v>0</v>
      </c>
      <c r="AG113" s="1835">
        <f t="shared" si="268"/>
        <v>0</v>
      </c>
      <c r="AH113" s="1835">
        <f t="shared" si="268"/>
        <v>0</v>
      </c>
      <c r="AI113" s="1835">
        <f t="shared" si="268"/>
        <v>0</v>
      </c>
      <c r="AJ113" s="876"/>
    </row>
    <row r="114" spans="1:36" ht="12.75" customHeight="1">
      <c r="A114" s="876" t="s">
        <v>412</v>
      </c>
      <c r="B114" s="876"/>
      <c r="C114" s="1366"/>
      <c r="D114" s="876"/>
      <c r="E114" s="1743"/>
      <c r="F114" s="1835">
        <f>SUM(F111:F113)</f>
        <v>0</v>
      </c>
      <c r="G114" s="1835">
        <f t="shared" ref="G114:AI114" si="269">SUM(G111:G113)</f>
        <v>0</v>
      </c>
      <c r="H114" s="1835">
        <f t="shared" si="269"/>
        <v>0</v>
      </c>
      <c r="I114" s="1835">
        <f t="shared" si="269"/>
        <v>0</v>
      </c>
      <c r="J114" s="1835">
        <f t="shared" si="269"/>
        <v>0</v>
      </c>
      <c r="K114" s="1835">
        <f t="shared" si="269"/>
        <v>0</v>
      </c>
      <c r="L114" s="1835">
        <f t="shared" si="269"/>
        <v>0</v>
      </c>
      <c r="M114" s="1835">
        <f t="shared" si="269"/>
        <v>0</v>
      </c>
      <c r="N114" s="1835">
        <f t="shared" si="269"/>
        <v>0</v>
      </c>
      <c r="O114" s="1835">
        <f t="shared" si="269"/>
        <v>0</v>
      </c>
      <c r="P114" s="1835">
        <f t="shared" si="269"/>
        <v>0</v>
      </c>
      <c r="Q114" s="1835">
        <f t="shared" si="269"/>
        <v>0</v>
      </c>
      <c r="R114" s="1835">
        <f t="shared" si="269"/>
        <v>0</v>
      </c>
      <c r="S114" s="1835">
        <f t="shared" si="269"/>
        <v>0</v>
      </c>
      <c r="T114" s="1835">
        <f t="shared" si="269"/>
        <v>0</v>
      </c>
      <c r="U114" s="1835">
        <f t="shared" si="269"/>
        <v>0</v>
      </c>
      <c r="V114" s="1835">
        <f t="shared" si="269"/>
        <v>0</v>
      </c>
      <c r="W114" s="1835">
        <f t="shared" si="269"/>
        <v>0</v>
      </c>
      <c r="X114" s="1835">
        <f t="shared" si="269"/>
        <v>0</v>
      </c>
      <c r="Y114" s="1835">
        <f t="shared" si="269"/>
        <v>0</v>
      </c>
      <c r="Z114" s="1835">
        <f t="shared" si="269"/>
        <v>0</v>
      </c>
      <c r="AA114" s="1835">
        <f t="shared" si="269"/>
        <v>0</v>
      </c>
      <c r="AB114" s="1835">
        <f t="shared" si="269"/>
        <v>0</v>
      </c>
      <c r="AC114" s="1835">
        <f t="shared" si="269"/>
        <v>0</v>
      </c>
      <c r="AD114" s="1835">
        <f t="shared" si="269"/>
        <v>0</v>
      </c>
      <c r="AE114" s="1835">
        <f t="shared" si="269"/>
        <v>0</v>
      </c>
      <c r="AF114" s="1835">
        <f t="shared" si="269"/>
        <v>0</v>
      </c>
      <c r="AG114" s="1835">
        <f t="shared" si="269"/>
        <v>0</v>
      </c>
      <c r="AH114" s="1835">
        <f t="shared" si="269"/>
        <v>0</v>
      </c>
      <c r="AI114" s="1835">
        <f t="shared" si="269"/>
        <v>0</v>
      </c>
      <c r="AJ114" s="876"/>
    </row>
    <row r="115" spans="1:36" ht="12.75" customHeight="1">
      <c r="A115" s="876" t="s">
        <v>592</v>
      </c>
      <c r="B115" s="876"/>
      <c r="C115" s="1366"/>
      <c r="D115" s="876"/>
      <c r="E115" s="1743"/>
      <c r="F115" s="1835">
        <f>F89+F94+F99+F104+F109+F114</f>
        <v>0</v>
      </c>
      <c r="G115" s="1835">
        <f t="shared" ref="G115:AI115" si="270">G89+G94+G99+G104+G109+G114</f>
        <v>0</v>
      </c>
      <c r="H115" s="1835">
        <f t="shared" si="270"/>
        <v>0</v>
      </c>
      <c r="I115" s="1835">
        <f t="shared" si="270"/>
        <v>0</v>
      </c>
      <c r="J115" s="1835">
        <f t="shared" si="270"/>
        <v>0</v>
      </c>
      <c r="K115" s="1835">
        <f t="shared" si="270"/>
        <v>0</v>
      </c>
      <c r="L115" s="1835">
        <f t="shared" si="270"/>
        <v>0</v>
      </c>
      <c r="M115" s="1835">
        <f t="shared" si="270"/>
        <v>0</v>
      </c>
      <c r="N115" s="1835">
        <f t="shared" si="270"/>
        <v>0</v>
      </c>
      <c r="O115" s="1835">
        <f t="shared" si="270"/>
        <v>0</v>
      </c>
      <c r="P115" s="1835">
        <f t="shared" si="270"/>
        <v>0</v>
      </c>
      <c r="Q115" s="1835">
        <f t="shared" si="270"/>
        <v>0</v>
      </c>
      <c r="R115" s="1835">
        <f t="shared" si="270"/>
        <v>0</v>
      </c>
      <c r="S115" s="1835">
        <f t="shared" si="270"/>
        <v>0</v>
      </c>
      <c r="T115" s="1835">
        <f t="shared" si="270"/>
        <v>0</v>
      </c>
      <c r="U115" s="1835">
        <f t="shared" si="270"/>
        <v>0</v>
      </c>
      <c r="V115" s="1835">
        <f t="shared" si="270"/>
        <v>0</v>
      </c>
      <c r="W115" s="1835">
        <f t="shared" si="270"/>
        <v>0</v>
      </c>
      <c r="X115" s="1835">
        <f t="shared" si="270"/>
        <v>0</v>
      </c>
      <c r="Y115" s="1835">
        <f t="shared" si="270"/>
        <v>0</v>
      </c>
      <c r="Z115" s="1835">
        <f t="shared" si="270"/>
        <v>0</v>
      </c>
      <c r="AA115" s="1835">
        <f t="shared" si="270"/>
        <v>0</v>
      </c>
      <c r="AB115" s="1835">
        <f t="shared" si="270"/>
        <v>0</v>
      </c>
      <c r="AC115" s="1835">
        <f t="shared" si="270"/>
        <v>0</v>
      </c>
      <c r="AD115" s="1835">
        <f t="shared" si="270"/>
        <v>0</v>
      </c>
      <c r="AE115" s="1835">
        <f t="shared" si="270"/>
        <v>0</v>
      </c>
      <c r="AF115" s="1835">
        <f t="shared" si="270"/>
        <v>0</v>
      </c>
      <c r="AG115" s="1835">
        <f t="shared" si="270"/>
        <v>0</v>
      </c>
      <c r="AH115" s="1835">
        <f t="shared" si="270"/>
        <v>0</v>
      </c>
      <c r="AI115" s="1835">
        <f t="shared" si="270"/>
        <v>0</v>
      </c>
      <c r="AJ115" s="876"/>
    </row>
    <row r="116" spans="1:36" ht="12.75" customHeight="1">
      <c r="A116" s="876"/>
      <c r="B116" s="876"/>
      <c r="C116" s="1366"/>
      <c r="D116" s="876"/>
      <c r="E116" s="1743"/>
      <c r="F116" s="876"/>
      <c r="G116" s="876"/>
      <c r="H116" s="876"/>
      <c r="I116" s="876"/>
      <c r="J116" s="876"/>
      <c r="K116" s="876"/>
      <c r="L116" s="876"/>
      <c r="M116" s="876"/>
      <c r="N116" s="876"/>
      <c r="O116" s="876"/>
      <c r="P116" s="876"/>
      <c r="Q116" s="876"/>
      <c r="R116" s="876"/>
      <c r="S116" s="876"/>
      <c r="T116" s="876"/>
      <c r="U116" s="1343"/>
      <c r="V116" s="876"/>
      <c r="W116" s="876"/>
      <c r="X116" s="876"/>
      <c r="Y116" s="876"/>
      <c r="Z116" s="876"/>
      <c r="AA116" s="876"/>
      <c r="AB116" s="876"/>
      <c r="AC116" s="876"/>
      <c r="AD116" s="876"/>
      <c r="AE116" s="876"/>
      <c r="AF116" s="876"/>
      <c r="AG116" s="876"/>
      <c r="AH116" s="876"/>
      <c r="AI116" s="876"/>
      <c r="AJ116" s="876"/>
    </row>
    <row r="117" spans="1:36" ht="12.75" customHeight="1">
      <c r="A117" s="1840" t="s">
        <v>447</v>
      </c>
      <c r="B117" s="1841"/>
      <c r="C117" s="1841"/>
      <c r="D117" s="1841"/>
      <c r="E117" s="1842"/>
      <c r="F117" s="1843" t="s">
        <v>724</v>
      </c>
      <c r="G117" s="876"/>
      <c r="H117" s="876"/>
      <c r="I117" s="876"/>
      <c r="J117" s="876"/>
      <c r="K117" s="876"/>
      <c r="L117" s="876"/>
      <c r="M117" s="876"/>
      <c r="N117" s="876"/>
      <c r="O117" s="876"/>
      <c r="P117" s="876"/>
      <c r="Q117" s="876"/>
      <c r="R117" s="876"/>
      <c r="S117" s="876"/>
      <c r="T117" s="876"/>
      <c r="U117" s="1343"/>
      <c r="V117" s="876"/>
      <c r="W117" s="876"/>
      <c r="X117" s="876"/>
      <c r="Y117" s="876"/>
      <c r="Z117" s="876"/>
      <c r="AA117" s="876"/>
      <c r="AB117" s="876"/>
      <c r="AC117" s="876"/>
      <c r="AD117" s="876"/>
      <c r="AE117" s="876"/>
      <c r="AF117" s="876"/>
      <c r="AG117" s="876"/>
      <c r="AH117" s="876"/>
      <c r="AI117" s="876"/>
      <c r="AJ117" s="876"/>
    </row>
    <row r="118" spans="1:36" ht="12.75" customHeight="1">
      <c r="A118" s="1841"/>
      <c r="B118" s="1841"/>
      <c r="C118" s="1841"/>
      <c r="D118" s="1841"/>
      <c r="E118" s="1842"/>
      <c r="F118" s="1843"/>
      <c r="G118" s="876"/>
      <c r="H118" s="876"/>
      <c r="I118" s="876"/>
      <c r="J118" s="876"/>
      <c r="K118" s="876"/>
      <c r="L118" s="876"/>
      <c r="M118" s="876"/>
      <c r="N118" s="876"/>
      <c r="O118" s="876"/>
      <c r="P118" s="876"/>
      <c r="Q118" s="876"/>
      <c r="R118" s="876"/>
      <c r="S118" s="876"/>
      <c r="T118" s="876"/>
      <c r="U118" s="1343"/>
      <c r="V118" s="876"/>
      <c r="W118" s="876"/>
      <c r="X118" s="876"/>
      <c r="Y118" s="876"/>
      <c r="Z118" s="876"/>
      <c r="AA118" s="876"/>
      <c r="AB118" s="876"/>
      <c r="AC118" s="876"/>
      <c r="AD118" s="876"/>
      <c r="AE118" s="876"/>
      <c r="AF118" s="876"/>
      <c r="AG118" s="876"/>
      <c r="AH118" s="876"/>
      <c r="AI118" s="876"/>
      <c r="AJ118" s="876"/>
    </row>
    <row r="119" spans="1:36" ht="12.75" customHeight="1">
      <c r="A119" s="1841" t="s">
        <v>728</v>
      </c>
      <c r="B119" s="1841"/>
      <c r="C119" s="1841"/>
      <c r="D119" s="1841"/>
      <c r="E119" s="1842"/>
      <c r="F119" s="1844">
        <f>YEAR('Project Info'!O12)</f>
        <v>1904</v>
      </c>
      <c r="G119" s="876"/>
      <c r="H119" s="876"/>
      <c r="I119" s="876"/>
      <c r="J119" s="876"/>
      <c r="K119" s="876"/>
      <c r="L119" s="876"/>
      <c r="M119" s="876"/>
      <c r="N119" s="876"/>
      <c r="O119" s="876"/>
      <c r="P119" s="876"/>
      <c r="Q119" s="876"/>
      <c r="R119" s="876"/>
      <c r="S119" s="876"/>
      <c r="T119" s="876"/>
      <c r="U119" s="1343"/>
      <c r="V119" s="876"/>
      <c r="W119" s="876"/>
      <c r="X119" s="876"/>
      <c r="Y119" s="876"/>
      <c r="Z119" s="876"/>
      <c r="AA119" s="876"/>
      <c r="AB119" s="876"/>
      <c r="AC119" s="876"/>
      <c r="AD119" s="876"/>
      <c r="AE119" s="876"/>
      <c r="AF119" s="876"/>
      <c r="AG119" s="876"/>
      <c r="AH119" s="876"/>
      <c r="AI119" s="876"/>
      <c r="AJ119" s="876"/>
    </row>
    <row r="120" spans="1:36" ht="12.75" customHeight="1">
      <c r="A120" s="1841" t="s">
        <v>729</v>
      </c>
      <c r="B120" s="876"/>
      <c r="C120" s="1841"/>
      <c r="D120" s="876"/>
      <c r="E120" s="1842"/>
      <c r="F120" s="1845">
        <f>F119+15</f>
        <v>1919</v>
      </c>
      <c r="G120" s="1846"/>
      <c r="H120" s="876"/>
      <c r="I120" s="876"/>
      <c r="J120" s="876"/>
      <c r="K120" s="876"/>
      <c r="L120" s="876"/>
      <c r="M120" s="876"/>
      <c r="N120" s="876"/>
      <c r="O120" s="876"/>
      <c r="P120" s="876"/>
      <c r="Q120" s="876"/>
      <c r="R120" s="876"/>
      <c r="S120" s="876"/>
      <c r="T120" s="876"/>
      <c r="U120" s="1343"/>
      <c r="V120" s="876"/>
      <c r="W120" s="876"/>
      <c r="X120" s="876"/>
      <c r="Y120" s="876"/>
      <c r="Z120" s="876"/>
      <c r="AA120" s="876"/>
      <c r="AB120" s="876"/>
      <c r="AC120" s="876"/>
      <c r="AD120" s="876"/>
      <c r="AE120" s="876"/>
      <c r="AF120" s="876"/>
      <c r="AG120" s="876"/>
      <c r="AH120" s="876"/>
      <c r="AI120" s="876"/>
      <c r="AJ120" s="876"/>
    </row>
    <row r="121" spans="1:36" ht="12.75" customHeight="1">
      <c r="A121" s="1014" t="s">
        <v>491</v>
      </c>
      <c r="B121" s="1841"/>
      <c r="C121" s="1841"/>
      <c r="D121" s="1841"/>
      <c r="E121" s="1842"/>
      <c r="F121" s="1847">
        <f>LOOKUP(F120,F6:AI6,F36:AI36)</f>
        <v>0</v>
      </c>
      <c r="G121" s="876"/>
      <c r="H121" s="876"/>
      <c r="I121" s="876"/>
      <c r="J121" s="876"/>
      <c r="K121" s="876"/>
      <c r="L121" s="876"/>
      <c r="M121" s="876"/>
      <c r="N121" s="876"/>
      <c r="O121" s="876"/>
      <c r="P121" s="876"/>
      <c r="Q121" s="876"/>
      <c r="R121" s="876"/>
      <c r="S121" s="876"/>
      <c r="T121" s="876"/>
      <c r="U121" s="1343"/>
      <c r="V121" s="876"/>
      <c r="W121" s="876"/>
      <c r="X121" s="876"/>
      <c r="Y121" s="876"/>
      <c r="Z121" s="876"/>
      <c r="AA121" s="876"/>
      <c r="AB121" s="876"/>
      <c r="AC121" s="876"/>
      <c r="AD121" s="876"/>
      <c r="AE121" s="876"/>
      <c r="AF121" s="876"/>
      <c r="AG121" s="876"/>
      <c r="AH121" s="876"/>
      <c r="AI121" s="876"/>
      <c r="AJ121" s="876"/>
    </row>
    <row r="122" spans="1:36" ht="12.75" customHeight="1">
      <c r="A122" s="1014" t="s">
        <v>460</v>
      </c>
      <c r="B122" s="1841"/>
      <c r="C122" s="1841"/>
      <c r="D122" s="1841"/>
      <c r="E122" s="1842"/>
      <c r="F122" s="1848">
        <f>'Stabilized Ops &amp; Debt'!M93</f>
        <v>0</v>
      </c>
      <c r="G122" s="876"/>
      <c r="H122" s="876"/>
      <c r="I122" s="876"/>
      <c r="J122" s="876"/>
      <c r="K122" s="876"/>
      <c r="L122" s="876"/>
      <c r="M122" s="876"/>
      <c r="N122" s="876"/>
      <c r="O122" s="876"/>
      <c r="P122" s="876"/>
      <c r="Q122" s="876"/>
      <c r="R122" s="876"/>
      <c r="S122" s="876"/>
      <c r="T122" s="876"/>
      <c r="U122" s="1343"/>
      <c r="V122" s="876"/>
      <c r="W122" s="876"/>
      <c r="X122" s="876"/>
      <c r="Y122" s="876"/>
      <c r="Z122" s="876"/>
      <c r="AA122" s="876"/>
      <c r="AB122" s="876"/>
      <c r="AC122" s="876"/>
      <c r="AD122" s="876"/>
      <c r="AE122" s="876"/>
      <c r="AF122" s="876"/>
      <c r="AG122" s="876"/>
      <c r="AH122" s="876"/>
      <c r="AI122" s="876"/>
      <c r="AJ122" s="876"/>
    </row>
    <row r="123" spans="1:36" ht="12.75" customHeight="1">
      <c r="A123" s="1014" t="s">
        <v>458</v>
      </c>
      <c r="B123" s="1841"/>
      <c r="C123" s="1841"/>
      <c r="D123" s="1841"/>
      <c r="E123" s="1842"/>
      <c r="F123" s="1849">
        <f>'Stabilized Ops &amp; Debt'!M94</f>
        <v>0</v>
      </c>
      <c r="G123" s="876"/>
      <c r="H123" s="876"/>
      <c r="I123" s="876"/>
      <c r="J123" s="876"/>
      <c r="K123" s="876"/>
      <c r="L123" s="876"/>
      <c r="M123" s="876"/>
      <c r="N123" s="876"/>
      <c r="O123" s="876"/>
      <c r="P123" s="876"/>
      <c r="Q123" s="876"/>
      <c r="R123" s="876"/>
      <c r="S123" s="876"/>
      <c r="T123" s="876"/>
      <c r="U123" s="1343"/>
      <c r="V123" s="876"/>
      <c r="W123" s="876"/>
      <c r="X123" s="876"/>
      <c r="Y123" s="876"/>
      <c r="Z123" s="876"/>
      <c r="AA123" s="876"/>
      <c r="AB123" s="876"/>
      <c r="AC123" s="876"/>
      <c r="AD123" s="876"/>
      <c r="AE123" s="876"/>
      <c r="AF123" s="876"/>
      <c r="AG123" s="876"/>
      <c r="AH123" s="876"/>
      <c r="AI123" s="876"/>
      <c r="AJ123" s="876"/>
    </row>
    <row r="124" spans="1:36" ht="12.75" customHeight="1">
      <c r="A124" s="1014" t="s">
        <v>457</v>
      </c>
      <c r="B124" s="1841"/>
      <c r="C124" s="1841"/>
      <c r="D124" s="1841"/>
      <c r="E124" s="1842"/>
      <c r="F124" s="1850">
        <f>'Stabilized Ops &amp; Debt'!M95</f>
        <v>0</v>
      </c>
      <c r="G124" s="876"/>
      <c r="H124" s="876"/>
      <c r="I124" s="876"/>
      <c r="J124" s="876"/>
      <c r="K124" s="876"/>
      <c r="L124" s="876"/>
      <c r="M124" s="876"/>
      <c r="N124" s="876"/>
      <c r="O124" s="876"/>
      <c r="P124" s="876"/>
      <c r="Q124" s="876"/>
      <c r="R124" s="876"/>
      <c r="S124" s="876"/>
      <c r="T124" s="876"/>
      <c r="U124" s="1343"/>
      <c r="V124" s="876"/>
      <c r="W124" s="876"/>
      <c r="X124" s="876"/>
      <c r="Y124" s="876"/>
      <c r="Z124" s="876"/>
      <c r="AA124" s="876"/>
      <c r="AB124" s="876"/>
      <c r="AC124" s="876"/>
      <c r="AD124" s="876"/>
      <c r="AE124" s="876"/>
      <c r="AF124" s="876"/>
      <c r="AG124" s="876"/>
      <c r="AH124" s="876"/>
      <c r="AI124" s="876"/>
      <c r="AJ124" s="876"/>
    </row>
    <row r="125" spans="1:36" ht="12.75" customHeight="1">
      <c r="A125" s="1014" t="s">
        <v>455</v>
      </c>
      <c r="B125" s="1841"/>
      <c r="C125" s="1841"/>
      <c r="D125" s="876"/>
      <c r="E125" s="1842"/>
      <c r="F125" s="1851">
        <f>IFERROR(-PV(F122/12,F123*12,F121/F124/12),0)</f>
        <v>0</v>
      </c>
      <c r="G125" s="876"/>
      <c r="H125" s="876"/>
      <c r="I125" s="876"/>
      <c r="J125" s="876"/>
      <c r="K125" s="876"/>
      <c r="L125" s="876"/>
      <c r="M125" s="876"/>
      <c r="N125" s="876"/>
      <c r="O125" s="876"/>
      <c r="P125" s="876"/>
      <c r="Q125" s="876"/>
      <c r="R125" s="876"/>
      <c r="S125" s="876"/>
      <c r="T125" s="876"/>
      <c r="U125" s="1343"/>
      <c r="V125" s="876"/>
      <c r="W125" s="876"/>
      <c r="X125" s="876"/>
      <c r="Y125" s="876"/>
      <c r="Z125" s="876"/>
      <c r="AA125" s="876"/>
      <c r="AB125" s="876"/>
      <c r="AC125" s="876"/>
      <c r="AD125" s="876"/>
      <c r="AE125" s="876"/>
      <c r="AF125" s="876"/>
      <c r="AG125" s="876"/>
      <c r="AH125" s="876"/>
      <c r="AI125" s="876"/>
      <c r="AJ125" s="876"/>
    </row>
    <row r="126" spans="1:36" ht="12.75" customHeight="1">
      <c r="A126" s="1014" t="s">
        <v>609</v>
      </c>
      <c r="B126" s="1841"/>
      <c r="C126" s="1841"/>
      <c r="D126" s="1841"/>
      <c r="E126" s="1842"/>
      <c r="F126" s="1851">
        <f>LOOKUP(F120,Amort1!I15:I75,Amort1!M15:M75)+LOOKUP(F120-1,Amort2!I16:I76,Amort2!L17:L77)+LOOKUP(F120-1,Amort3!I16:I76,Amort3!L17:L77)</f>
        <v>0</v>
      </c>
      <c r="G126" s="1851"/>
      <c r="H126" s="876"/>
      <c r="I126" s="876"/>
      <c r="J126" s="876"/>
      <c r="K126" s="876"/>
      <c r="L126" s="876"/>
      <c r="M126" s="876"/>
      <c r="N126" s="876"/>
      <c r="O126" s="876"/>
      <c r="P126" s="876"/>
      <c r="Q126" s="876"/>
      <c r="R126" s="876"/>
      <c r="S126" s="876"/>
      <c r="T126" s="876"/>
      <c r="U126" s="1343"/>
      <c r="V126" s="876"/>
      <c r="W126" s="876"/>
      <c r="X126" s="876"/>
      <c r="Y126" s="876"/>
      <c r="Z126" s="876"/>
      <c r="AA126" s="876"/>
      <c r="AB126" s="876"/>
      <c r="AC126" s="876"/>
      <c r="AD126" s="876"/>
      <c r="AE126" s="876"/>
      <c r="AF126" s="876"/>
      <c r="AG126" s="876"/>
      <c r="AH126" s="876"/>
      <c r="AI126" s="876"/>
      <c r="AJ126" s="876"/>
    </row>
    <row r="127" spans="1:36" ht="12.75" customHeight="1">
      <c r="A127" s="1014" t="s">
        <v>453</v>
      </c>
      <c r="B127" s="1841"/>
      <c r="C127" s="1841"/>
      <c r="D127" s="1841"/>
      <c r="E127" s="1842"/>
      <c r="F127" s="1851">
        <f>LOOKUP(F120,F6:AI6,F115:AI115)</f>
        <v>0</v>
      </c>
      <c r="G127" s="876"/>
      <c r="H127" s="876"/>
      <c r="I127" s="876"/>
      <c r="J127" s="876"/>
      <c r="K127" s="876"/>
      <c r="L127" s="876"/>
      <c r="M127" s="876"/>
      <c r="N127" s="876"/>
      <c r="O127" s="876"/>
      <c r="P127" s="876"/>
      <c r="Q127" s="876"/>
      <c r="R127" s="876"/>
      <c r="S127" s="876"/>
      <c r="T127" s="876"/>
      <c r="U127" s="1343"/>
      <c r="V127" s="876"/>
      <c r="W127" s="876"/>
      <c r="X127" s="876"/>
      <c r="Y127" s="876"/>
      <c r="Z127" s="876"/>
      <c r="AA127" s="876"/>
      <c r="AB127" s="876"/>
      <c r="AC127" s="876"/>
      <c r="AD127" s="876"/>
      <c r="AE127" s="876"/>
      <c r="AF127" s="876"/>
      <c r="AG127" s="876"/>
      <c r="AH127" s="876"/>
      <c r="AI127" s="876"/>
      <c r="AJ127" s="876"/>
    </row>
    <row r="128" spans="1:36" ht="12.75" customHeight="1">
      <c r="A128" s="1014" t="s">
        <v>452</v>
      </c>
      <c r="B128" s="1841"/>
      <c r="C128" s="1841"/>
      <c r="D128" s="1841"/>
      <c r="E128" s="1842"/>
      <c r="F128" s="1847">
        <f>F125-F126-F127</f>
        <v>0</v>
      </c>
      <c r="G128" s="876"/>
      <c r="H128" s="876"/>
      <c r="I128" s="876"/>
      <c r="J128" s="876"/>
      <c r="K128" s="876"/>
      <c r="L128" s="876"/>
      <c r="M128" s="876"/>
      <c r="N128" s="876"/>
      <c r="O128" s="876"/>
      <c r="P128" s="876"/>
      <c r="Q128" s="876"/>
      <c r="R128" s="876"/>
      <c r="S128" s="876"/>
      <c r="T128" s="876"/>
      <c r="U128" s="1343"/>
      <c r="V128" s="876"/>
      <c r="W128" s="876"/>
      <c r="X128" s="876"/>
      <c r="Y128" s="876"/>
      <c r="Z128" s="876"/>
      <c r="AA128" s="876"/>
      <c r="AB128" s="876"/>
      <c r="AC128" s="876"/>
      <c r="AD128" s="876"/>
      <c r="AE128" s="876"/>
      <c r="AF128" s="876"/>
      <c r="AG128" s="876"/>
      <c r="AH128" s="876"/>
      <c r="AI128" s="876"/>
      <c r="AJ128" s="876"/>
    </row>
    <row r="129" spans="1:36" ht="12.75" customHeight="1">
      <c r="A129" s="1014"/>
      <c r="B129" s="1841"/>
      <c r="C129" s="1841"/>
      <c r="D129" s="1841"/>
      <c r="E129" s="1842"/>
      <c r="F129" s="1847"/>
      <c r="G129" s="876"/>
      <c r="H129" s="876"/>
      <c r="I129" s="876"/>
      <c r="J129" s="876"/>
      <c r="K129" s="876"/>
      <c r="L129" s="876"/>
      <c r="M129" s="876"/>
      <c r="N129" s="876"/>
      <c r="O129" s="876"/>
      <c r="P129" s="876"/>
      <c r="Q129" s="876"/>
      <c r="R129" s="876"/>
      <c r="S129" s="876"/>
      <c r="T129" s="876"/>
      <c r="U129" s="1343"/>
      <c r="V129" s="876"/>
      <c r="W129" s="876"/>
      <c r="X129" s="876"/>
      <c r="Y129" s="876"/>
      <c r="Z129" s="876"/>
      <c r="AA129" s="876"/>
      <c r="AB129" s="876"/>
      <c r="AC129" s="876"/>
      <c r="AD129" s="876"/>
      <c r="AE129" s="876"/>
      <c r="AF129" s="876"/>
      <c r="AG129" s="876"/>
      <c r="AH129" s="876"/>
      <c r="AI129" s="876"/>
      <c r="AJ129" s="876"/>
    </row>
    <row r="130" spans="1:36" ht="12.75" customHeight="1">
      <c r="A130" s="1841"/>
      <c r="B130" s="1841"/>
      <c r="C130" s="1841"/>
      <c r="D130" s="1841"/>
      <c r="E130" s="1842"/>
      <c r="F130" s="1852"/>
      <c r="G130" s="876"/>
      <c r="H130" s="876"/>
      <c r="I130" s="876"/>
      <c r="J130" s="876"/>
      <c r="K130" s="876"/>
      <c r="L130" s="876"/>
      <c r="M130" s="876"/>
      <c r="N130" s="876"/>
      <c r="O130" s="876"/>
      <c r="P130" s="876"/>
      <c r="Q130" s="876"/>
      <c r="R130" s="876"/>
      <c r="S130" s="876"/>
      <c r="T130" s="876"/>
      <c r="U130" s="1343"/>
      <c r="V130" s="876"/>
      <c r="W130" s="876"/>
      <c r="X130" s="876"/>
      <c r="Y130" s="876"/>
      <c r="Z130" s="876"/>
      <c r="AA130" s="876"/>
      <c r="AB130" s="876"/>
      <c r="AC130" s="876"/>
      <c r="AD130" s="876"/>
      <c r="AE130" s="876"/>
      <c r="AF130" s="876"/>
      <c r="AG130" s="876"/>
      <c r="AH130" s="876"/>
      <c r="AI130" s="876"/>
      <c r="AJ130" s="876"/>
    </row>
    <row r="131" spans="1:36" ht="12.75" customHeight="1">
      <c r="A131" s="876"/>
      <c r="B131" s="876"/>
      <c r="C131" s="1366"/>
      <c r="D131" s="876"/>
      <c r="E131" s="1743"/>
      <c r="F131" s="1852"/>
      <c r="G131" s="876"/>
      <c r="H131" s="876"/>
      <c r="I131" s="876"/>
      <c r="J131" s="876"/>
      <c r="K131" s="876"/>
      <c r="L131" s="876"/>
      <c r="M131" s="876"/>
      <c r="N131" s="876"/>
      <c r="O131" s="876"/>
      <c r="P131" s="876"/>
      <c r="Q131" s="876"/>
      <c r="R131" s="876"/>
      <c r="S131" s="876"/>
      <c r="T131" s="876"/>
      <c r="U131" s="1343"/>
      <c r="V131" s="876"/>
      <c r="W131" s="876"/>
      <c r="X131" s="876"/>
      <c r="Y131" s="876"/>
      <c r="Z131" s="876"/>
      <c r="AA131" s="876"/>
      <c r="AB131" s="876"/>
      <c r="AC131" s="876"/>
      <c r="AD131" s="876"/>
      <c r="AE131" s="876"/>
      <c r="AF131" s="876"/>
      <c r="AG131" s="876"/>
      <c r="AH131" s="876"/>
      <c r="AI131" s="876"/>
      <c r="AJ131" s="876"/>
    </row>
    <row r="132" spans="1:36" ht="12.75" customHeight="1">
      <c r="A132" s="876"/>
      <c r="B132" s="876"/>
      <c r="C132" s="1366"/>
      <c r="D132" s="876"/>
      <c r="E132" s="1743"/>
      <c r="F132" s="876"/>
      <c r="G132" s="876"/>
      <c r="H132" s="876"/>
      <c r="I132" s="876"/>
      <c r="J132" s="876"/>
      <c r="K132" s="876"/>
      <c r="L132" s="876"/>
      <c r="M132" s="876"/>
      <c r="N132" s="876"/>
      <c r="O132" s="876"/>
      <c r="P132" s="876"/>
      <c r="Q132" s="876"/>
      <c r="R132" s="876"/>
      <c r="S132" s="876"/>
      <c r="T132" s="876"/>
      <c r="U132" s="1343"/>
      <c r="V132" s="876"/>
      <c r="W132" s="876"/>
      <c r="X132" s="876"/>
      <c r="Y132" s="876"/>
      <c r="Z132" s="876"/>
      <c r="AA132" s="876"/>
      <c r="AB132" s="876"/>
      <c r="AC132" s="876"/>
      <c r="AD132" s="876"/>
      <c r="AE132" s="876"/>
      <c r="AF132" s="876"/>
      <c r="AG132" s="876"/>
      <c r="AH132" s="876"/>
      <c r="AI132" s="876"/>
      <c r="AJ132" s="876"/>
    </row>
    <row r="133" spans="1:36" ht="12.75" hidden="1" customHeight="1">
      <c r="A133" s="876"/>
      <c r="B133" s="876"/>
      <c r="C133" s="1366"/>
      <c r="D133" s="876"/>
      <c r="E133" s="1743"/>
      <c r="F133" s="876"/>
      <c r="G133" s="876"/>
      <c r="H133" s="876"/>
      <c r="I133" s="876"/>
      <c r="J133" s="876"/>
      <c r="K133" s="876"/>
      <c r="L133" s="876"/>
      <c r="M133" s="876"/>
      <c r="N133" s="876"/>
      <c r="O133" s="876"/>
      <c r="P133" s="876"/>
      <c r="Q133" s="876"/>
      <c r="R133" s="876"/>
      <c r="S133" s="876"/>
      <c r="T133" s="876"/>
      <c r="U133" s="1343"/>
      <c r="V133" s="876"/>
      <c r="W133" s="876"/>
      <c r="X133" s="876"/>
      <c r="Y133" s="876"/>
      <c r="Z133" s="876"/>
      <c r="AA133" s="876"/>
      <c r="AB133" s="876"/>
      <c r="AC133" s="876"/>
      <c r="AD133" s="876"/>
      <c r="AE133" s="876"/>
      <c r="AF133" s="876"/>
      <c r="AG133" s="876"/>
      <c r="AH133" s="876"/>
      <c r="AI133" s="876"/>
      <c r="AJ133" s="876"/>
    </row>
    <row r="134" spans="1:36" ht="12.75" hidden="1" customHeight="1">
      <c r="A134" s="876"/>
      <c r="B134" s="876"/>
      <c r="C134" s="1366"/>
      <c r="D134" s="876"/>
      <c r="E134" s="1743"/>
      <c r="F134" s="876"/>
      <c r="G134" s="876"/>
      <c r="H134" s="876"/>
      <c r="I134" s="876"/>
      <c r="J134" s="876"/>
      <c r="K134" s="876"/>
      <c r="L134" s="876"/>
      <c r="M134" s="876"/>
      <c r="N134" s="876"/>
      <c r="O134" s="876"/>
      <c r="P134" s="876"/>
      <c r="Q134" s="876"/>
      <c r="R134" s="876"/>
      <c r="S134" s="876"/>
      <c r="T134" s="876"/>
      <c r="U134" s="1343"/>
      <c r="V134" s="876"/>
      <c r="W134" s="876"/>
      <c r="X134" s="876"/>
      <c r="Y134" s="876"/>
      <c r="Z134" s="876"/>
      <c r="AA134" s="876"/>
      <c r="AB134" s="876"/>
      <c r="AC134" s="876"/>
      <c r="AD134" s="876"/>
      <c r="AE134" s="876"/>
      <c r="AF134" s="876"/>
      <c r="AG134" s="876"/>
      <c r="AH134" s="876"/>
      <c r="AI134" s="876"/>
      <c r="AJ134" s="876"/>
    </row>
    <row r="135" spans="1:36" ht="12.75" hidden="1" customHeight="1">
      <c r="A135" s="876"/>
      <c r="B135" s="876"/>
      <c r="C135" s="1366"/>
      <c r="D135" s="876"/>
      <c r="E135" s="1743"/>
      <c r="F135" s="876"/>
      <c r="G135" s="876"/>
      <c r="H135" s="876"/>
      <c r="I135" s="876"/>
      <c r="J135" s="876"/>
      <c r="K135" s="876"/>
      <c r="L135" s="876"/>
      <c r="M135" s="876"/>
      <c r="N135" s="876"/>
      <c r="O135" s="876"/>
      <c r="P135" s="876"/>
      <c r="Q135" s="876"/>
      <c r="R135" s="876"/>
      <c r="S135" s="876"/>
      <c r="T135" s="876"/>
      <c r="U135" s="1343"/>
      <c r="V135" s="876"/>
      <c r="W135" s="876"/>
      <c r="X135" s="876"/>
      <c r="Y135" s="876"/>
      <c r="Z135" s="876"/>
      <c r="AA135" s="876"/>
      <c r="AB135" s="876"/>
      <c r="AC135" s="876"/>
      <c r="AD135" s="876"/>
      <c r="AE135" s="876"/>
      <c r="AF135" s="876"/>
      <c r="AG135" s="876"/>
      <c r="AH135" s="876"/>
      <c r="AI135" s="876"/>
      <c r="AJ135" s="876"/>
    </row>
    <row r="136" spans="1:36" ht="12.75" hidden="1" customHeight="1">
      <c r="A136" s="876"/>
      <c r="B136" s="876"/>
      <c r="C136" s="1366"/>
      <c r="D136" s="876"/>
      <c r="E136" s="1743"/>
      <c r="F136" s="876"/>
      <c r="G136" s="876"/>
      <c r="H136" s="876"/>
      <c r="I136" s="876"/>
      <c r="J136" s="876"/>
      <c r="K136" s="876"/>
      <c r="L136" s="876"/>
      <c r="M136" s="876"/>
      <c r="N136" s="876"/>
      <c r="O136" s="876"/>
      <c r="P136" s="876"/>
      <c r="Q136" s="876"/>
      <c r="R136" s="876"/>
      <c r="S136" s="876"/>
      <c r="T136" s="876"/>
      <c r="U136" s="1343"/>
      <c r="V136" s="876"/>
      <c r="W136" s="876"/>
      <c r="X136" s="876"/>
      <c r="Y136" s="876"/>
      <c r="Z136" s="876"/>
      <c r="AA136" s="876"/>
      <c r="AB136" s="876"/>
      <c r="AC136" s="876"/>
      <c r="AD136" s="876"/>
      <c r="AE136" s="876"/>
      <c r="AF136" s="876"/>
      <c r="AG136" s="876"/>
      <c r="AH136" s="876"/>
      <c r="AI136" s="876"/>
      <c r="AJ136" s="876"/>
    </row>
    <row r="137" spans="1:36" ht="12.75" hidden="1" customHeight="1">
      <c r="A137" s="876"/>
      <c r="B137" s="876"/>
      <c r="C137" s="1366"/>
      <c r="D137" s="876"/>
      <c r="E137" s="1743"/>
      <c r="F137" s="876"/>
      <c r="G137" s="876"/>
      <c r="H137" s="876"/>
      <c r="I137" s="876"/>
      <c r="J137" s="876"/>
      <c r="K137" s="876"/>
      <c r="L137" s="876"/>
      <c r="M137" s="876"/>
      <c r="N137" s="876"/>
      <c r="O137" s="876"/>
      <c r="P137" s="876"/>
      <c r="Q137" s="876"/>
      <c r="R137" s="876"/>
      <c r="S137" s="876"/>
      <c r="T137" s="876"/>
      <c r="U137" s="1343"/>
      <c r="V137" s="876"/>
      <c r="W137" s="876"/>
      <c r="X137" s="876"/>
      <c r="Y137" s="876"/>
      <c r="Z137" s="876"/>
      <c r="AA137" s="876"/>
      <c r="AB137" s="876"/>
      <c r="AC137" s="876"/>
      <c r="AD137" s="876"/>
      <c r="AE137" s="876"/>
      <c r="AF137" s="876"/>
      <c r="AG137" s="876"/>
      <c r="AH137" s="876"/>
      <c r="AI137" s="876"/>
      <c r="AJ137" s="876"/>
    </row>
    <row r="138" spans="1:36" ht="12.75" hidden="1" customHeight="1">
      <c r="A138" s="876" t="s">
        <v>725</v>
      </c>
      <c r="B138" s="876"/>
      <c r="C138" s="1366"/>
      <c r="D138" s="876"/>
      <c r="E138" s="1743"/>
      <c r="F138" s="1835">
        <f>-(F88+F93+F98+F103+F108+F113)</f>
        <v>0</v>
      </c>
      <c r="G138" s="1835">
        <f t="shared" ref="G138:AI138" si="271">-(G88+G93+G98+G103+G108+G113)</f>
        <v>0</v>
      </c>
      <c r="H138" s="1835">
        <f t="shared" si="271"/>
        <v>0</v>
      </c>
      <c r="I138" s="1835">
        <f t="shared" si="271"/>
        <v>0</v>
      </c>
      <c r="J138" s="1835">
        <f t="shared" si="271"/>
        <v>0</v>
      </c>
      <c r="K138" s="1835">
        <f t="shared" si="271"/>
        <v>0</v>
      </c>
      <c r="L138" s="1835">
        <f t="shared" si="271"/>
        <v>0</v>
      </c>
      <c r="M138" s="1835">
        <f t="shared" si="271"/>
        <v>0</v>
      </c>
      <c r="N138" s="1835">
        <f t="shared" si="271"/>
        <v>0</v>
      </c>
      <c r="O138" s="1835">
        <f t="shared" si="271"/>
        <v>0</v>
      </c>
      <c r="P138" s="1835">
        <f t="shared" si="271"/>
        <v>0</v>
      </c>
      <c r="Q138" s="1835">
        <f t="shared" si="271"/>
        <v>0</v>
      </c>
      <c r="R138" s="1835">
        <f t="shared" si="271"/>
        <v>0</v>
      </c>
      <c r="S138" s="1835">
        <f t="shared" si="271"/>
        <v>0</v>
      </c>
      <c r="T138" s="1835">
        <f t="shared" si="271"/>
        <v>0</v>
      </c>
      <c r="U138" s="1835">
        <f t="shared" si="271"/>
        <v>0</v>
      </c>
      <c r="V138" s="1835">
        <f t="shared" si="271"/>
        <v>0</v>
      </c>
      <c r="W138" s="1835">
        <f t="shared" si="271"/>
        <v>0</v>
      </c>
      <c r="X138" s="1835">
        <f t="shared" si="271"/>
        <v>0</v>
      </c>
      <c r="Y138" s="1835">
        <f t="shared" si="271"/>
        <v>0</v>
      </c>
      <c r="Z138" s="1835">
        <f t="shared" si="271"/>
        <v>0</v>
      </c>
      <c r="AA138" s="1835">
        <f t="shared" si="271"/>
        <v>0</v>
      </c>
      <c r="AB138" s="1835">
        <f t="shared" si="271"/>
        <v>0</v>
      </c>
      <c r="AC138" s="1835">
        <f t="shared" si="271"/>
        <v>0</v>
      </c>
      <c r="AD138" s="1835">
        <f t="shared" si="271"/>
        <v>0</v>
      </c>
      <c r="AE138" s="1835">
        <f t="shared" si="271"/>
        <v>0</v>
      </c>
      <c r="AF138" s="1835">
        <f t="shared" si="271"/>
        <v>0</v>
      </c>
      <c r="AG138" s="1835">
        <f t="shared" si="271"/>
        <v>0</v>
      </c>
      <c r="AH138" s="1835">
        <f t="shared" si="271"/>
        <v>0</v>
      </c>
      <c r="AI138" s="1835">
        <f t="shared" si="271"/>
        <v>0</v>
      </c>
      <c r="AJ138" s="876"/>
    </row>
    <row r="139" spans="1:36" ht="12.75" hidden="1" customHeight="1">
      <c r="A139" s="876" t="s">
        <v>726</v>
      </c>
      <c r="B139" s="876"/>
      <c r="C139" s="1366"/>
      <c r="D139" s="876"/>
      <c r="E139" s="1743"/>
      <c r="F139" s="1853">
        <f t="shared" ref="F139:AI139" si="272">IF(F138=0,0,F138/F70)</f>
        <v>0</v>
      </c>
      <c r="G139" s="1854">
        <f t="shared" si="272"/>
        <v>0</v>
      </c>
      <c r="H139" s="1854">
        <f t="shared" si="272"/>
        <v>0</v>
      </c>
      <c r="I139" s="1854">
        <f t="shared" si="272"/>
        <v>0</v>
      </c>
      <c r="J139" s="1854">
        <f t="shared" si="272"/>
        <v>0</v>
      </c>
      <c r="K139" s="1854">
        <f t="shared" si="272"/>
        <v>0</v>
      </c>
      <c r="L139" s="1854">
        <f t="shared" si="272"/>
        <v>0</v>
      </c>
      <c r="M139" s="1854">
        <f t="shared" si="272"/>
        <v>0</v>
      </c>
      <c r="N139" s="1854">
        <f t="shared" si="272"/>
        <v>0</v>
      </c>
      <c r="O139" s="1854">
        <f t="shared" si="272"/>
        <v>0</v>
      </c>
      <c r="P139" s="1854">
        <f t="shared" si="272"/>
        <v>0</v>
      </c>
      <c r="Q139" s="1854">
        <f t="shared" si="272"/>
        <v>0</v>
      </c>
      <c r="R139" s="1854">
        <f t="shared" si="272"/>
        <v>0</v>
      </c>
      <c r="S139" s="1854">
        <f t="shared" si="272"/>
        <v>0</v>
      </c>
      <c r="T139" s="1854">
        <f t="shared" si="272"/>
        <v>0</v>
      </c>
      <c r="U139" s="1854">
        <f t="shared" si="272"/>
        <v>0</v>
      </c>
      <c r="V139" s="1854">
        <f t="shared" si="272"/>
        <v>0</v>
      </c>
      <c r="W139" s="1854">
        <f t="shared" si="272"/>
        <v>0</v>
      </c>
      <c r="X139" s="1854">
        <f t="shared" si="272"/>
        <v>0</v>
      </c>
      <c r="Y139" s="1854">
        <f t="shared" si="272"/>
        <v>0</v>
      </c>
      <c r="Z139" s="1854">
        <f t="shared" si="272"/>
        <v>0</v>
      </c>
      <c r="AA139" s="1854">
        <f t="shared" si="272"/>
        <v>0</v>
      </c>
      <c r="AB139" s="1854">
        <f t="shared" si="272"/>
        <v>0</v>
      </c>
      <c r="AC139" s="1854">
        <f t="shared" si="272"/>
        <v>0</v>
      </c>
      <c r="AD139" s="1854">
        <f t="shared" si="272"/>
        <v>0</v>
      </c>
      <c r="AE139" s="1854">
        <f t="shared" si="272"/>
        <v>0</v>
      </c>
      <c r="AF139" s="1854">
        <f t="shared" si="272"/>
        <v>0</v>
      </c>
      <c r="AG139" s="1854">
        <f t="shared" si="272"/>
        <v>0</v>
      </c>
      <c r="AH139" s="1854">
        <f t="shared" si="272"/>
        <v>0</v>
      </c>
      <c r="AI139" s="1854">
        <f t="shared" si="272"/>
        <v>0</v>
      </c>
      <c r="AJ139" s="876"/>
    </row>
    <row r="140" spans="1:36" ht="12.75" customHeight="1">
      <c r="A140" s="876"/>
      <c r="B140" s="876"/>
      <c r="C140" s="1366"/>
      <c r="D140" s="876"/>
      <c r="E140" s="1743"/>
      <c r="F140" s="876"/>
      <c r="G140" s="876"/>
      <c r="H140" s="876"/>
      <c r="I140" s="876"/>
      <c r="J140" s="876"/>
      <c r="K140" s="876"/>
      <c r="L140" s="876"/>
      <c r="M140" s="876"/>
      <c r="N140" s="876"/>
      <c r="O140" s="876"/>
      <c r="P140" s="876"/>
      <c r="Q140" s="876"/>
      <c r="R140" s="876"/>
      <c r="S140" s="876"/>
      <c r="T140" s="876"/>
      <c r="U140" s="1343"/>
      <c r="V140" s="876"/>
      <c r="W140" s="876"/>
      <c r="X140" s="876"/>
      <c r="Y140" s="876"/>
      <c r="Z140" s="876"/>
      <c r="AA140" s="876"/>
      <c r="AB140" s="876"/>
      <c r="AC140" s="876"/>
      <c r="AD140" s="876"/>
      <c r="AE140" s="876"/>
      <c r="AF140" s="876"/>
      <c r="AG140" s="876"/>
      <c r="AH140" s="876"/>
      <c r="AI140" s="876"/>
      <c r="AJ140" s="876"/>
    </row>
    <row r="141" spans="1:36" ht="12.75" customHeight="1">
      <c r="A141" s="876"/>
      <c r="B141" s="876"/>
      <c r="C141" s="1366"/>
      <c r="D141" s="876"/>
      <c r="E141" s="1743"/>
      <c r="F141" s="876"/>
      <c r="G141" s="876"/>
      <c r="H141" s="876"/>
      <c r="I141" s="876"/>
      <c r="J141" s="876"/>
      <c r="K141" s="876"/>
      <c r="L141" s="876"/>
      <c r="M141" s="876"/>
      <c r="N141" s="876"/>
      <c r="O141" s="876"/>
      <c r="P141" s="876"/>
      <c r="Q141" s="876"/>
      <c r="R141" s="876"/>
      <c r="S141" s="876"/>
      <c r="T141" s="876"/>
      <c r="U141" s="1343"/>
      <c r="V141" s="876"/>
      <c r="W141" s="876"/>
      <c r="X141" s="876"/>
      <c r="Y141" s="876"/>
      <c r="Z141" s="876"/>
      <c r="AA141" s="876"/>
      <c r="AB141" s="876"/>
      <c r="AC141" s="876"/>
      <c r="AD141" s="876"/>
      <c r="AE141" s="876"/>
      <c r="AF141" s="876"/>
      <c r="AG141" s="876"/>
      <c r="AH141" s="876"/>
      <c r="AI141" s="876"/>
      <c r="AJ141" s="876"/>
    </row>
  </sheetData>
  <sheetProtection algorithmName="SHA-512" hashValue="WHoOUM+A1t/yC+m28uBdBffX47uNoCG5E9sqYGbQDHt0ERmBTU0LX9jtcu0l/HQovMeoCBjjBeXjQyFdfoMIyA==" saltValue="QceosgBw2d475z8k1NinuA==" spinCount="100000" sheet="1" objects="1" scenarios="1"/>
  <customSheetViews>
    <customSheetView guid="{1E06907C-2281-4617-B0F2-1AE7DC994915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51561219-1382-4CE8-929B-1B7C97EAD663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1">
    <mergeCell ref="F3:H3"/>
  </mergeCells>
  <phoneticPr fontId="10"/>
  <pageMargins left="0.38" right="0.24" top="0.5" bottom="0.3" header="0.24" footer="0.24"/>
  <pageSetup scale="62" fitToWidth="2" fitToHeight="2" pageOrder="overThenDown" orientation="landscape" verticalDpi="4294967292"/>
  <headerFooter>
    <oddHeader>&amp;R&amp;"-,Regular"&amp;10&amp;D</oddHead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rgb="FFFF0000"/>
    <pageSetUpPr fitToPage="1"/>
  </sheetPr>
  <dimension ref="A1:J61"/>
  <sheetViews>
    <sheetView workbookViewId="0">
      <selection sqref="A1:J1"/>
    </sheetView>
  </sheetViews>
  <sheetFormatPr defaultColWidth="8.6640625" defaultRowHeight="15"/>
  <cols>
    <col min="1" max="1" width="18.6640625" style="9" customWidth="1"/>
    <col min="2" max="4" width="9.6640625" style="9" customWidth="1"/>
    <col min="5" max="5" width="8.6640625" style="9"/>
    <col min="6" max="6" width="3.88671875" style="9" customWidth="1"/>
    <col min="7" max="7" width="8.6640625" style="9"/>
    <col min="8" max="8" width="14.6640625" style="9" customWidth="1"/>
    <col min="9" max="16384" width="8.6640625" style="9"/>
  </cols>
  <sheetData>
    <row r="1" spans="1:10" ht="18.75">
      <c r="A1" s="2103" t="s">
        <v>10</v>
      </c>
      <c r="B1" s="2103"/>
      <c r="C1" s="2103"/>
      <c r="D1" s="2103"/>
      <c r="E1" s="2103"/>
      <c r="F1" s="2103"/>
      <c r="G1" s="2103"/>
      <c r="H1" s="2103"/>
      <c r="I1" s="2103"/>
      <c r="J1" s="2103"/>
    </row>
    <row r="2" spans="1:10" ht="15.75">
      <c r="A2" s="1855"/>
      <c r="B2" s="1855"/>
      <c r="C2" s="1855"/>
      <c r="D2" s="1855"/>
      <c r="E2" s="1855"/>
      <c r="F2" s="1855"/>
      <c r="G2" s="1855"/>
      <c r="H2" s="1855"/>
      <c r="I2" s="1855"/>
      <c r="J2" s="922"/>
    </row>
    <row r="3" spans="1:10" ht="15.75">
      <c r="A3" s="876" t="s">
        <v>119</v>
      </c>
      <c r="B3" s="876"/>
      <c r="C3" s="876"/>
      <c r="D3" s="876"/>
      <c r="E3" s="1053">
        <f>+'Project Info'!C28</f>
        <v>0</v>
      </c>
      <c r="F3" s="876"/>
      <c r="G3" s="339" t="s">
        <v>587</v>
      </c>
      <c r="H3" s="340"/>
      <c r="I3" s="1856">
        <f>YEAR('Project Info'!O6)</f>
        <v>1904</v>
      </c>
      <c r="J3" s="922"/>
    </row>
    <row r="4" spans="1:10" ht="15.75">
      <c r="A4" s="876" t="s">
        <v>115</v>
      </c>
      <c r="B4" s="1857"/>
      <c r="C4" s="1857"/>
      <c r="D4" s="1857"/>
      <c r="E4" s="1856">
        <f>'Project Info'!O17</f>
        <v>0</v>
      </c>
      <c r="F4" s="876"/>
      <c r="G4" s="341" t="s">
        <v>588</v>
      </c>
      <c r="H4" s="342"/>
      <c r="I4" s="1858">
        <f>MONTH('Project Info'!O6)</f>
        <v>1</v>
      </c>
      <c r="J4" s="922"/>
    </row>
    <row r="5" spans="1:10" ht="15.75">
      <c r="A5" s="876" t="s">
        <v>116</v>
      </c>
      <c r="B5" s="876"/>
      <c r="C5" s="876"/>
      <c r="D5" s="876"/>
      <c r="E5" s="1856">
        <f>'Project Info'!O16</f>
        <v>0</v>
      </c>
      <c r="F5" s="876"/>
      <c r="G5" s="339" t="s">
        <v>589</v>
      </c>
      <c r="H5" s="340"/>
      <c r="I5" s="1856">
        <f>YEAR('Project Info'!O10)</f>
        <v>1904</v>
      </c>
      <c r="J5" s="922"/>
    </row>
    <row r="6" spans="1:10" ht="15.75">
      <c r="A6" s="876" t="s">
        <v>415</v>
      </c>
      <c r="B6" s="876"/>
      <c r="C6" s="876"/>
      <c r="D6" s="876"/>
      <c r="E6" s="1856">
        <f>'Project Info'!O18</f>
        <v>0</v>
      </c>
      <c r="F6" s="876"/>
      <c r="G6" s="341" t="s">
        <v>413</v>
      </c>
      <c r="H6" s="342"/>
      <c r="I6" s="1858">
        <f>MONTH('Project Info'!O10)</f>
        <v>1</v>
      </c>
      <c r="J6" s="922"/>
    </row>
    <row r="7" spans="1:10" ht="15.75">
      <c r="A7" s="876"/>
      <c r="B7" s="876"/>
      <c r="C7" s="876"/>
      <c r="D7" s="876"/>
      <c r="E7" s="876"/>
      <c r="F7" s="876"/>
      <c r="G7" s="339" t="s">
        <v>590</v>
      </c>
      <c r="H7" s="340"/>
      <c r="I7" s="1856">
        <f>YEAR('Project Info'!O11)</f>
        <v>1904</v>
      </c>
      <c r="J7" s="922"/>
    </row>
    <row r="8" spans="1:10" ht="15.75">
      <c r="A8" s="876"/>
      <c r="B8" s="2249" t="s">
        <v>416</v>
      </c>
      <c r="C8" s="2248" t="s">
        <v>414</v>
      </c>
      <c r="D8" s="2250" t="s">
        <v>417</v>
      </c>
      <c r="E8" s="2248" t="s">
        <v>120</v>
      </c>
      <c r="F8" s="876"/>
      <c r="G8" s="341" t="s">
        <v>591</v>
      </c>
      <c r="H8" s="342"/>
      <c r="I8" s="1858">
        <f>MONTH('Project Info'!O11)</f>
        <v>1</v>
      </c>
      <c r="J8" s="922"/>
    </row>
    <row r="9" spans="1:10" ht="15.75">
      <c r="A9" s="876"/>
      <c r="B9" s="2249"/>
      <c r="C9" s="2248"/>
      <c r="D9" s="1998"/>
      <c r="E9" s="2248"/>
      <c r="F9" s="876"/>
      <c r="G9" s="339" t="s">
        <v>585</v>
      </c>
      <c r="H9" s="340"/>
      <c r="I9" s="1856">
        <f>YEAR('Project Info'!O13)</f>
        <v>1904</v>
      </c>
      <c r="J9" s="922"/>
    </row>
    <row r="10" spans="1:10" ht="15.75">
      <c r="A10" s="876"/>
      <c r="B10" s="2249"/>
      <c r="C10" s="2248"/>
      <c r="D10" s="1999"/>
      <c r="E10" s="2248"/>
      <c r="F10" s="876"/>
      <c r="G10" s="341" t="s">
        <v>586</v>
      </c>
      <c r="H10" s="342"/>
      <c r="I10" s="1856">
        <f>MONTH('Project Info'!O13)</f>
        <v>1</v>
      </c>
      <c r="J10" s="922"/>
    </row>
    <row r="11" spans="1:10" ht="9.75" customHeight="1" thickBot="1">
      <c r="A11" s="876"/>
      <c r="B11" s="876"/>
      <c r="C11" s="876"/>
      <c r="D11" s="876"/>
      <c r="E11" s="876"/>
      <c r="F11" s="876"/>
      <c r="G11" s="922"/>
      <c r="H11" s="922"/>
      <c r="I11" s="922"/>
      <c r="J11" s="876"/>
    </row>
    <row r="12" spans="1:10" ht="15.75">
      <c r="A12" s="2245">
        <f>+I7</f>
        <v>1904</v>
      </c>
      <c r="B12" s="2246"/>
      <c r="C12" s="2246"/>
      <c r="D12" s="2246"/>
      <c r="E12" s="2247"/>
      <c r="F12" s="876"/>
      <c r="G12" s="922"/>
      <c r="H12" s="922"/>
      <c r="I12" s="922"/>
      <c r="J12" s="876"/>
    </row>
    <row r="13" spans="1:10" ht="15.75">
      <c r="A13" s="1859">
        <f>DATE($I$7,1,1)</f>
        <v>0</v>
      </c>
      <c r="B13" s="1860">
        <f>IF(I8&lt;=1,E4,0)</f>
        <v>0</v>
      </c>
      <c r="C13" s="1053">
        <f t="shared" ref="C13:C24" si="0">IF(A$12&lt;I$5,E$6,IF(A$12=I$5,IF(MONTH(A13)&lt;=I$6,E$6,0)))</f>
        <v>0</v>
      </c>
      <c r="D13" s="1860">
        <f>B13-C13</f>
        <v>0</v>
      </c>
      <c r="E13" s="1861">
        <f t="shared" ref="E13:E24" si="1">IFERROR(+D13/$E$3,0)</f>
        <v>0</v>
      </c>
      <c r="F13" s="876"/>
      <c r="G13" s="1093"/>
      <c r="H13" s="922"/>
      <c r="I13" s="922"/>
      <c r="J13" s="876"/>
    </row>
    <row r="14" spans="1:10">
      <c r="A14" s="1859">
        <f>DATE($I$7,2,1)</f>
        <v>31</v>
      </c>
      <c r="B14" s="1860">
        <f>IF($I$8=MONTH(A14),E4,IF($I$8&gt;MONTH(A14),0,IF(B13+$E$5&lt;$E$3,B13+$E$5,$E$3)))</f>
        <v>0</v>
      </c>
      <c r="C14" s="1053">
        <f t="shared" si="0"/>
        <v>0</v>
      </c>
      <c r="D14" s="1860">
        <f t="shared" ref="D14:D24" si="2">B14-C14</f>
        <v>0</v>
      </c>
      <c r="E14" s="1861">
        <f t="shared" si="1"/>
        <v>0</v>
      </c>
      <c r="F14" s="876"/>
      <c r="G14" s="876"/>
      <c r="H14" s="876"/>
      <c r="I14" s="1343"/>
      <c r="J14" s="876"/>
    </row>
    <row r="15" spans="1:10">
      <c r="A15" s="1859">
        <f>DATE($I$7,3,1)</f>
        <v>60</v>
      </c>
      <c r="B15" s="1860">
        <f t="shared" ref="B15:B24" si="3">IF($I$8=MONTH(A15),$E$4,IF($I$8&gt;MONTH(A15),0,IF(B14+$E$5&lt;$E$3,B14+$E$5,$E$3)))</f>
        <v>0</v>
      </c>
      <c r="C15" s="1053">
        <f t="shared" si="0"/>
        <v>0</v>
      </c>
      <c r="D15" s="1860">
        <f t="shared" si="2"/>
        <v>0</v>
      </c>
      <c r="E15" s="1861">
        <f t="shared" si="1"/>
        <v>0</v>
      </c>
      <c r="F15" s="876"/>
      <c r="G15" s="876"/>
      <c r="H15" s="876"/>
      <c r="I15" s="876"/>
      <c r="J15" s="876"/>
    </row>
    <row r="16" spans="1:10">
      <c r="A16" s="1859">
        <f>DATE($I$7,4,1)</f>
        <v>91</v>
      </c>
      <c r="B16" s="1860">
        <f t="shared" si="3"/>
        <v>0</v>
      </c>
      <c r="C16" s="1053">
        <f t="shared" si="0"/>
        <v>0</v>
      </c>
      <c r="D16" s="1860">
        <f t="shared" si="2"/>
        <v>0</v>
      </c>
      <c r="E16" s="1861">
        <f t="shared" si="1"/>
        <v>0</v>
      </c>
      <c r="F16" s="876"/>
      <c r="G16" s="876"/>
      <c r="H16" s="876"/>
      <c r="I16" s="876"/>
      <c r="J16" s="876"/>
    </row>
    <row r="17" spans="1:10">
      <c r="A17" s="1859">
        <f>DATE($I$7,5,1)</f>
        <v>121</v>
      </c>
      <c r="B17" s="1860">
        <f t="shared" si="3"/>
        <v>0</v>
      </c>
      <c r="C17" s="1053">
        <f t="shared" si="0"/>
        <v>0</v>
      </c>
      <c r="D17" s="1860">
        <f t="shared" si="2"/>
        <v>0</v>
      </c>
      <c r="E17" s="1861">
        <f t="shared" si="1"/>
        <v>0</v>
      </c>
      <c r="F17" s="876"/>
      <c r="G17" s="876"/>
      <c r="H17" s="1862"/>
      <c r="I17" s="876"/>
      <c r="J17" s="876"/>
    </row>
    <row r="18" spans="1:10">
      <c r="A18" s="1859">
        <f>DATE($I$7,6,1)</f>
        <v>152</v>
      </c>
      <c r="B18" s="1860">
        <f t="shared" si="3"/>
        <v>0</v>
      </c>
      <c r="C18" s="1053">
        <f t="shared" si="0"/>
        <v>0</v>
      </c>
      <c r="D18" s="1860">
        <f t="shared" si="2"/>
        <v>0</v>
      </c>
      <c r="E18" s="1861">
        <f t="shared" si="1"/>
        <v>0</v>
      </c>
      <c r="F18" s="876"/>
      <c r="G18" s="876"/>
      <c r="H18" s="1862"/>
      <c r="I18" s="876"/>
      <c r="J18" s="876"/>
    </row>
    <row r="19" spans="1:10">
      <c r="A19" s="1859">
        <f>DATE($I$7,7,1)</f>
        <v>182</v>
      </c>
      <c r="B19" s="1860">
        <f t="shared" si="3"/>
        <v>0</v>
      </c>
      <c r="C19" s="1053">
        <f t="shared" si="0"/>
        <v>0</v>
      </c>
      <c r="D19" s="1860">
        <f t="shared" si="2"/>
        <v>0</v>
      </c>
      <c r="E19" s="1861">
        <f t="shared" si="1"/>
        <v>0</v>
      </c>
      <c r="F19" s="876"/>
      <c r="G19" s="876"/>
      <c r="H19" s="1862"/>
      <c r="I19" s="876"/>
      <c r="J19" s="876"/>
    </row>
    <row r="20" spans="1:10">
      <c r="A20" s="1859">
        <f>DATE($I$7,8,1)</f>
        <v>213</v>
      </c>
      <c r="B20" s="1860">
        <f t="shared" si="3"/>
        <v>0</v>
      </c>
      <c r="C20" s="1053">
        <f t="shared" si="0"/>
        <v>0</v>
      </c>
      <c r="D20" s="1860">
        <f t="shared" si="2"/>
        <v>0</v>
      </c>
      <c r="E20" s="1861">
        <f t="shared" si="1"/>
        <v>0</v>
      </c>
      <c r="F20" s="876"/>
      <c r="G20" s="876"/>
      <c r="H20" s="1862"/>
      <c r="I20" s="876"/>
      <c r="J20" s="876"/>
    </row>
    <row r="21" spans="1:10">
      <c r="A21" s="1859">
        <f>DATE($I$7,9,1)</f>
        <v>244</v>
      </c>
      <c r="B21" s="1860">
        <f t="shared" si="3"/>
        <v>0</v>
      </c>
      <c r="C21" s="1053">
        <f t="shared" si="0"/>
        <v>0</v>
      </c>
      <c r="D21" s="1860">
        <f t="shared" si="2"/>
        <v>0</v>
      </c>
      <c r="E21" s="1861">
        <f t="shared" si="1"/>
        <v>0</v>
      </c>
      <c r="F21" s="876"/>
      <c r="G21" s="876"/>
      <c r="H21" s="1862"/>
      <c r="I21" s="876"/>
      <c r="J21" s="876"/>
    </row>
    <row r="22" spans="1:10">
      <c r="A22" s="1859">
        <f>DATE($I$7,10,1)</f>
        <v>274</v>
      </c>
      <c r="B22" s="1860">
        <f t="shared" si="3"/>
        <v>0</v>
      </c>
      <c r="C22" s="1053">
        <f t="shared" si="0"/>
        <v>0</v>
      </c>
      <c r="D22" s="1860">
        <f t="shared" si="2"/>
        <v>0</v>
      </c>
      <c r="E22" s="1861">
        <f t="shared" si="1"/>
        <v>0</v>
      </c>
      <c r="F22" s="876"/>
      <c r="G22" s="876"/>
      <c r="H22" s="1862"/>
      <c r="I22" s="876"/>
      <c r="J22" s="876"/>
    </row>
    <row r="23" spans="1:10">
      <c r="A23" s="1859">
        <f>DATE($I$7,11,1)</f>
        <v>305</v>
      </c>
      <c r="B23" s="1860">
        <f t="shared" si="3"/>
        <v>0</v>
      </c>
      <c r="C23" s="1053">
        <f t="shared" si="0"/>
        <v>0</v>
      </c>
      <c r="D23" s="1860">
        <f t="shared" si="2"/>
        <v>0</v>
      </c>
      <c r="E23" s="1861">
        <f t="shared" si="1"/>
        <v>0</v>
      </c>
      <c r="F23" s="876"/>
      <c r="G23" s="876"/>
      <c r="H23" s="1862"/>
      <c r="I23" s="876"/>
      <c r="J23" s="876"/>
    </row>
    <row r="24" spans="1:10">
      <c r="A24" s="1859">
        <f>DATE($I$7,12,1)</f>
        <v>335</v>
      </c>
      <c r="B24" s="1860">
        <f t="shared" si="3"/>
        <v>0</v>
      </c>
      <c r="C24" s="1053">
        <f t="shared" si="0"/>
        <v>0</v>
      </c>
      <c r="D24" s="1860">
        <f t="shared" si="2"/>
        <v>0</v>
      </c>
      <c r="E24" s="1861">
        <f t="shared" si="1"/>
        <v>0</v>
      </c>
      <c r="F24" s="876"/>
      <c r="G24" s="876"/>
      <c r="H24" s="1862"/>
      <c r="I24" s="876"/>
      <c r="J24" s="876"/>
    </row>
    <row r="25" spans="1:10" ht="6" customHeight="1">
      <c r="A25" s="1863"/>
      <c r="B25" s="1864"/>
      <c r="C25" s="1864"/>
      <c r="D25" s="1864"/>
      <c r="E25" s="1865"/>
      <c r="F25" s="876"/>
      <c r="G25" s="876"/>
      <c r="H25" s="1862"/>
      <c r="I25" s="876"/>
      <c r="J25" s="876"/>
    </row>
    <row r="26" spans="1:10" s="16" customFormat="1" ht="15.75" thickBot="1">
      <c r="A26" s="1866" t="s">
        <v>121</v>
      </c>
      <c r="B26" s="1867">
        <f>SUM(B13:B24)/12</f>
        <v>0</v>
      </c>
      <c r="C26" s="1868"/>
      <c r="D26" s="1867">
        <f>SUM(D13:D24)/12</f>
        <v>0</v>
      </c>
      <c r="E26" s="1869">
        <f>IFERROR(+D26/$E$3,0)</f>
        <v>0</v>
      </c>
      <c r="F26" s="1223"/>
      <c r="G26" s="876"/>
      <c r="H26" s="1862"/>
      <c r="I26" s="876"/>
      <c r="J26" s="876"/>
    </row>
    <row r="27" spans="1:10" s="16" customFormat="1" ht="15.75" thickBot="1">
      <c r="A27" s="1870"/>
      <c r="B27" s="1871"/>
      <c r="C27" s="1871"/>
      <c r="D27" s="1871"/>
      <c r="E27" s="1872"/>
      <c r="F27" s="1223"/>
      <c r="G27" s="876"/>
      <c r="H27" s="1862"/>
      <c r="I27" s="876"/>
      <c r="J27" s="876"/>
    </row>
    <row r="28" spans="1:10">
      <c r="A28" s="2245">
        <f>+A12+1</f>
        <v>1905</v>
      </c>
      <c r="B28" s="2246"/>
      <c r="C28" s="2246"/>
      <c r="D28" s="2246"/>
      <c r="E28" s="2247"/>
      <c r="F28" s="876"/>
      <c r="G28" s="876"/>
      <c r="H28" s="1862"/>
      <c r="I28" s="876"/>
      <c r="J28" s="1223"/>
    </row>
    <row r="29" spans="1:10">
      <c r="A29" s="1859">
        <f>DATE($A$28,1,1)</f>
        <v>366</v>
      </c>
      <c r="B29" s="1860">
        <f>IF(B24+$E$5&lt;$E$3,B24+$E$5,$E$3)</f>
        <v>0</v>
      </c>
      <c r="C29" s="1053">
        <f t="shared" ref="C29:C40" si="4">IF(A$28&lt;I$5,E$6,IF(A$28=I$5,IF(MONTH(A29)&lt;=I$6,E$6,0),0))</f>
        <v>0</v>
      </c>
      <c r="D29" s="1860">
        <f>B29-C29</f>
        <v>0</v>
      </c>
      <c r="E29" s="1861">
        <f>IFERROR(+D29/$E$3,0)</f>
        <v>0</v>
      </c>
      <c r="F29" s="876"/>
      <c r="G29" s="876"/>
      <c r="H29" s="876"/>
      <c r="I29" s="876"/>
      <c r="J29" s="1223"/>
    </row>
    <row r="30" spans="1:10">
      <c r="A30" s="1859">
        <f>DATE($A$28,2,1)</f>
        <v>397</v>
      </c>
      <c r="B30" s="1860">
        <f t="shared" ref="B30:B40" si="5">IF(B29+$E$5&lt;$E$3,B29+$E$5,$E$3)</f>
        <v>0</v>
      </c>
      <c r="C30" s="1053">
        <f t="shared" si="4"/>
        <v>0</v>
      </c>
      <c r="D30" s="1860">
        <f t="shared" ref="D30:D40" si="6">B30-C30</f>
        <v>0</v>
      </c>
      <c r="E30" s="1861">
        <f t="shared" ref="E30:E40" si="7">IFERROR(+D30/$E$3,0)</f>
        <v>0</v>
      </c>
      <c r="F30" s="876"/>
      <c r="G30" s="1223"/>
      <c r="H30" s="1223"/>
      <c r="I30" s="1223"/>
      <c r="J30" s="876"/>
    </row>
    <row r="31" spans="1:10">
      <c r="A31" s="1859">
        <f>DATE($A$28,3,1)</f>
        <v>425</v>
      </c>
      <c r="B31" s="1860">
        <f t="shared" si="5"/>
        <v>0</v>
      </c>
      <c r="C31" s="1053">
        <f t="shared" si="4"/>
        <v>0</v>
      </c>
      <c r="D31" s="1860">
        <f t="shared" si="6"/>
        <v>0</v>
      </c>
      <c r="E31" s="1861">
        <f t="shared" si="7"/>
        <v>0</v>
      </c>
      <c r="F31" s="876"/>
      <c r="G31" s="1223"/>
      <c r="H31" s="1223"/>
      <c r="I31" s="1223"/>
      <c r="J31" s="876"/>
    </row>
    <row r="32" spans="1:10">
      <c r="A32" s="1859">
        <f>DATE($A$28,4,1)</f>
        <v>456</v>
      </c>
      <c r="B32" s="1860">
        <f t="shared" si="5"/>
        <v>0</v>
      </c>
      <c r="C32" s="1053">
        <f t="shared" si="4"/>
        <v>0</v>
      </c>
      <c r="D32" s="1860">
        <f t="shared" si="6"/>
        <v>0</v>
      </c>
      <c r="E32" s="1861">
        <f t="shared" si="7"/>
        <v>0</v>
      </c>
      <c r="F32" s="876"/>
      <c r="G32" s="876"/>
      <c r="H32" s="876"/>
      <c r="I32" s="876"/>
      <c r="J32" s="876"/>
    </row>
    <row r="33" spans="1:10">
      <c r="A33" s="1859">
        <f>DATE($A$28,5,1)</f>
        <v>486</v>
      </c>
      <c r="B33" s="1860">
        <f t="shared" si="5"/>
        <v>0</v>
      </c>
      <c r="C33" s="1053">
        <f t="shared" si="4"/>
        <v>0</v>
      </c>
      <c r="D33" s="1860">
        <f t="shared" si="6"/>
        <v>0</v>
      </c>
      <c r="E33" s="1861">
        <f t="shared" si="7"/>
        <v>0</v>
      </c>
      <c r="F33" s="876"/>
      <c r="G33" s="876"/>
      <c r="H33" s="1862"/>
      <c r="I33" s="876"/>
      <c r="J33" s="876"/>
    </row>
    <row r="34" spans="1:10">
      <c r="A34" s="1859">
        <f>DATE($A$28,6,1)</f>
        <v>517</v>
      </c>
      <c r="B34" s="1860">
        <f t="shared" si="5"/>
        <v>0</v>
      </c>
      <c r="C34" s="1053">
        <f t="shared" si="4"/>
        <v>0</v>
      </c>
      <c r="D34" s="1860">
        <f t="shared" si="6"/>
        <v>0</v>
      </c>
      <c r="E34" s="1861">
        <f t="shared" si="7"/>
        <v>0</v>
      </c>
      <c r="F34" s="876"/>
      <c r="G34" s="876"/>
      <c r="H34" s="1862"/>
      <c r="I34" s="876"/>
      <c r="J34" s="876"/>
    </row>
    <row r="35" spans="1:10">
      <c r="A35" s="1859">
        <f>DATE($A$28,7,1)</f>
        <v>547</v>
      </c>
      <c r="B35" s="1860">
        <f t="shared" si="5"/>
        <v>0</v>
      </c>
      <c r="C35" s="1053">
        <f t="shared" si="4"/>
        <v>0</v>
      </c>
      <c r="D35" s="1860">
        <f t="shared" si="6"/>
        <v>0</v>
      </c>
      <c r="E35" s="1861">
        <f t="shared" si="7"/>
        <v>0</v>
      </c>
      <c r="F35" s="876"/>
      <c r="G35" s="876"/>
      <c r="H35" s="1862"/>
      <c r="I35" s="876"/>
      <c r="J35" s="876"/>
    </row>
    <row r="36" spans="1:10">
      <c r="A36" s="1859">
        <f>DATE($A$28,8,1)</f>
        <v>578</v>
      </c>
      <c r="B36" s="1860">
        <f t="shared" si="5"/>
        <v>0</v>
      </c>
      <c r="C36" s="1053">
        <f t="shared" si="4"/>
        <v>0</v>
      </c>
      <c r="D36" s="1860">
        <f t="shared" si="6"/>
        <v>0</v>
      </c>
      <c r="E36" s="1861">
        <f t="shared" si="7"/>
        <v>0</v>
      </c>
      <c r="F36" s="876"/>
      <c r="G36" s="876"/>
      <c r="H36" s="1862"/>
      <c r="I36" s="876"/>
      <c r="J36" s="876"/>
    </row>
    <row r="37" spans="1:10">
      <c r="A37" s="1859">
        <f>DATE($A$28,9,1)</f>
        <v>609</v>
      </c>
      <c r="B37" s="1860">
        <f t="shared" si="5"/>
        <v>0</v>
      </c>
      <c r="C37" s="1053">
        <f t="shared" si="4"/>
        <v>0</v>
      </c>
      <c r="D37" s="1860">
        <f t="shared" si="6"/>
        <v>0</v>
      </c>
      <c r="E37" s="1861">
        <f t="shared" si="7"/>
        <v>0</v>
      </c>
      <c r="F37" s="876"/>
      <c r="G37" s="876"/>
      <c r="H37" s="1862"/>
      <c r="I37" s="876"/>
      <c r="J37" s="876"/>
    </row>
    <row r="38" spans="1:10">
      <c r="A38" s="1859">
        <f>DATE($A$28,10,1)</f>
        <v>639</v>
      </c>
      <c r="B38" s="1860">
        <f t="shared" si="5"/>
        <v>0</v>
      </c>
      <c r="C38" s="1053">
        <f t="shared" si="4"/>
        <v>0</v>
      </c>
      <c r="D38" s="1860">
        <f t="shared" si="6"/>
        <v>0</v>
      </c>
      <c r="E38" s="1861">
        <f t="shared" si="7"/>
        <v>0</v>
      </c>
      <c r="F38" s="876"/>
      <c r="G38" s="876"/>
      <c r="H38" s="1862"/>
      <c r="I38" s="876"/>
      <c r="J38" s="876"/>
    </row>
    <row r="39" spans="1:10">
      <c r="A39" s="1859">
        <f>DATE($A$28,11,1)</f>
        <v>670</v>
      </c>
      <c r="B39" s="1860">
        <f t="shared" si="5"/>
        <v>0</v>
      </c>
      <c r="C39" s="1053">
        <f t="shared" si="4"/>
        <v>0</v>
      </c>
      <c r="D39" s="1860">
        <f t="shared" si="6"/>
        <v>0</v>
      </c>
      <c r="E39" s="1861">
        <f t="shared" si="7"/>
        <v>0</v>
      </c>
      <c r="F39" s="876"/>
      <c r="G39" s="876"/>
      <c r="H39" s="1862"/>
      <c r="I39" s="876"/>
      <c r="J39" s="876"/>
    </row>
    <row r="40" spans="1:10">
      <c r="A40" s="1859">
        <f>DATE($A$28,12,1)</f>
        <v>700</v>
      </c>
      <c r="B40" s="1860">
        <f t="shared" si="5"/>
        <v>0</v>
      </c>
      <c r="C40" s="1053">
        <f t="shared" si="4"/>
        <v>0</v>
      </c>
      <c r="D40" s="1860">
        <f t="shared" si="6"/>
        <v>0</v>
      </c>
      <c r="E40" s="1861">
        <f t="shared" si="7"/>
        <v>0</v>
      </c>
      <c r="F40" s="876"/>
      <c r="G40" s="876"/>
      <c r="H40" s="1862"/>
      <c r="I40" s="876"/>
      <c r="J40" s="876"/>
    </row>
    <row r="41" spans="1:10" ht="4.5" customHeight="1">
      <c r="A41" s="1863"/>
      <c r="B41" s="1864"/>
      <c r="C41" s="1864"/>
      <c r="D41" s="1864"/>
      <c r="E41" s="1065"/>
      <c r="F41" s="876"/>
      <c r="G41" s="876"/>
      <c r="H41" s="1862"/>
      <c r="I41" s="876"/>
      <c r="J41" s="876"/>
    </row>
    <row r="42" spans="1:10" ht="15.75" thickBot="1">
      <c r="A42" s="1866" t="s">
        <v>121</v>
      </c>
      <c r="B42" s="1867">
        <f>SUM(B29:B40)/12</f>
        <v>0</v>
      </c>
      <c r="C42" s="1868"/>
      <c r="D42" s="1867">
        <f>SUM(D29:D40)/12</f>
        <v>0</v>
      </c>
      <c r="E42" s="1869">
        <f>IFERROR(+D42/$E$3,0)</f>
        <v>0</v>
      </c>
      <c r="F42" s="876"/>
      <c r="G42" s="876"/>
      <c r="H42" s="1862"/>
      <c r="I42" s="876"/>
      <c r="J42" s="876"/>
    </row>
    <row r="43" spans="1:10" ht="6.75" customHeight="1" thickBot="1">
      <c r="A43" s="1870"/>
      <c r="B43" s="1871"/>
      <c r="C43" s="1871"/>
      <c r="D43" s="1871"/>
      <c r="E43" s="1872"/>
      <c r="F43" s="876"/>
      <c r="G43" s="876"/>
      <c r="H43" s="1862"/>
      <c r="I43" s="876"/>
      <c r="J43" s="876"/>
    </row>
    <row r="44" spans="1:10">
      <c r="A44" s="2241">
        <f>+A28+1</f>
        <v>1906</v>
      </c>
      <c r="B44" s="2242"/>
      <c r="C44" s="2243"/>
      <c r="D44" s="2243"/>
      <c r="E44" s="2244"/>
      <c r="F44" s="876"/>
      <c r="G44" s="876"/>
      <c r="H44" s="1862"/>
      <c r="I44" s="876"/>
      <c r="J44" s="876"/>
    </row>
    <row r="45" spans="1:10">
      <c r="A45" s="1859">
        <f>DATE($A$44,1,1)</f>
        <v>731</v>
      </c>
      <c r="B45" s="1860">
        <f>IF(B40+$E$5&lt;$E$3,B40+$E$5,$E$3)</f>
        <v>0</v>
      </c>
      <c r="C45" s="1053">
        <f t="shared" ref="C45:C56" si="8">IF(A$44&lt;I$5,E$6,IF(A$44=I$5,IF(MONTH(A45)&lt;=I$6,E$6,0),0))</f>
        <v>0</v>
      </c>
      <c r="D45" s="1860">
        <f>B45-C45</f>
        <v>0</v>
      </c>
      <c r="E45" s="1861">
        <f>IFERROR(+B45/$E$3,0)</f>
        <v>0</v>
      </c>
      <c r="F45" s="876"/>
      <c r="G45" s="876"/>
      <c r="H45" s="876"/>
      <c r="I45" s="876"/>
      <c r="J45" s="876"/>
    </row>
    <row r="46" spans="1:10">
      <c r="A46" s="1859">
        <f>DATE($A$44,2,1)</f>
        <v>762</v>
      </c>
      <c r="B46" s="1860">
        <f t="shared" ref="B46:B56" si="9">IF(B45+$E$5&lt;$E$3,B45+$E$5,$E$3)</f>
        <v>0</v>
      </c>
      <c r="C46" s="1053">
        <f t="shared" si="8"/>
        <v>0</v>
      </c>
      <c r="D46" s="1860">
        <f t="shared" ref="D46:D56" si="10">B46-C46</f>
        <v>0</v>
      </c>
      <c r="E46" s="1861">
        <f t="shared" ref="E46:E56" si="11">IFERROR(+B46/$E$3,0)</f>
        <v>0</v>
      </c>
      <c r="F46" s="876"/>
      <c r="G46" s="876"/>
      <c r="H46" s="876"/>
      <c r="I46" s="876"/>
      <c r="J46" s="876"/>
    </row>
    <row r="47" spans="1:10">
      <c r="A47" s="1859">
        <f>DATE($A$44,3,1)</f>
        <v>790</v>
      </c>
      <c r="B47" s="1860">
        <f t="shared" si="9"/>
        <v>0</v>
      </c>
      <c r="C47" s="1053">
        <f t="shared" si="8"/>
        <v>0</v>
      </c>
      <c r="D47" s="1860">
        <f t="shared" si="10"/>
        <v>0</v>
      </c>
      <c r="E47" s="1861">
        <f t="shared" si="11"/>
        <v>0</v>
      </c>
      <c r="F47" s="876"/>
      <c r="G47" s="876"/>
      <c r="H47" s="876"/>
      <c r="I47" s="876"/>
      <c r="J47" s="876"/>
    </row>
    <row r="48" spans="1:10">
      <c r="A48" s="1859">
        <f>DATE($A$44,4,1)</f>
        <v>821</v>
      </c>
      <c r="B48" s="1860">
        <f t="shared" si="9"/>
        <v>0</v>
      </c>
      <c r="C48" s="1053">
        <f t="shared" si="8"/>
        <v>0</v>
      </c>
      <c r="D48" s="1860">
        <f t="shared" si="10"/>
        <v>0</v>
      </c>
      <c r="E48" s="1861">
        <f t="shared" si="11"/>
        <v>0</v>
      </c>
      <c r="F48" s="876"/>
      <c r="G48" s="876"/>
      <c r="H48" s="876"/>
      <c r="I48" s="876"/>
      <c r="J48" s="876"/>
    </row>
    <row r="49" spans="1:10">
      <c r="A49" s="1859">
        <f>DATE($A$44,5,1)</f>
        <v>851</v>
      </c>
      <c r="B49" s="1860">
        <f t="shared" si="9"/>
        <v>0</v>
      </c>
      <c r="C49" s="1053">
        <f t="shared" si="8"/>
        <v>0</v>
      </c>
      <c r="D49" s="1860">
        <f t="shared" si="10"/>
        <v>0</v>
      </c>
      <c r="E49" s="1861">
        <f t="shared" si="11"/>
        <v>0</v>
      </c>
      <c r="F49" s="876"/>
      <c r="G49" s="876"/>
      <c r="H49" s="876"/>
      <c r="I49" s="876"/>
      <c r="J49" s="876"/>
    </row>
    <row r="50" spans="1:10">
      <c r="A50" s="1859">
        <f>DATE($A$44,6,1)</f>
        <v>882</v>
      </c>
      <c r="B50" s="1860">
        <f t="shared" si="9"/>
        <v>0</v>
      </c>
      <c r="C50" s="1053">
        <f t="shared" si="8"/>
        <v>0</v>
      </c>
      <c r="D50" s="1860">
        <f t="shared" si="10"/>
        <v>0</v>
      </c>
      <c r="E50" s="1861">
        <f t="shared" si="11"/>
        <v>0</v>
      </c>
      <c r="F50" s="876"/>
      <c r="G50" s="876"/>
      <c r="H50" s="876"/>
      <c r="I50" s="876"/>
      <c r="J50" s="876"/>
    </row>
    <row r="51" spans="1:10">
      <c r="A51" s="1859">
        <f>DATE($A$44,7,1)</f>
        <v>912</v>
      </c>
      <c r="B51" s="1860">
        <f t="shared" si="9"/>
        <v>0</v>
      </c>
      <c r="C51" s="1053">
        <f t="shared" si="8"/>
        <v>0</v>
      </c>
      <c r="D51" s="1860">
        <f t="shared" si="10"/>
        <v>0</v>
      </c>
      <c r="E51" s="1861">
        <f t="shared" si="11"/>
        <v>0</v>
      </c>
      <c r="F51" s="876"/>
      <c r="G51" s="876"/>
      <c r="H51" s="876"/>
      <c r="I51" s="876"/>
      <c r="J51" s="876"/>
    </row>
    <row r="52" spans="1:10">
      <c r="A52" s="1859">
        <f>DATE($A$44,8,1)</f>
        <v>943</v>
      </c>
      <c r="B52" s="1860">
        <f t="shared" si="9"/>
        <v>0</v>
      </c>
      <c r="C52" s="1053">
        <f t="shared" si="8"/>
        <v>0</v>
      </c>
      <c r="D52" s="1860">
        <f t="shared" si="10"/>
        <v>0</v>
      </c>
      <c r="E52" s="1861">
        <f t="shared" si="11"/>
        <v>0</v>
      </c>
      <c r="F52" s="876"/>
      <c r="G52" s="876"/>
      <c r="H52" s="876"/>
      <c r="I52" s="876"/>
      <c r="J52" s="876"/>
    </row>
    <row r="53" spans="1:10">
      <c r="A53" s="1859">
        <f>DATE($A$44,9,1)</f>
        <v>974</v>
      </c>
      <c r="B53" s="1860">
        <f t="shared" si="9"/>
        <v>0</v>
      </c>
      <c r="C53" s="1053">
        <f t="shared" si="8"/>
        <v>0</v>
      </c>
      <c r="D53" s="1860">
        <f t="shared" si="10"/>
        <v>0</v>
      </c>
      <c r="E53" s="1861">
        <f t="shared" si="11"/>
        <v>0</v>
      </c>
      <c r="F53" s="876"/>
      <c r="G53" s="876"/>
      <c r="H53" s="876"/>
      <c r="I53" s="876"/>
      <c r="J53" s="876"/>
    </row>
    <row r="54" spans="1:10">
      <c r="A54" s="1859">
        <f>DATE($A$44,10,1)</f>
        <v>1004</v>
      </c>
      <c r="B54" s="1860">
        <f t="shared" si="9"/>
        <v>0</v>
      </c>
      <c r="C54" s="1053">
        <f t="shared" si="8"/>
        <v>0</v>
      </c>
      <c r="D54" s="1860">
        <f t="shared" si="10"/>
        <v>0</v>
      </c>
      <c r="E54" s="1861">
        <f t="shared" si="11"/>
        <v>0</v>
      </c>
      <c r="F54" s="876"/>
      <c r="G54" s="876"/>
      <c r="H54" s="876"/>
      <c r="I54" s="876"/>
      <c r="J54" s="876"/>
    </row>
    <row r="55" spans="1:10">
      <c r="A55" s="1859">
        <f>DATE($A$44,11,1)</f>
        <v>1035</v>
      </c>
      <c r="B55" s="1860">
        <f t="shared" si="9"/>
        <v>0</v>
      </c>
      <c r="C55" s="1053">
        <f t="shared" si="8"/>
        <v>0</v>
      </c>
      <c r="D55" s="1860">
        <f t="shared" si="10"/>
        <v>0</v>
      </c>
      <c r="E55" s="1861">
        <f t="shared" si="11"/>
        <v>0</v>
      </c>
      <c r="F55" s="876"/>
      <c r="G55" s="876"/>
      <c r="H55" s="876"/>
      <c r="I55" s="876"/>
      <c r="J55" s="876"/>
    </row>
    <row r="56" spans="1:10">
      <c r="A56" s="1859">
        <f>DATE($A$44,12,1)</f>
        <v>1065</v>
      </c>
      <c r="B56" s="1860">
        <f t="shared" si="9"/>
        <v>0</v>
      </c>
      <c r="C56" s="1053">
        <f t="shared" si="8"/>
        <v>0</v>
      </c>
      <c r="D56" s="1860">
        <f t="shared" si="10"/>
        <v>0</v>
      </c>
      <c r="E56" s="1861">
        <f t="shared" si="11"/>
        <v>0</v>
      </c>
      <c r="F56" s="876"/>
      <c r="G56" s="876"/>
      <c r="H56" s="876"/>
      <c r="I56" s="876"/>
      <c r="J56" s="876"/>
    </row>
    <row r="57" spans="1:10" ht="4.5" customHeight="1">
      <c r="A57" s="1863"/>
      <c r="B57" s="1864"/>
      <c r="C57" s="1864"/>
      <c r="D57" s="1864"/>
      <c r="E57" s="1865"/>
      <c r="F57" s="876"/>
      <c r="G57" s="876"/>
      <c r="H57" s="876"/>
      <c r="I57" s="876"/>
      <c r="J57" s="876"/>
    </row>
    <row r="58" spans="1:10" ht="15.75" thickBot="1">
      <c r="A58" s="1866" t="s">
        <v>121</v>
      </c>
      <c r="B58" s="1867">
        <f>SUM(B45:B56)/12</f>
        <v>0</v>
      </c>
      <c r="C58" s="1868"/>
      <c r="D58" s="1867">
        <f>SUM(D45:D56)/12</f>
        <v>0</v>
      </c>
      <c r="E58" s="1869">
        <f>IFERROR(+D58/$E$3,0)</f>
        <v>0</v>
      </c>
      <c r="F58" s="876"/>
      <c r="G58" s="876"/>
      <c r="H58" s="876"/>
      <c r="I58" s="876"/>
      <c r="J58" s="876"/>
    </row>
    <row r="59" spans="1:10">
      <c r="A59" s="1846"/>
      <c r="B59" s="876"/>
      <c r="C59" s="876"/>
      <c r="D59" s="876"/>
      <c r="E59" s="876"/>
      <c r="F59" s="876"/>
      <c r="G59" s="876"/>
      <c r="H59" s="876"/>
      <c r="I59" s="876"/>
      <c r="J59" s="876"/>
    </row>
    <row r="60" spans="1:10">
      <c r="A60" s="1846"/>
      <c r="B60" s="876"/>
      <c r="C60" s="876"/>
      <c r="D60" s="876"/>
      <c r="E60" s="876"/>
      <c r="F60" s="876"/>
      <c r="G60" s="876"/>
      <c r="H60" s="876"/>
      <c r="I60" s="876"/>
      <c r="J60" s="876"/>
    </row>
    <row r="61" spans="1:10">
      <c r="A61" s="61"/>
    </row>
  </sheetData>
  <sheetProtection algorithmName="SHA-512" hashValue="hWDFHOfW8bSc9zwjx0UTRJzehwHq84x5OB5M2h88Y56Vu1TmZ+g1apcT2QDP/k111qcJA1BWlF7sne4q/xGoiA==" saltValue="80mfw/C3OvRBTOuNcdx5Tg==" spinCount="100000" sheet="1" objects="1" scenarios="1"/>
  <mergeCells count="8">
    <mergeCell ref="A1:J1"/>
    <mergeCell ref="A44:E44"/>
    <mergeCell ref="A28:E28"/>
    <mergeCell ref="A12:E12"/>
    <mergeCell ref="C8:C10"/>
    <mergeCell ref="B8:B10"/>
    <mergeCell ref="E8:E10"/>
    <mergeCell ref="D8:D10"/>
  </mergeCells>
  <phoneticPr fontId="12" type="noConversion"/>
  <pageMargins left="0.6" right="0.62" top="0.75" bottom="0.42" header="0.3" footer="0.24"/>
  <pageSetup scale="73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rgb="FFFF0000"/>
    <pageSetUpPr fitToPage="1"/>
  </sheetPr>
  <dimension ref="A1:X732"/>
  <sheetViews>
    <sheetView workbookViewId="0"/>
  </sheetViews>
  <sheetFormatPr defaultColWidth="8.6640625" defaultRowHeight="15"/>
  <cols>
    <col min="2" max="2" width="9" bestFit="1" customWidth="1"/>
    <col min="3" max="3" width="9.33203125" bestFit="1" customWidth="1"/>
    <col min="4" max="5" width="9" bestFit="1" customWidth="1"/>
    <col min="6" max="6" width="11" bestFit="1" customWidth="1"/>
    <col min="7" max="7" width="3.109375" customWidth="1"/>
    <col min="8" max="15" width="9" bestFit="1" customWidth="1"/>
    <col min="18" max="18" width="9.44140625" customWidth="1"/>
    <col min="19" max="19" width="9" bestFit="1" customWidth="1"/>
    <col min="20" max="20" width="10.33203125" bestFit="1" customWidth="1"/>
    <col min="21" max="21" width="9" hidden="1" customWidth="1"/>
    <col min="22" max="24" width="0" hidden="1" customWidth="1"/>
  </cols>
  <sheetData>
    <row r="1" spans="1:24">
      <c r="A1" s="63" t="s">
        <v>97</v>
      </c>
      <c r="B1" s="62"/>
      <c r="C1" s="62"/>
      <c r="D1" s="62"/>
      <c r="E1" s="62"/>
      <c r="F1" s="62"/>
      <c r="G1" s="62"/>
      <c r="H1" s="289" t="s">
        <v>97</v>
      </c>
      <c r="I1" s="71"/>
      <c r="J1" s="81"/>
      <c r="K1" s="71"/>
      <c r="L1" s="71"/>
      <c r="M1" s="71"/>
      <c r="N1" s="81"/>
      <c r="O1" s="288"/>
      <c r="P1" s="62"/>
      <c r="Q1" s="62"/>
      <c r="R1" s="62"/>
      <c r="S1" s="62"/>
      <c r="T1" s="62"/>
      <c r="U1" s="62"/>
      <c r="V1" s="62"/>
      <c r="W1" s="62"/>
      <c r="X1" s="62"/>
    </row>
    <row r="2" spans="1:24" ht="18.75">
      <c r="A2" s="62"/>
      <c r="B2" s="62"/>
      <c r="C2" s="62"/>
      <c r="D2" s="62"/>
      <c r="E2" s="62"/>
      <c r="F2" s="62"/>
      <c r="G2" s="62"/>
      <c r="H2" s="834"/>
      <c r="I2" s="835"/>
      <c r="J2" s="836"/>
      <c r="K2" s="835"/>
      <c r="L2" s="835"/>
      <c r="M2" s="835"/>
      <c r="N2" s="74"/>
      <c r="O2" s="89"/>
      <c r="P2" s="62"/>
      <c r="Q2" s="62"/>
      <c r="R2" s="62"/>
      <c r="S2" s="62"/>
      <c r="T2" s="62"/>
      <c r="U2" s="62"/>
      <c r="V2" s="62"/>
      <c r="W2" s="62"/>
      <c r="X2" s="62"/>
    </row>
    <row r="3" spans="1:24">
      <c r="A3" s="62" t="s">
        <v>98</v>
      </c>
      <c r="B3" s="62"/>
      <c r="C3" s="73">
        <f>+'Stabilized Ops &amp; Debt'!K19</f>
        <v>0</v>
      </c>
      <c r="D3" s="62"/>
      <c r="E3" s="62"/>
      <c r="F3" s="62"/>
      <c r="G3" s="62"/>
      <c r="H3" s="837"/>
      <c r="I3" s="835"/>
      <c r="J3" s="836"/>
      <c r="K3" s="835"/>
      <c r="L3" s="835"/>
      <c r="M3" s="835"/>
      <c r="N3" s="74"/>
      <c r="O3" s="89"/>
      <c r="P3" s="62"/>
      <c r="Q3" s="62"/>
      <c r="R3" s="62"/>
      <c r="S3" s="62"/>
      <c r="T3" s="62"/>
      <c r="U3" s="62"/>
      <c r="V3" s="62"/>
      <c r="W3" s="62"/>
      <c r="X3" s="62"/>
    </row>
    <row r="4" spans="1:24">
      <c r="A4" s="62" t="s">
        <v>99</v>
      </c>
      <c r="B4" s="62"/>
      <c r="C4" s="69">
        <f>+'Stabilized Ops &amp; Debt'!K21</f>
        <v>0</v>
      </c>
      <c r="D4" s="62"/>
      <c r="E4" s="62"/>
      <c r="F4" s="62"/>
      <c r="G4" s="62"/>
      <c r="H4" s="76"/>
      <c r="I4" s="66"/>
      <c r="J4" s="74"/>
      <c r="K4" s="66"/>
      <c r="L4" s="66"/>
      <c r="M4" s="66"/>
      <c r="N4" s="74"/>
      <c r="O4" s="89"/>
      <c r="P4" s="62"/>
      <c r="Q4" s="62"/>
      <c r="R4" s="62"/>
      <c r="S4" s="62"/>
      <c r="T4" s="62"/>
      <c r="U4" s="62"/>
      <c r="V4" s="62"/>
      <c r="W4" s="62"/>
      <c r="X4" s="62"/>
    </row>
    <row r="5" spans="1:24">
      <c r="A5" s="62" t="s">
        <v>608</v>
      </c>
      <c r="B5" s="62"/>
      <c r="C5" s="64">
        <f>+'Stabilized Ops &amp; Debt'!K23*12</f>
        <v>0</v>
      </c>
      <c r="D5" s="62"/>
      <c r="E5" s="62"/>
      <c r="F5" s="62"/>
      <c r="G5" s="62"/>
      <c r="H5" s="76"/>
      <c r="I5" s="66"/>
      <c r="J5" s="74"/>
      <c r="K5" s="66"/>
      <c r="L5" s="66"/>
      <c r="M5" s="66"/>
      <c r="N5" s="74"/>
      <c r="O5" s="89"/>
      <c r="P5" s="62"/>
      <c r="Q5" s="62"/>
      <c r="R5" s="62"/>
      <c r="S5" s="62"/>
      <c r="T5" s="62"/>
      <c r="U5" s="62"/>
      <c r="V5" s="62"/>
      <c r="W5" s="62"/>
      <c r="X5" s="62"/>
    </row>
    <row r="6" spans="1:24">
      <c r="A6" s="62" t="s">
        <v>442</v>
      </c>
      <c r="B6" s="62"/>
      <c r="C6" s="73">
        <f>IFERROR(PMT(C4/12,C5,-C3),0)</f>
        <v>0</v>
      </c>
      <c r="D6" s="62"/>
      <c r="E6" s="62"/>
      <c r="F6" s="62"/>
      <c r="G6" s="62"/>
      <c r="H6" s="76"/>
      <c r="I6" s="66"/>
      <c r="J6" s="74"/>
      <c r="K6" s="66"/>
      <c r="L6" s="66"/>
      <c r="M6" s="66"/>
      <c r="N6" s="74"/>
      <c r="O6" s="89"/>
      <c r="P6" s="62"/>
      <c r="Q6" s="62"/>
      <c r="R6" s="62"/>
      <c r="S6" s="62"/>
      <c r="T6" s="62"/>
      <c r="U6" s="62"/>
      <c r="V6" s="62"/>
      <c r="W6" s="62"/>
      <c r="X6" s="62"/>
    </row>
    <row r="7" spans="1:24">
      <c r="A7" s="62"/>
      <c r="B7" s="62"/>
      <c r="C7" s="62"/>
      <c r="D7" s="62"/>
      <c r="E7" s="62"/>
      <c r="F7" s="62"/>
      <c r="G7" s="62"/>
      <c r="H7" s="79"/>
      <c r="I7" s="71"/>
      <c r="J7" s="81"/>
      <c r="K7" s="163" t="s">
        <v>98</v>
      </c>
      <c r="L7" s="164">
        <f>+C3</f>
        <v>0</v>
      </c>
      <c r="M7" s="66"/>
      <c r="N7" s="74"/>
      <c r="O7" s="89"/>
      <c r="P7" s="62"/>
      <c r="Q7" s="62"/>
      <c r="R7" s="62"/>
      <c r="S7" s="62"/>
      <c r="T7" s="62"/>
      <c r="U7" s="62"/>
      <c r="V7" s="62"/>
      <c r="W7" s="62"/>
      <c r="X7" s="62"/>
    </row>
    <row r="8" spans="1:24">
      <c r="A8" s="62"/>
      <c r="B8" s="62"/>
      <c r="C8" s="62"/>
      <c r="D8" s="62"/>
      <c r="E8" s="62"/>
      <c r="F8" s="62"/>
      <c r="G8" s="62"/>
      <c r="H8" s="163" t="s">
        <v>101</v>
      </c>
      <c r="I8" s="168">
        <f>conversion_date</f>
        <v>0</v>
      </c>
      <c r="J8" s="74"/>
      <c r="K8" s="163" t="s">
        <v>102</v>
      </c>
      <c r="L8" s="166">
        <f>+C4</f>
        <v>0</v>
      </c>
      <c r="M8" s="66"/>
      <c r="N8" s="74"/>
      <c r="O8" s="89"/>
      <c r="P8" s="62"/>
      <c r="Q8" s="62"/>
      <c r="R8" s="62"/>
      <c r="S8" s="62"/>
      <c r="T8" s="62"/>
      <c r="U8" s="62"/>
      <c r="V8" s="62"/>
      <c r="W8" s="62"/>
      <c r="X8" s="62"/>
    </row>
    <row r="9" spans="1:24">
      <c r="A9" s="62"/>
      <c r="B9" s="62"/>
      <c r="C9" s="62" t="s">
        <v>362</v>
      </c>
      <c r="D9" s="62"/>
      <c r="E9" s="62"/>
      <c r="F9" s="62" t="s">
        <v>345</v>
      </c>
      <c r="G9" s="62"/>
      <c r="H9" s="76"/>
      <c r="I9" s="66"/>
      <c r="J9" s="74"/>
      <c r="K9" s="163" t="s">
        <v>103</v>
      </c>
      <c r="L9" s="163">
        <f>+C5/12</f>
        <v>0</v>
      </c>
      <c r="M9" s="66"/>
      <c r="N9" s="74"/>
      <c r="O9" s="89"/>
      <c r="P9" s="62"/>
      <c r="Q9" s="62"/>
      <c r="R9" s="62"/>
      <c r="S9" s="62"/>
      <c r="T9" s="62"/>
      <c r="U9" s="62"/>
      <c r="V9" s="62"/>
      <c r="W9" s="62"/>
      <c r="X9" s="62"/>
    </row>
    <row r="10" spans="1:24">
      <c r="A10" s="62"/>
      <c r="B10" s="68" t="s">
        <v>104</v>
      </c>
      <c r="C10" s="67" t="s">
        <v>105</v>
      </c>
      <c r="D10" s="67" t="s">
        <v>356</v>
      </c>
      <c r="E10" s="67" t="s">
        <v>98</v>
      </c>
      <c r="F10" s="67" t="s">
        <v>106</v>
      </c>
      <c r="G10" s="62"/>
      <c r="H10" s="77"/>
      <c r="I10" s="72"/>
      <c r="J10" s="75"/>
      <c r="K10" s="163" t="s">
        <v>107</v>
      </c>
      <c r="L10" s="167">
        <f>+'Stabilized Ops &amp; Debt'!K22</f>
        <v>0</v>
      </c>
      <c r="M10" s="66"/>
      <c r="N10" s="74"/>
      <c r="O10" s="89"/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62"/>
      <c r="B11" s="62"/>
      <c r="C11" s="62"/>
      <c r="D11" s="62"/>
      <c r="E11" s="62"/>
      <c r="F11" s="62"/>
      <c r="G11" s="62"/>
      <c r="H11" s="76"/>
      <c r="I11" s="66"/>
      <c r="J11" s="74"/>
      <c r="K11" s="66"/>
      <c r="L11" s="66"/>
      <c r="M11" s="66"/>
      <c r="N11" s="74"/>
      <c r="O11" s="89"/>
      <c r="P11" s="62"/>
      <c r="Q11" s="62"/>
      <c r="R11" s="62"/>
      <c r="S11" s="62"/>
      <c r="T11" s="62"/>
      <c r="U11" s="62"/>
      <c r="V11" s="62"/>
      <c r="W11" s="62"/>
      <c r="X11" s="62"/>
    </row>
    <row r="12" spans="1:24" ht="20.100000000000001" customHeight="1">
      <c r="A12" s="62"/>
      <c r="B12" s="64">
        <v>1</v>
      </c>
      <c r="C12" s="70">
        <f>IF(B12&lt;=$C$5,$C$6,0)</f>
        <v>0</v>
      </c>
      <c r="D12" s="65">
        <f>+C3*C4/12</f>
        <v>0</v>
      </c>
      <c r="E12" s="65">
        <f>+C12-D12</f>
        <v>0</v>
      </c>
      <c r="F12" s="65">
        <f>+C3-E12</f>
        <v>0</v>
      </c>
      <c r="G12" s="62"/>
      <c r="H12" s="76"/>
      <c r="I12" s="66"/>
      <c r="J12" s="74"/>
      <c r="K12" s="66"/>
      <c r="L12" s="66"/>
      <c r="M12" s="66"/>
      <c r="N12" s="74"/>
      <c r="O12" s="281"/>
      <c r="P12" s="62"/>
      <c r="Q12" s="62"/>
      <c r="R12" s="2251" t="s">
        <v>3</v>
      </c>
      <c r="S12" s="62"/>
      <c r="T12" s="62"/>
      <c r="U12" s="62"/>
      <c r="V12" s="62"/>
      <c r="W12" s="62"/>
      <c r="X12" s="92" t="s">
        <v>108</v>
      </c>
    </row>
    <row r="13" spans="1:24" ht="15" customHeight="1">
      <c r="A13" s="62"/>
      <c r="B13" s="64">
        <v>2</v>
      </c>
      <c r="C13" s="70">
        <f t="shared" ref="C13:C29" si="0">IF(F12&gt;$C$6,$C$6,F12+D13)</f>
        <v>0</v>
      </c>
      <c r="D13" s="65">
        <f t="shared" ref="D13:D29" si="1">+$C$4*F12/12</f>
        <v>0</v>
      </c>
      <c r="E13" s="65">
        <f>+C13-D13</f>
        <v>0</v>
      </c>
      <c r="F13" s="65">
        <f>+F12-E13</f>
        <v>0</v>
      </c>
      <c r="G13" s="62"/>
      <c r="H13" s="82"/>
      <c r="I13" s="82"/>
      <c r="J13" s="83"/>
      <c r="K13" s="82"/>
      <c r="L13" s="82"/>
      <c r="M13" s="82" t="s">
        <v>109</v>
      </c>
      <c r="N13" s="83"/>
      <c r="O13" s="84"/>
      <c r="P13" s="62"/>
      <c r="Q13" s="62" t="s">
        <v>42</v>
      </c>
      <c r="R13" s="2251"/>
      <c r="T13" s="62"/>
      <c r="U13" s="62"/>
      <c r="V13" s="62"/>
      <c r="W13" s="62"/>
      <c r="X13" s="92" t="s">
        <v>110</v>
      </c>
    </row>
    <row r="14" spans="1:24">
      <c r="A14" s="62"/>
      <c r="B14" s="64">
        <v>3</v>
      </c>
      <c r="C14" s="70">
        <f t="shared" si="0"/>
        <v>0</v>
      </c>
      <c r="D14" s="65">
        <f t="shared" si="1"/>
        <v>0</v>
      </c>
      <c r="E14" s="65">
        <f t="shared" ref="E14:E29" si="2">+C14-D14</f>
        <v>0</v>
      </c>
      <c r="F14" s="65">
        <f t="shared" ref="F14:F29" si="3">+F13-E14</f>
        <v>0</v>
      </c>
      <c r="G14" s="62"/>
      <c r="H14" s="85" t="s">
        <v>82</v>
      </c>
      <c r="I14" s="85" t="s">
        <v>111</v>
      </c>
      <c r="J14" s="86" t="s">
        <v>99</v>
      </c>
      <c r="K14" s="85" t="s">
        <v>98</v>
      </c>
      <c r="L14" s="85" t="s">
        <v>107</v>
      </c>
      <c r="M14" s="85" t="s">
        <v>106</v>
      </c>
      <c r="N14" s="86" t="s">
        <v>105</v>
      </c>
      <c r="O14" s="87" t="s">
        <v>112</v>
      </c>
      <c r="P14" s="62"/>
      <c r="Q14" s="62"/>
      <c r="R14" s="2251"/>
      <c r="S14" s="62"/>
      <c r="T14" s="62"/>
      <c r="U14" s="62"/>
      <c r="V14" s="92" t="s">
        <v>113</v>
      </c>
    </row>
    <row r="15" spans="1:24">
      <c r="A15" s="62"/>
      <c r="B15" s="64">
        <v>4</v>
      </c>
      <c r="C15" s="70">
        <f t="shared" si="0"/>
        <v>0</v>
      </c>
      <c r="D15" s="65">
        <f t="shared" si="1"/>
        <v>0</v>
      </c>
      <c r="E15" s="65">
        <f t="shared" si="2"/>
        <v>0</v>
      </c>
      <c r="F15" s="65">
        <f t="shared" si="3"/>
        <v>0</v>
      </c>
      <c r="G15" s="62"/>
      <c r="H15" s="88"/>
      <c r="I15" s="80">
        <f>I16-1</f>
        <v>1903</v>
      </c>
      <c r="J15" s="89"/>
      <c r="K15" s="88"/>
      <c r="L15" s="94">
        <v>0</v>
      </c>
      <c r="M15" s="90">
        <f>+L7-K15</f>
        <v>0</v>
      </c>
      <c r="N15" s="90">
        <f>+J15+K15+L15</f>
        <v>0</v>
      </c>
      <c r="O15" s="89">
        <f>+J15+L15</f>
        <v>0</v>
      </c>
      <c r="P15" s="62">
        <f>-H15</f>
        <v>0</v>
      </c>
      <c r="Q15" s="278" t="e">
        <f>HLOOKUP(I15,' Cash Flow'!$F$6:$AI$46,32)</f>
        <v>#N/A</v>
      </c>
      <c r="R15" s="78" t="e">
        <f>Q15*((12-P15)/12)</f>
        <v>#N/A</v>
      </c>
      <c r="T15" s="278"/>
      <c r="U15" s="62"/>
      <c r="V15" s="92"/>
    </row>
    <row r="16" spans="1:24">
      <c r="A16" s="62"/>
      <c r="B16" s="64">
        <v>5</v>
      </c>
      <c r="C16" s="70">
        <f t="shared" si="0"/>
        <v>0</v>
      </c>
      <c r="D16" s="65">
        <f t="shared" si="1"/>
        <v>0</v>
      </c>
      <c r="E16" s="65">
        <f t="shared" si="2"/>
        <v>0</v>
      </c>
      <c r="F16" s="65">
        <f t="shared" si="3"/>
        <v>0</v>
      </c>
      <c r="G16" s="97"/>
      <c r="H16" s="292">
        <f>13-' Lease-up'!I10</f>
        <v>12</v>
      </c>
      <c r="I16" s="80">
        <f>' Lease-up'!I9</f>
        <v>1904</v>
      </c>
      <c r="J16" s="89">
        <f>SUMIF($B$12:$B$731,V16,$D$12:$D$731)</f>
        <v>0</v>
      </c>
      <c r="K16" s="89">
        <f>SUMIF($B$12:$B$731,V16,$E$12:$E$731)</f>
        <v>0</v>
      </c>
      <c r="L16" s="162">
        <f>+$L$10*M15*(H16-H15)/12</f>
        <v>0</v>
      </c>
      <c r="M16" s="90">
        <f>+M15-K16</f>
        <v>0</v>
      </c>
      <c r="N16" s="90">
        <f t="shared" ref="N16:N75" si="4">+J16+K16+L16</f>
        <v>0</v>
      </c>
      <c r="O16" s="89">
        <f>+J16+L16</f>
        <v>0</v>
      </c>
      <c r="P16" s="62">
        <f>--H16-H15</f>
        <v>12</v>
      </c>
      <c r="Q16" s="278">
        <f>HLOOKUP(I16,' Cash Flow'!$F$6:$AI$46,32)</f>
        <v>0</v>
      </c>
      <c r="R16" s="78">
        <f>Q16*((12-P16)/12)</f>
        <v>0</v>
      </c>
      <c r="T16" s="278"/>
      <c r="U16" s="62"/>
      <c r="V16" s="92" t="str">
        <f t="shared" ref="V16:V27" si="5">$V$14&amp;$X$12&amp;H16</f>
        <v>&lt;=12</v>
      </c>
    </row>
    <row r="17" spans="2:22">
      <c r="B17" s="64">
        <v>6</v>
      </c>
      <c r="C17" s="70">
        <f t="shared" si="0"/>
        <v>0</v>
      </c>
      <c r="D17" s="65">
        <f t="shared" si="1"/>
        <v>0</v>
      </c>
      <c r="E17" s="65">
        <f t="shared" si="2"/>
        <v>0</v>
      </c>
      <c r="F17" s="65">
        <f t="shared" si="3"/>
        <v>0</v>
      </c>
      <c r="G17" s="97"/>
      <c r="H17" s="88">
        <f>+H16+12</f>
        <v>24</v>
      </c>
      <c r="I17" s="80">
        <f t="shared" ref="I17:I75" si="6">+I16+1</f>
        <v>1905</v>
      </c>
      <c r="J17" s="89">
        <f>SUMIF($B$12:$B$731,V17,$D$12:$D$731)-SUM($J$16:J16)</f>
        <v>0</v>
      </c>
      <c r="K17" s="99">
        <f>SUMIF($B$12:$B$731,V17,$E$12:$E$731)-SUM($K$16:K16)</f>
        <v>0</v>
      </c>
      <c r="L17" s="162">
        <f t="shared" ref="L17:L75" si="7">+$L$10*M16*(H17-H16)/12</f>
        <v>0</v>
      </c>
      <c r="M17" s="90">
        <f t="shared" ref="M17:M75" si="8">+M16-K17</f>
        <v>0</v>
      </c>
      <c r="N17" s="90">
        <f t="shared" si="4"/>
        <v>0</v>
      </c>
      <c r="O17" s="89">
        <f t="shared" ref="O17:O75" si="9">+J17+L17</f>
        <v>0</v>
      </c>
      <c r="P17" s="62">
        <f>--H17-H16</f>
        <v>12</v>
      </c>
      <c r="Q17" s="278">
        <f>HLOOKUP(I17,' Cash Flow'!$F$6:$AI$46,32)</f>
        <v>0</v>
      </c>
      <c r="R17" s="78">
        <f>Q17*((12-P17)/12)</f>
        <v>0</v>
      </c>
      <c r="T17" s="278"/>
      <c r="U17" s="62"/>
      <c r="V17" s="92" t="str">
        <f t="shared" si="5"/>
        <v>&lt;=24</v>
      </c>
    </row>
    <row r="18" spans="2:22">
      <c r="B18" s="64">
        <v>7</v>
      </c>
      <c r="C18" s="70">
        <f t="shared" si="0"/>
        <v>0</v>
      </c>
      <c r="D18" s="65">
        <f t="shared" si="1"/>
        <v>0</v>
      </c>
      <c r="E18" s="65">
        <f t="shared" si="2"/>
        <v>0</v>
      </c>
      <c r="F18" s="65">
        <f t="shared" si="3"/>
        <v>0</v>
      </c>
      <c r="G18" s="97"/>
      <c r="H18" s="88">
        <f t="shared" ref="H18:H75" si="10">+H17+12</f>
        <v>36</v>
      </c>
      <c r="I18" s="80">
        <f t="shared" si="6"/>
        <v>1906</v>
      </c>
      <c r="J18" s="89">
        <f>SUMIF($B$12:$B$731,V18,$D$12:$D$731)-SUM($J$16:J17)</f>
        <v>0</v>
      </c>
      <c r="K18" s="96">
        <f>SUMIF($B$12:$B$731,V18,$E$12:$E$731)-SUM($K$16:K17)</f>
        <v>0</v>
      </c>
      <c r="L18" s="162">
        <f t="shared" si="7"/>
        <v>0</v>
      </c>
      <c r="M18" s="90">
        <f t="shared" si="8"/>
        <v>0</v>
      </c>
      <c r="N18" s="90">
        <f t="shared" si="4"/>
        <v>0</v>
      </c>
      <c r="O18" s="89">
        <f t="shared" si="9"/>
        <v>0</v>
      </c>
      <c r="P18" s="62">
        <f t="shared" ref="P18:P27" si="11">--H18-H17</f>
        <v>12</v>
      </c>
      <c r="Q18" s="278">
        <f>HLOOKUP(I18,' Cash Flow'!$F$6:$AI$46,32)</f>
        <v>0</v>
      </c>
      <c r="R18" s="78">
        <f t="shared" ref="R18:R27" si="12">Q18*((12-P18)/12)</f>
        <v>0</v>
      </c>
      <c r="T18" s="278"/>
      <c r="U18" s="62"/>
      <c r="V18" s="92" t="str">
        <f t="shared" si="5"/>
        <v>&lt;=36</v>
      </c>
    </row>
    <row r="19" spans="2:22">
      <c r="B19" s="64">
        <v>8</v>
      </c>
      <c r="C19" s="70">
        <f t="shared" si="0"/>
        <v>0</v>
      </c>
      <c r="D19" s="65">
        <f t="shared" si="1"/>
        <v>0</v>
      </c>
      <c r="E19" s="65">
        <f t="shared" si="2"/>
        <v>0</v>
      </c>
      <c r="F19" s="65">
        <f t="shared" si="3"/>
        <v>0</v>
      </c>
      <c r="G19" s="97"/>
      <c r="H19" s="88">
        <f t="shared" si="10"/>
        <v>48</v>
      </c>
      <c r="I19" s="80">
        <f t="shared" si="6"/>
        <v>1907</v>
      </c>
      <c r="J19" s="89">
        <f>SUMIF($B$12:$B$731,V19,$D$12:$D$731)-SUM($J$16:J18)</f>
        <v>0</v>
      </c>
      <c r="K19" s="96">
        <f>SUMIF($B$12:$B$731,V19,$E$12:$E$731)-SUM($K$16:K18)</f>
        <v>0</v>
      </c>
      <c r="L19" s="162">
        <f t="shared" si="7"/>
        <v>0</v>
      </c>
      <c r="M19" s="90">
        <f t="shared" si="8"/>
        <v>0</v>
      </c>
      <c r="N19" s="90">
        <f t="shared" si="4"/>
        <v>0</v>
      </c>
      <c r="O19" s="89">
        <f t="shared" si="9"/>
        <v>0</v>
      </c>
      <c r="P19" s="62">
        <f t="shared" si="11"/>
        <v>12</v>
      </c>
      <c r="Q19" s="278">
        <f>HLOOKUP(I19,' Cash Flow'!$F$6:$AI$46,32)</f>
        <v>0</v>
      </c>
      <c r="R19" s="78">
        <f t="shared" si="12"/>
        <v>0</v>
      </c>
      <c r="T19" s="278"/>
      <c r="U19" s="62"/>
      <c r="V19" s="92" t="str">
        <f t="shared" si="5"/>
        <v>&lt;=48</v>
      </c>
    </row>
    <row r="20" spans="2:22">
      <c r="B20" s="64">
        <v>9</v>
      </c>
      <c r="C20" s="70">
        <f t="shared" si="0"/>
        <v>0</v>
      </c>
      <c r="D20" s="65">
        <f t="shared" si="1"/>
        <v>0</v>
      </c>
      <c r="E20" s="65">
        <f t="shared" si="2"/>
        <v>0</v>
      </c>
      <c r="F20" s="65">
        <f t="shared" si="3"/>
        <v>0</v>
      </c>
      <c r="G20" s="97"/>
      <c r="H20" s="88">
        <f t="shared" si="10"/>
        <v>60</v>
      </c>
      <c r="I20" s="80">
        <f t="shared" si="6"/>
        <v>1908</v>
      </c>
      <c r="J20" s="89">
        <f>SUMIF($B$12:$B$731,V20,$D$12:$D$731)-SUM($J$16:J19)</f>
        <v>0</v>
      </c>
      <c r="K20" s="96">
        <f>SUMIF($B$12:$B$731,V20,$E$12:$E$731)-SUM($K$16:K19)</f>
        <v>0</v>
      </c>
      <c r="L20" s="162">
        <f t="shared" si="7"/>
        <v>0</v>
      </c>
      <c r="M20" s="90">
        <f t="shared" si="8"/>
        <v>0</v>
      </c>
      <c r="N20" s="90">
        <f t="shared" si="4"/>
        <v>0</v>
      </c>
      <c r="O20" s="89">
        <f t="shared" si="9"/>
        <v>0</v>
      </c>
      <c r="P20" s="62">
        <f t="shared" si="11"/>
        <v>12</v>
      </c>
      <c r="Q20" s="278">
        <f>HLOOKUP(I20,' Cash Flow'!$F$6:$AI$46,32)</f>
        <v>0</v>
      </c>
      <c r="R20" s="78">
        <f t="shared" si="12"/>
        <v>0</v>
      </c>
      <c r="T20" s="278"/>
      <c r="U20" s="62"/>
      <c r="V20" s="92" t="str">
        <f t="shared" si="5"/>
        <v>&lt;=60</v>
      </c>
    </row>
    <row r="21" spans="2:22">
      <c r="B21" s="64">
        <v>10</v>
      </c>
      <c r="C21" s="70">
        <f t="shared" si="0"/>
        <v>0</v>
      </c>
      <c r="D21" s="65">
        <f t="shared" si="1"/>
        <v>0</v>
      </c>
      <c r="E21" s="65">
        <f t="shared" si="2"/>
        <v>0</v>
      </c>
      <c r="F21" s="65">
        <f t="shared" si="3"/>
        <v>0</v>
      </c>
      <c r="G21" s="97"/>
      <c r="H21" s="88">
        <f t="shared" si="10"/>
        <v>72</v>
      </c>
      <c r="I21" s="80">
        <f t="shared" si="6"/>
        <v>1909</v>
      </c>
      <c r="J21" s="89">
        <f>SUMIF($B$12:$B$731,V21,$D$12:$D$731)-SUM($J$16:J20)</f>
        <v>0</v>
      </c>
      <c r="K21" s="96">
        <f>SUMIF($B$12:$B$731,V21,$E$12:$E$731)-SUM($K$16:K20)</f>
        <v>0</v>
      </c>
      <c r="L21" s="162">
        <f t="shared" si="7"/>
        <v>0</v>
      </c>
      <c r="M21" s="90">
        <f t="shared" si="8"/>
        <v>0</v>
      </c>
      <c r="N21" s="90">
        <f t="shared" si="4"/>
        <v>0</v>
      </c>
      <c r="O21" s="89">
        <f t="shared" si="9"/>
        <v>0</v>
      </c>
      <c r="P21" s="62">
        <f t="shared" si="11"/>
        <v>12</v>
      </c>
      <c r="Q21" s="278">
        <f>HLOOKUP(I21,' Cash Flow'!$F$6:$AI$46,32)</f>
        <v>0</v>
      </c>
      <c r="R21" s="78">
        <f t="shared" si="12"/>
        <v>0</v>
      </c>
      <c r="T21" s="278"/>
      <c r="U21" s="62"/>
      <c r="V21" s="92" t="str">
        <f t="shared" si="5"/>
        <v>&lt;=72</v>
      </c>
    </row>
    <row r="22" spans="2:22">
      <c r="B22" s="64">
        <v>11</v>
      </c>
      <c r="C22" s="70">
        <f t="shared" si="0"/>
        <v>0</v>
      </c>
      <c r="D22" s="65">
        <f t="shared" si="1"/>
        <v>0</v>
      </c>
      <c r="E22" s="65">
        <f t="shared" si="2"/>
        <v>0</v>
      </c>
      <c r="F22" s="65">
        <f t="shared" si="3"/>
        <v>0</v>
      </c>
      <c r="G22" s="97"/>
      <c r="H22" s="88">
        <f t="shared" si="10"/>
        <v>84</v>
      </c>
      <c r="I22" s="80">
        <f t="shared" si="6"/>
        <v>1910</v>
      </c>
      <c r="J22" s="89">
        <f>SUMIF($B$12:$B$731,V22,$D$12:$D$731)-SUM($J$16:J21)</f>
        <v>0</v>
      </c>
      <c r="K22" s="96">
        <f>SUMIF($B$12:$B$731,V22,$E$12:$E$731)-SUM($K$16:K21)</f>
        <v>0</v>
      </c>
      <c r="L22" s="162">
        <f t="shared" si="7"/>
        <v>0</v>
      </c>
      <c r="M22" s="90">
        <f t="shared" si="8"/>
        <v>0</v>
      </c>
      <c r="N22" s="90">
        <f t="shared" si="4"/>
        <v>0</v>
      </c>
      <c r="O22" s="89">
        <f t="shared" si="9"/>
        <v>0</v>
      </c>
      <c r="P22" s="62">
        <f t="shared" si="11"/>
        <v>12</v>
      </c>
      <c r="Q22" s="278">
        <f>HLOOKUP(I22,' Cash Flow'!$F$6:$AI$46,32)</f>
        <v>0</v>
      </c>
      <c r="R22" s="78">
        <f t="shared" si="12"/>
        <v>0</v>
      </c>
      <c r="T22" s="278"/>
      <c r="U22" s="62"/>
      <c r="V22" s="92" t="str">
        <f t="shared" si="5"/>
        <v>&lt;=84</v>
      </c>
    </row>
    <row r="23" spans="2:22">
      <c r="B23" s="64">
        <v>12</v>
      </c>
      <c r="C23" s="70">
        <f t="shared" si="0"/>
        <v>0</v>
      </c>
      <c r="D23" s="65">
        <f t="shared" si="1"/>
        <v>0</v>
      </c>
      <c r="E23" s="65">
        <f t="shared" si="2"/>
        <v>0</v>
      </c>
      <c r="F23" s="65">
        <f t="shared" si="3"/>
        <v>0</v>
      </c>
      <c r="G23" s="97"/>
      <c r="H23" s="88">
        <f t="shared" si="10"/>
        <v>96</v>
      </c>
      <c r="I23" s="80">
        <f t="shared" si="6"/>
        <v>1911</v>
      </c>
      <c r="J23" s="89">
        <f>SUMIF($B$12:$B$731,V23,$D$12:$D$731)-SUM($J$16:J22)</f>
        <v>0</v>
      </c>
      <c r="K23" s="96">
        <f>SUMIF($B$12:$B$731,V23,$E$12:$E$731)-SUM($K$16:K22)</f>
        <v>0</v>
      </c>
      <c r="L23" s="162">
        <f t="shared" si="7"/>
        <v>0</v>
      </c>
      <c r="M23" s="90">
        <f t="shared" si="8"/>
        <v>0</v>
      </c>
      <c r="N23" s="90">
        <f t="shared" si="4"/>
        <v>0</v>
      </c>
      <c r="O23" s="89">
        <f t="shared" si="9"/>
        <v>0</v>
      </c>
      <c r="P23" s="62">
        <f t="shared" si="11"/>
        <v>12</v>
      </c>
      <c r="Q23" s="278">
        <f>HLOOKUP(I23,' Cash Flow'!$F$6:$AI$46,32)</f>
        <v>0</v>
      </c>
      <c r="R23" s="78">
        <f t="shared" si="12"/>
        <v>0</v>
      </c>
      <c r="T23" s="278"/>
      <c r="U23" s="62"/>
      <c r="V23" s="92" t="str">
        <f t="shared" si="5"/>
        <v>&lt;=96</v>
      </c>
    </row>
    <row r="24" spans="2:22">
      <c r="B24" s="64">
        <v>13</v>
      </c>
      <c r="C24" s="70">
        <f t="shared" si="0"/>
        <v>0</v>
      </c>
      <c r="D24" s="65">
        <f t="shared" si="1"/>
        <v>0</v>
      </c>
      <c r="E24" s="65">
        <f t="shared" si="2"/>
        <v>0</v>
      </c>
      <c r="F24" s="65">
        <f t="shared" si="3"/>
        <v>0</v>
      </c>
      <c r="G24" s="97"/>
      <c r="H24" s="88">
        <f t="shared" si="10"/>
        <v>108</v>
      </c>
      <c r="I24" s="80">
        <f t="shared" si="6"/>
        <v>1912</v>
      </c>
      <c r="J24" s="89">
        <f>SUMIF($B$12:$B$731,V24,$D$12:$D$731)-SUM($J$16:J23)</f>
        <v>0</v>
      </c>
      <c r="K24" s="96">
        <f>SUMIF($B$12:$B$731,V24,$E$12:$E$731)-SUM($K$16:K23)</f>
        <v>0</v>
      </c>
      <c r="L24" s="162">
        <f t="shared" si="7"/>
        <v>0</v>
      </c>
      <c r="M24" s="90">
        <f t="shared" si="8"/>
        <v>0</v>
      </c>
      <c r="N24" s="90">
        <f t="shared" si="4"/>
        <v>0</v>
      </c>
      <c r="O24" s="89">
        <f t="shared" si="9"/>
        <v>0</v>
      </c>
      <c r="P24" s="62">
        <f t="shared" si="11"/>
        <v>12</v>
      </c>
      <c r="Q24" s="278">
        <f>HLOOKUP(I24,' Cash Flow'!$F$6:$AI$46,32)</f>
        <v>0</v>
      </c>
      <c r="R24" s="78">
        <f t="shared" si="12"/>
        <v>0</v>
      </c>
      <c r="T24" s="278"/>
      <c r="U24" s="62"/>
      <c r="V24" s="92" t="str">
        <f t="shared" si="5"/>
        <v>&lt;=108</v>
      </c>
    </row>
    <row r="25" spans="2:22">
      <c r="B25" s="64">
        <v>14</v>
      </c>
      <c r="C25" s="70">
        <f t="shared" si="0"/>
        <v>0</v>
      </c>
      <c r="D25" s="65">
        <f t="shared" si="1"/>
        <v>0</v>
      </c>
      <c r="E25" s="65">
        <f t="shared" si="2"/>
        <v>0</v>
      </c>
      <c r="F25" s="65">
        <f t="shared" si="3"/>
        <v>0</v>
      </c>
      <c r="G25" s="62"/>
      <c r="H25" s="88">
        <f t="shared" si="10"/>
        <v>120</v>
      </c>
      <c r="I25" s="80">
        <f t="shared" si="6"/>
        <v>1913</v>
      </c>
      <c r="J25" s="89">
        <f>SUMIF($B$12:$B$731,V25,$D$12:$D$731)-SUM($J$16:J24)</f>
        <v>0</v>
      </c>
      <c r="K25" s="96">
        <f>SUMIF($B$12:$B$731,V25,$E$12:$E$731)-SUM($K$16:K24)</f>
        <v>0</v>
      </c>
      <c r="L25" s="162">
        <f t="shared" si="7"/>
        <v>0</v>
      </c>
      <c r="M25" s="90">
        <f t="shared" si="8"/>
        <v>0</v>
      </c>
      <c r="N25" s="90">
        <f t="shared" si="4"/>
        <v>0</v>
      </c>
      <c r="O25" s="89">
        <f t="shared" si="9"/>
        <v>0</v>
      </c>
      <c r="P25" s="62">
        <f t="shared" si="11"/>
        <v>12</v>
      </c>
      <c r="Q25" s="278">
        <f>HLOOKUP(I25,' Cash Flow'!$F$6:$AI$46,32)</f>
        <v>0</v>
      </c>
      <c r="R25" s="78">
        <f t="shared" si="12"/>
        <v>0</v>
      </c>
      <c r="T25" s="278"/>
      <c r="U25" s="62"/>
      <c r="V25" s="92" t="str">
        <f t="shared" si="5"/>
        <v>&lt;=120</v>
      </c>
    </row>
    <row r="26" spans="2:22">
      <c r="B26" s="64">
        <v>15</v>
      </c>
      <c r="C26" s="70">
        <f t="shared" si="0"/>
        <v>0</v>
      </c>
      <c r="D26" s="65">
        <f t="shared" si="1"/>
        <v>0</v>
      </c>
      <c r="E26" s="65">
        <f t="shared" si="2"/>
        <v>0</v>
      </c>
      <c r="F26" s="65">
        <f t="shared" si="3"/>
        <v>0</v>
      </c>
      <c r="G26" s="62"/>
      <c r="H26" s="88">
        <f t="shared" si="10"/>
        <v>132</v>
      </c>
      <c r="I26" s="80">
        <f t="shared" si="6"/>
        <v>1914</v>
      </c>
      <c r="J26" s="89">
        <f>SUMIF($B$12:$B$731,V26,$D$12:$D$731)-SUM($J$16:J25)</f>
        <v>0</v>
      </c>
      <c r="K26" s="96">
        <f>SUMIF($B$12:$B$731,V26,$E$12:$E$731)-SUM($K$16:K25)</f>
        <v>0</v>
      </c>
      <c r="L26" s="162">
        <f t="shared" si="7"/>
        <v>0</v>
      </c>
      <c r="M26" s="90">
        <f t="shared" si="8"/>
        <v>0</v>
      </c>
      <c r="N26" s="90">
        <f t="shared" si="4"/>
        <v>0</v>
      </c>
      <c r="O26" s="89">
        <f t="shared" si="9"/>
        <v>0</v>
      </c>
      <c r="P26" s="62">
        <f t="shared" si="11"/>
        <v>12</v>
      </c>
      <c r="Q26" s="278">
        <f>HLOOKUP(I26,' Cash Flow'!$F$6:$AI$46,32)</f>
        <v>0</v>
      </c>
      <c r="R26" s="78">
        <f t="shared" si="12"/>
        <v>0</v>
      </c>
      <c r="T26" s="278"/>
      <c r="U26" s="62"/>
      <c r="V26" s="92" t="str">
        <f t="shared" si="5"/>
        <v>&lt;=132</v>
      </c>
    </row>
    <row r="27" spans="2:22">
      <c r="B27" s="64">
        <v>16</v>
      </c>
      <c r="C27" s="70">
        <f t="shared" si="0"/>
        <v>0</v>
      </c>
      <c r="D27" s="65">
        <f t="shared" si="1"/>
        <v>0</v>
      </c>
      <c r="E27" s="65">
        <f t="shared" si="2"/>
        <v>0</v>
      </c>
      <c r="F27" s="65">
        <f t="shared" si="3"/>
        <v>0</v>
      </c>
      <c r="G27" s="62"/>
      <c r="H27" s="88">
        <f t="shared" si="10"/>
        <v>144</v>
      </c>
      <c r="I27" s="80">
        <f t="shared" si="6"/>
        <v>1915</v>
      </c>
      <c r="J27" s="89">
        <f>SUMIF($B$12:$B$731,V27,$D$12:$D$731)-SUM($J$16:J26)</f>
        <v>0</v>
      </c>
      <c r="K27" s="96">
        <f>SUMIF($B$12:$B$731,V27,$E$12:$E$731)-SUM($K$16:K26)</f>
        <v>0</v>
      </c>
      <c r="L27" s="162">
        <f t="shared" si="7"/>
        <v>0</v>
      </c>
      <c r="M27" s="90">
        <f t="shared" si="8"/>
        <v>0</v>
      </c>
      <c r="N27" s="90">
        <f t="shared" si="4"/>
        <v>0</v>
      </c>
      <c r="O27" s="89">
        <f t="shared" si="9"/>
        <v>0</v>
      </c>
      <c r="P27" s="62">
        <f t="shared" si="11"/>
        <v>12</v>
      </c>
      <c r="Q27" s="278">
        <f>HLOOKUP(I27,' Cash Flow'!$F$6:$AI$46,32)</f>
        <v>0</v>
      </c>
      <c r="R27" s="78">
        <f t="shared" si="12"/>
        <v>0</v>
      </c>
      <c r="T27" s="278"/>
      <c r="U27" s="62"/>
      <c r="V27" s="92" t="str">
        <f t="shared" si="5"/>
        <v>&lt;=144</v>
      </c>
    </row>
    <row r="28" spans="2:22">
      <c r="B28" s="64">
        <v>17</v>
      </c>
      <c r="C28" s="70">
        <f t="shared" si="0"/>
        <v>0</v>
      </c>
      <c r="D28" s="65">
        <f t="shared" si="1"/>
        <v>0</v>
      </c>
      <c r="E28" s="65">
        <f t="shared" si="2"/>
        <v>0</v>
      </c>
      <c r="F28" s="65">
        <f t="shared" si="3"/>
        <v>0</v>
      </c>
      <c r="G28" s="62"/>
      <c r="H28" s="88">
        <f t="shared" si="10"/>
        <v>156</v>
      </c>
      <c r="I28" s="80">
        <f t="shared" si="6"/>
        <v>1916</v>
      </c>
      <c r="J28" s="89">
        <f>SUMIF($B$12:$B$731,V28,$D$12:$D$731)-SUM($J$16:J27)</f>
        <v>0</v>
      </c>
      <c r="K28" s="96">
        <f>SUMIF($B$12:$B$731,V28,$E$12:$E$731)-SUM($K$16:K27)</f>
        <v>0</v>
      </c>
      <c r="L28" s="162">
        <f t="shared" si="7"/>
        <v>0</v>
      </c>
      <c r="M28" s="90">
        <f t="shared" si="8"/>
        <v>0</v>
      </c>
      <c r="N28" s="90">
        <f t="shared" si="4"/>
        <v>0</v>
      </c>
      <c r="O28" s="89">
        <f t="shared" si="9"/>
        <v>0</v>
      </c>
      <c r="P28" s="62"/>
      <c r="Q28" s="78"/>
      <c r="R28" s="78"/>
      <c r="S28" s="278"/>
      <c r="T28" s="62"/>
      <c r="U28" s="62"/>
      <c r="V28" s="92" t="str">
        <f t="shared" ref="V28:V75" si="13">$V$14&amp;$X$12&amp;H28</f>
        <v>&lt;=156</v>
      </c>
    </row>
    <row r="29" spans="2:22">
      <c r="B29" s="64">
        <v>18</v>
      </c>
      <c r="C29" s="70">
        <f t="shared" si="0"/>
        <v>0</v>
      </c>
      <c r="D29" s="65">
        <f t="shared" si="1"/>
        <v>0</v>
      </c>
      <c r="E29" s="65">
        <f t="shared" si="2"/>
        <v>0</v>
      </c>
      <c r="F29" s="65">
        <f t="shared" si="3"/>
        <v>0</v>
      </c>
      <c r="G29" s="62"/>
      <c r="H29" s="88">
        <f t="shared" si="10"/>
        <v>168</v>
      </c>
      <c r="I29" s="80">
        <f t="shared" si="6"/>
        <v>1917</v>
      </c>
      <c r="J29" s="89">
        <f>SUMIF($B$12:$B$731,V29,$D$12:$D$731)-SUM($J$16:J28)</f>
        <v>0</v>
      </c>
      <c r="K29" s="96">
        <f>SUMIF($B$12:$B$731,V29,$E$12:$E$731)-SUM($K$16:K28)</f>
        <v>0</v>
      </c>
      <c r="L29" s="162">
        <f t="shared" si="7"/>
        <v>0</v>
      </c>
      <c r="M29" s="90">
        <f t="shared" si="8"/>
        <v>0</v>
      </c>
      <c r="N29" s="90">
        <f t="shared" si="4"/>
        <v>0</v>
      </c>
      <c r="O29" s="89">
        <f t="shared" si="9"/>
        <v>0</v>
      </c>
      <c r="P29" s="62"/>
      <c r="Q29" s="78"/>
      <c r="R29" s="78"/>
      <c r="S29" s="278"/>
      <c r="T29" s="62"/>
      <c r="U29" s="62"/>
      <c r="V29" s="92" t="str">
        <f t="shared" si="13"/>
        <v>&lt;=168</v>
      </c>
    </row>
    <row r="30" spans="2:22">
      <c r="B30" s="64">
        <v>19</v>
      </c>
      <c r="C30" s="70">
        <f t="shared" ref="C30:C93" si="14">IF(F29&gt;$C$6,$C$6,F29+D30)</f>
        <v>0</v>
      </c>
      <c r="D30" s="65">
        <f t="shared" ref="D30:D93" si="15">+$C$4*F29/12</f>
        <v>0</v>
      </c>
      <c r="E30" s="65">
        <f t="shared" ref="E30:E93" si="16">+C30-D30</f>
        <v>0</v>
      </c>
      <c r="F30" s="65">
        <f t="shared" ref="F30:F93" si="17">+F29-E30</f>
        <v>0</v>
      </c>
      <c r="G30" s="62"/>
      <c r="H30" s="88">
        <f t="shared" si="10"/>
        <v>180</v>
      </c>
      <c r="I30" s="80">
        <f t="shared" si="6"/>
        <v>1918</v>
      </c>
      <c r="J30" s="89">
        <f>SUMIF($B$12:$B$731,V30,$D$12:$D$731)-SUM($J$16:J29)</f>
        <v>0</v>
      </c>
      <c r="K30" s="96">
        <f>SUMIF($B$12:$B$731,V30,$E$12:$E$731)-SUM($K$16:K29)</f>
        <v>0</v>
      </c>
      <c r="L30" s="162">
        <f t="shared" si="7"/>
        <v>0</v>
      </c>
      <c r="M30" s="90">
        <f t="shared" si="8"/>
        <v>0</v>
      </c>
      <c r="N30" s="90">
        <f t="shared" si="4"/>
        <v>0</v>
      </c>
      <c r="O30" s="89">
        <f t="shared" si="9"/>
        <v>0</v>
      </c>
      <c r="P30" s="62"/>
      <c r="Q30" s="78"/>
      <c r="R30" s="78"/>
      <c r="S30" s="278"/>
      <c r="T30" s="62"/>
      <c r="U30" s="62"/>
      <c r="V30" s="92" t="str">
        <f t="shared" si="13"/>
        <v>&lt;=180</v>
      </c>
    </row>
    <row r="31" spans="2:22">
      <c r="B31" s="64">
        <v>20</v>
      </c>
      <c r="C31" s="70">
        <f t="shared" si="14"/>
        <v>0</v>
      </c>
      <c r="D31" s="65">
        <f t="shared" si="15"/>
        <v>0</v>
      </c>
      <c r="E31" s="65">
        <f t="shared" si="16"/>
        <v>0</v>
      </c>
      <c r="F31" s="65">
        <f t="shared" si="17"/>
        <v>0</v>
      </c>
      <c r="G31" s="62"/>
      <c r="H31" s="88">
        <f t="shared" si="10"/>
        <v>192</v>
      </c>
      <c r="I31" s="80">
        <f t="shared" si="6"/>
        <v>1919</v>
      </c>
      <c r="J31" s="89">
        <f>SUMIF($B$12:$B$731,V31,$D$12:$D$731)-SUM($J$16:J30)</f>
        <v>0</v>
      </c>
      <c r="K31" s="96">
        <f>SUMIF($B$12:$B$731,V31,$E$12:$E$731)-SUM($K$16:K30)</f>
        <v>0</v>
      </c>
      <c r="L31" s="162">
        <f t="shared" si="7"/>
        <v>0</v>
      </c>
      <c r="M31" s="90">
        <f t="shared" si="8"/>
        <v>0</v>
      </c>
      <c r="N31" s="90">
        <f t="shared" si="4"/>
        <v>0</v>
      </c>
      <c r="O31" s="89">
        <f t="shared" si="9"/>
        <v>0</v>
      </c>
      <c r="P31" s="62"/>
      <c r="Q31" s="78"/>
      <c r="R31" s="78"/>
      <c r="S31" s="278"/>
      <c r="T31" s="62"/>
      <c r="U31" s="62"/>
      <c r="V31" s="92" t="str">
        <f t="shared" si="13"/>
        <v>&lt;=192</v>
      </c>
    </row>
    <row r="32" spans="2:22">
      <c r="B32" s="64">
        <v>21</v>
      </c>
      <c r="C32" s="70">
        <f t="shared" si="14"/>
        <v>0</v>
      </c>
      <c r="D32" s="65">
        <f t="shared" si="15"/>
        <v>0</v>
      </c>
      <c r="E32" s="65">
        <f t="shared" si="16"/>
        <v>0</v>
      </c>
      <c r="F32" s="65">
        <f t="shared" si="17"/>
        <v>0</v>
      </c>
      <c r="G32" s="62"/>
      <c r="H32" s="88">
        <f t="shared" si="10"/>
        <v>204</v>
      </c>
      <c r="I32" s="80">
        <f t="shared" si="6"/>
        <v>1920</v>
      </c>
      <c r="J32" s="89">
        <f>SUMIF($B$12:$B$731,V32,$D$12:$D$731)-SUM($J$16:J31)</f>
        <v>0</v>
      </c>
      <c r="K32" s="96">
        <f>SUMIF($B$12:$B$731,V32,$E$12:$E$731)-SUM($K$16:K31)</f>
        <v>0</v>
      </c>
      <c r="L32" s="162">
        <f t="shared" si="7"/>
        <v>0</v>
      </c>
      <c r="M32" s="90">
        <f t="shared" si="8"/>
        <v>0</v>
      </c>
      <c r="N32" s="90">
        <f t="shared" si="4"/>
        <v>0</v>
      </c>
      <c r="O32" s="89">
        <f t="shared" si="9"/>
        <v>0</v>
      </c>
      <c r="P32" s="62"/>
      <c r="Q32" s="78"/>
      <c r="R32" s="78"/>
      <c r="S32" s="278"/>
      <c r="T32" s="62"/>
      <c r="U32" s="62"/>
      <c r="V32" s="92" t="str">
        <f t="shared" si="13"/>
        <v>&lt;=204</v>
      </c>
    </row>
    <row r="33" spans="2:22">
      <c r="B33" s="64">
        <v>22</v>
      </c>
      <c r="C33" s="70">
        <f t="shared" si="14"/>
        <v>0</v>
      </c>
      <c r="D33" s="65">
        <f t="shared" si="15"/>
        <v>0</v>
      </c>
      <c r="E33" s="65">
        <f t="shared" si="16"/>
        <v>0</v>
      </c>
      <c r="F33" s="65">
        <f t="shared" si="17"/>
        <v>0</v>
      </c>
      <c r="G33" s="62"/>
      <c r="H33" s="88">
        <f t="shared" si="10"/>
        <v>216</v>
      </c>
      <c r="I33" s="80">
        <f t="shared" si="6"/>
        <v>1921</v>
      </c>
      <c r="J33" s="89">
        <f>SUMIF($B$12:$B$731,V33,$D$12:$D$731)-SUM($J$16:J32)</f>
        <v>0</v>
      </c>
      <c r="K33" s="96">
        <f>SUMIF($B$12:$B$731,V33,$E$12:$E$731)-SUM($K$16:K32)</f>
        <v>0</v>
      </c>
      <c r="L33" s="162">
        <f t="shared" si="7"/>
        <v>0</v>
      </c>
      <c r="M33" s="90">
        <f t="shared" si="8"/>
        <v>0</v>
      </c>
      <c r="N33" s="90">
        <f t="shared" si="4"/>
        <v>0</v>
      </c>
      <c r="O33" s="89">
        <f t="shared" si="9"/>
        <v>0</v>
      </c>
      <c r="P33" s="62"/>
      <c r="Q33" s="78"/>
      <c r="R33" s="78"/>
      <c r="S33" s="278"/>
      <c r="T33" s="62"/>
      <c r="U33" s="62"/>
      <c r="V33" s="92" t="str">
        <f t="shared" si="13"/>
        <v>&lt;=216</v>
      </c>
    </row>
    <row r="34" spans="2:22">
      <c r="B34" s="64">
        <v>23</v>
      </c>
      <c r="C34" s="70">
        <f t="shared" si="14"/>
        <v>0</v>
      </c>
      <c r="D34" s="65">
        <f t="shared" si="15"/>
        <v>0</v>
      </c>
      <c r="E34" s="65">
        <f t="shared" si="16"/>
        <v>0</v>
      </c>
      <c r="F34" s="65">
        <f t="shared" si="17"/>
        <v>0</v>
      </c>
      <c r="G34" s="62"/>
      <c r="H34" s="88">
        <f t="shared" si="10"/>
        <v>228</v>
      </c>
      <c r="I34" s="80">
        <f t="shared" si="6"/>
        <v>1922</v>
      </c>
      <c r="J34" s="89">
        <f>SUMIF($B$12:$B$731,V34,$D$12:$D$731)-SUM($J$16:J33)</f>
        <v>0</v>
      </c>
      <c r="K34" s="96">
        <f>SUMIF($B$12:$B$731,V34,$E$12:$E$731)-SUM($K$16:K33)</f>
        <v>0</v>
      </c>
      <c r="L34" s="162">
        <f t="shared" si="7"/>
        <v>0</v>
      </c>
      <c r="M34" s="90">
        <f t="shared" si="8"/>
        <v>0</v>
      </c>
      <c r="N34" s="90">
        <f t="shared" si="4"/>
        <v>0</v>
      </c>
      <c r="O34" s="89">
        <f t="shared" si="9"/>
        <v>0</v>
      </c>
      <c r="P34" s="62"/>
      <c r="Q34" s="78"/>
      <c r="R34" s="78"/>
      <c r="S34" s="278"/>
      <c r="T34" s="62"/>
      <c r="U34" s="62"/>
      <c r="V34" s="92" t="str">
        <f t="shared" si="13"/>
        <v>&lt;=228</v>
      </c>
    </row>
    <row r="35" spans="2:22">
      <c r="B35" s="64">
        <v>24</v>
      </c>
      <c r="C35" s="70">
        <f t="shared" si="14"/>
        <v>0</v>
      </c>
      <c r="D35" s="65">
        <f t="shared" si="15"/>
        <v>0</v>
      </c>
      <c r="E35" s="65">
        <f t="shared" si="16"/>
        <v>0</v>
      </c>
      <c r="F35" s="65">
        <f t="shared" si="17"/>
        <v>0</v>
      </c>
      <c r="G35" s="62"/>
      <c r="H35" s="88">
        <f t="shared" si="10"/>
        <v>240</v>
      </c>
      <c r="I35" s="80">
        <f t="shared" si="6"/>
        <v>1923</v>
      </c>
      <c r="J35" s="89">
        <f>SUMIF($B$12:$B$731,V35,$D$12:$D$731)-SUM($J$16:J34)</f>
        <v>0</v>
      </c>
      <c r="K35" s="96">
        <f>SUMIF($B$12:$B$731,V35,$E$12:$E$731)-SUM($K$16:K34)</f>
        <v>0</v>
      </c>
      <c r="L35" s="162">
        <f t="shared" si="7"/>
        <v>0</v>
      </c>
      <c r="M35" s="90">
        <f t="shared" si="8"/>
        <v>0</v>
      </c>
      <c r="N35" s="90">
        <f t="shared" si="4"/>
        <v>0</v>
      </c>
      <c r="O35" s="89">
        <f t="shared" si="9"/>
        <v>0</v>
      </c>
      <c r="P35" s="62"/>
      <c r="Q35" s="78"/>
      <c r="R35" s="78"/>
      <c r="S35" s="278"/>
      <c r="T35" s="62"/>
      <c r="U35" s="62"/>
      <c r="V35" s="92" t="str">
        <f t="shared" si="13"/>
        <v>&lt;=240</v>
      </c>
    </row>
    <row r="36" spans="2:22">
      <c r="B36" s="64">
        <v>25</v>
      </c>
      <c r="C36" s="70">
        <f t="shared" si="14"/>
        <v>0</v>
      </c>
      <c r="D36" s="65">
        <f t="shared" si="15"/>
        <v>0</v>
      </c>
      <c r="E36" s="65">
        <f t="shared" si="16"/>
        <v>0</v>
      </c>
      <c r="F36" s="65">
        <f t="shared" si="17"/>
        <v>0</v>
      </c>
      <c r="G36" s="62"/>
      <c r="H36" s="88">
        <f t="shared" si="10"/>
        <v>252</v>
      </c>
      <c r="I36" s="80">
        <f t="shared" si="6"/>
        <v>1924</v>
      </c>
      <c r="J36" s="89">
        <f>SUMIF($B$12:$B$731,V36,$D$12:$D$731)-SUM($J$16:J35)</f>
        <v>0</v>
      </c>
      <c r="K36" s="96">
        <f>SUMIF($B$12:$B$731,V36,$E$12:$E$731)-SUM($K$16:K35)</f>
        <v>0</v>
      </c>
      <c r="L36" s="162">
        <f t="shared" si="7"/>
        <v>0</v>
      </c>
      <c r="M36" s="90">
        <f t="shared" si="8"/>
        <v>0</v>
      </c>
      <c r="N36" s="90">
        <f t="shared" si="4"/>
        <v>0</v>
      </c>
      <c r="O36" s="89">
        <f t="shared" si="9"/>
        <v>0</v>
      </c>
      <c r="P36" s="62"/>
      <c r="Q36" s="78"/>
      <c r="R36" s="78"/>
      <c r="S36" s="278"/>
      <c r="T36" s="62"/>
      <c r="U36" s="62"/>
      <c r="V36" s="92" t="str">
        <f t="shared" si="13"/>
        <v>&lt;=252</v>
      </c>
    </row>
    <row r="37" spans="2:22">
      <c r="B37" s="64">
        <v>26</v>
      </c>
      <c r="C37" s="70">
        <f t="shared" si="14"/>
        <v>0</v>
      </c>
      <c r="D37" s="65">
        <f t="shared" si="15"/>
        <v>0</v>
      </c>
      <c r="E37" s="65">
        <f t="shared" si="16"/>
        <v>0</v>
      </c>
      <c r="F37" s="65">
        <f t="shared" si="17"/>
        <v>0</v>
      </c>
      <c r="G37" s="62"/>
      <c r="H37" s="88">
        <f t="shared" si="10"/>
        <v>264</v>
      </c>
      <c r="I37" s="80">
        <f t="shared" si="6"/>
        <v>1925</v>
      </c>
      <c r="J37" s="89">
        <f>SUMIF($B$12:$B$731,V37,$D$12:$D$731)-SUM($J$16:J36)</f>
        <v>0</v>
      </c>
      <c r="K37" s="96">
        <f>SUMIF($B$12:$B$731,V37,$E$12:$E$731)-SUM($K$16:K36)</f>
        <v>0</v>
      </c>
      <c r="L37" s="162">
        <f t="shared" si="7"/>
        <v>0</v>
      </c>
      <c r="M37" s="90">
        <f t="shared" si="8"/>
        <v>0</v>
      </c>
      <c r="N37" s="90">
        <f t="shared" si="4"/>
        <v>0</v>
      </c>
      <c r="O37" s="89">
        <f t="shared" si="9"/>
        <v>0</v>
      </c>
      <c r="P37" s="62"/>
      <c r="Q37" s="78"/>
      <c r="R37" s="78"/>
      <c r="S37" s="278"/>
      <c r="T37" s="62"/>
      <c r="U37" s="62"/>
      <c r="V37" s="92" t="str">
        <f t="shared" si="13"/>
        <v>&lt;=264</v>
      </c>
    </row>
    <row r="38" spans="2:22">
      <c r="B38" s="64">
        <v>27</v>
      </c>
      <c r="C38" s="70">
        <f t="shared" si="14"/>
        <v>0</v>
      </c>
      <c r="D38" s="65">
        <f t="shared" si="15"/>
        <v>0</v>
      </c>
      <c r="E38" s="65">
        <f t="shared" si="16"/>
        <v>0</v>
      </c>
      <c r="F38" s="65">
        <f t="shared" si="17"/>
        <v>0</v>
      </c>
      <c r="G38" s="62"/>
      <c r="H38" s="88">
        <f t="shared" si="10"/>
        <v>276</v>
      </c>
      <c r="I38" s="80">
        <f t="shared" si="6"/>
        <v>1926</v>
      </c>
      <c r="J38" s="89">
        <f>SUMIF($B$12:$B$731,V38,$D$12:$D$731)-SUM($J$16:J37)</f>
        <v>0</v>
      </c>
      <c r="K38" s="96">
        <f>SUMIF($B$12:$B$731,V38,$E$12:$E$731)-SUM($K$16:K37)</f>
        <v>0</v>
      </c>
      <c r="L38" s="162">
        <f t="shared" si="7"/>
        <v>0</v>
      </c>
      <c r="M38" s="90">
        <f t="shared" si="8"/>
        <v>0</v>
      </c>
      <c r="N38" s="90">
        <f t="shared" si="4"/>
        <v>0</v>
      </c>
      <c r="O38" s="89">
        <f t="shared" si="9"/>
        <v>0</v>
      </c>
      <c r="P38" s="62"/>
      <c r="Q38" s="78"/>
      <c r="R38" s="78"/>
      <c r="S38" s="278"/>
      <c r="T38" s="62"/>
      <c r="U38" s="62"/>
      <c r="V38" s="92" t="str">
        <f t="shared" si="13"/>
        <v>&lt;=276</v>
      </c>
    </row>
    <row r="39" spans="2:22">
      <c r="B39" s="64">
        <v>28</v>
      </c>
      <c r="C39" s="70">
        <f t="shared" si="14"/>
        <v>0</v>
      </c>
      <c r="D39" s="65">
        <f t="shared" si="15"/>
        <v>0</v>
      </c>
      <c r="E39" s="65">
        <f t="shared" si="16"/>
        <v>0</v>
      </c>
      <c r="F39" s="65">
        <f t="shared" si="17"/>
        <v>0</v>
      </c>
      <c r="G39" s="62"/>
      <c r="H39" s="88">
        <f t="shared" si="10"/>
        <v>288</v>
      </c>
      <c r="I39" s="80">
        <f t="shared" si="6"/>
        <v>1927</v>
      </c>
      <c r="J39" s="89">
        <f>SUMIF($B$12:$B$731,V39,$D$12:$D$731)-SUM($J$16:J38)</f>
        <v>0</v>
      </c>
      <c r="K39" s="96">
        <f>SUMIF($B$12:$B$731,V39,$E$12:$E$731)-SUM($K$16:K38)</f>
        <v>0</v>
      </c>
      <c r="L39" s="162">
        <f t="shared" si="7"/>
        <v>0</v>
      </c>
      <c r="M39" s="90">
        <f t="shared" si="8"/>
        <v>0</v>
      </c>
      <c r="N39" s="90">
        <f t="shared" si="4"/>
        <v>0</v>
      </c>
      <c r="O39" s="89">
        <f t="shared" si="9"/>
        <v>0</v>
      </c>
      <c r="P39" s="62"/>
      <c r="Q39" s="78"/>
      <c r="R39" s="78"/>
      <c r="S39" s="278"/>
      <c r="T39" s="62"/>
      <c r="U39" s="62"/>
      <c r="V39" s="92" t="str">
        <f t="shared" si="13"/>
        <v>&lt;=288</v>
      </c>
    </row>
    <row r="40" spans="2:22">
      <c r="B40" s="64">
        <v>29</v>
      </c>
      <c r="C40" s="70">
        <f t="shared" si="14"/>
        <v>0</v>
      </c>
      <c r="D40" s="65">
        <f t="shared" si="15"/>
        <v>0</v>
      </c>
      <c r="E40" s="65">
        <f t="shared" si="16"/>
        <v>0</v>
      </c>
      <c r="F40" s="65">
        <f t="shared" si="17"/>
        <v>0</v>
      </c>
      <c r="G40" s="62"/>
      <c r="H40" s="88">
        <f t="shared" si="10"/>
        <v>300</v>
      </c>
      <c r="I40" s="80">
        <f t="shared" si="6"/>
        <v>1928</v>
      </c>
      <c r="J40" s="89">
        <f>SUMIF($B$12:$B$731,V40,$D$12:$D$731)-SUM($J$16:J39)</f>
        <v>0</v>
      </c>
      <c r="K40" s="96">
        <f>SUMIF($B$12:$B$731,V40,$E$12:$E$731)-SUM($K$16:K39)</f>
        <v>0</v>
      </c>
      <c r="L40" s="162">
        <f t="shared" si="7"/>
        <v>0</v>
      </c>
      <c r="M40" s="90">
        <f t="shared" si="8"/>
        <v>0</v>
      </c>
      <c r="N40" s="90">
        <f t="shared" si="4"/>
        <v>0</v>
      </c>
      <c r="O40" s="89">
        <f t="shared" si="9"/>
        <v>0</v>
      </c>
      <c r="P40" s="62"/>
      <c r="Q40" s="78"/>
      <c r="R40" s="78"/>
      <c r="S40" s="278"/>
      <c r="T40" s="62"/>
      <c r="U40" s="62"/>
      <c r="V40" s="92" t="str">
        <f t="shared" si="13"/>
        <v>&lt;=300</v>
      </c>
    </row>
    <row r="41" spans="2:22">
      <c r="B41" s="64">
        <v>30</v>
      </c>
      <c r="C41" s="70">
        <f t="shared" si="14"/>
        <v>0</v>
      </c>
      <c r="D41" s="65">
        <f t="shared" si="15"/>
        <v>0</v>
      </c>
      <c r="E41" s="65">
        <f t="shared" si="16"/>
        <v>0</v>
      </c>
      <c r="F41" s="65">
        <f t="shared" si="17"/>
        <v>0</v>
      </c>
      <c r="G41" s="62"/>
      <c r="H41" s="88">
        <f t="shared" si="10"/>
        <v>312</v>
      </c>
      <c r="I41" s="80">
        <f t="shared" si="6"/>
        <v>1929</v>
      </c>
      <c r="J41" s="89">
        <f>SUMIF($B$12:$B$731,V41,$D$12:$D$731)-SUM($J$16:J40)</f>
        <v>0</v>
      </c>
      <c r="K41" s="96">
        <f>SUMIF($B$12:$B$731,V41,$E$12:$E$731)-SUM($K$16:K40)</f>
        <v>0</v>
      </c>
      <c r="L41" s="162">
        <f t="shared" si="7"/>
        <v>0</v>
      </c>
      <c r="M41" s="90">
        <f t="shared" si="8"/>
        <v>0</v>
      </c>
      <c r="N41" s="90">
        <f t="shared" si="4"/>
        <v>0</v>
      </c>
      <c r="O41" s="89">
        <f t="shared" si="9"/>
        <v>0</v>
      </c>
      <c r="P41" s="62"/>
      <c r="Q41" s="78"/>
      <c r="R41" s="78"/>
      <c r="S41" s="278"/>
      <c r="T41" s="62"/>
      <c r="U41" s="62"/>
      <c r="V41" s="92" t="str">
        <f t="shared" si="13"/>
        <v>&lt;=312</v>
      </c>
    </row>
    <row r="42" spans="2:22">
      <c r="B42" s="64">
        <v>31</v>
      </c>
      <c r="C42" s="70">
        <f t="shared" si="14"/>
        <v>0</v>
      </c>
      <c r="D42" s="65">
        <f t="shared" si="15"/>
        <v>0</v>
      </c>
      <c r="E42" s="65">
        <f t="shared" si="16"/>
        <v>0</v>
      </c>
      <c r="F42" s="65">
        <f t="shared" si="17"/>
        <v>0</v>
      </c>
      <c r="G42" s="62"/>
      <c r="H42" s="88">
        <f t="shared" si="10"/>
        <v>324</v>
      </c>
      <c r="I42" s="80">
        <f t="shared" si="6"/>
        <v>1930</v>
      </c>
      <c r="J42" s="89">
        <f>SUMIF($B$12:$B$731,V42,$D$12:$D$731)-SUM($J$16:J41)</f>
        <v>0</v>
      </c>
      <c r="K42" s="96">
        <f>SUMIF($B$12:$B$731,V42,$E$12:$E$731)-SUM($K$16:K41)</f>
        <v>0</v>
      </c>
      <c r="L42" s="162">
        <f t="shared" si="7"/>
        <v>0</v>
      </c>
      <c r="M42" s="90">
        <f t="shared" si="8"/>
        <v>0</v>
      </c>
      <c r="N42" s="90">
        <f t="shared" si="4"/>
        <v>0</v>
      </c>
      <c r="O42" s="89">
        <f t="shared" si="9"/>
        <v>0</v>
      </c>
      <c r="P42" s="62"/>
      <c r="Q42" s="78"/>
      <c r="R42" s="78"/>
      <c r="S42" s="278"/>
      <c r="T42" s="62"/>
      <c r="U42" s="62"/>
      <c r="V42" s="92" t="str">
        <f t="shared" si="13"/>
        <v>&lt;=324</v>
      </c>
    </row>
    <row r="43" spans="2:22">
      <c r="B43" s="64">
        <v>32</v>
      </c>
      <c r="C43" s="70">
        <f t="shared" si="14"/>
        <v>0</v>
      </c>
      <c r="D43" s="65">
        <f t="shared" si="15"/>
        <v>0</v>
      </c>
      <c r="E43" s="65">
        <f t="shared" si="16"/>
        <v>0</v>
      </c>
      <c r="F43" s="65">
        <f t="shared" si="17"/>
        <v>0</v>
      </c>
      <c r="G43" s="62"/>
      <c r="H43" s="88">
        <f t="shared" si="10"/>
        <v>336</v>
      </c>
      <c r="I43" s="80">
        <f t="shared" si="6"/>
        <v>1931</v>
      </c>
      <c r="J43" s="89">
        <f>SUMIF($B$12:$B$731,V43,$D$12:$D$731)-SUM($J$16:J42)</f>
        <v>0</v>
      </c>
      <c r="K43" s="96">
        <f>SUMIF($B$12:$B$731,V43,$E$12:$E$731)-SUM($K$16:K42)</f>
        <v>0</v>
      </c>
      <c r="L43" s="162">
        <f t="shared" si="7"/>
        <v>0</v>
      </c>
      <c r="M43" s="90">
        <f t="shared" si="8"/>
        <v>0</v>
      </c>
      <c r="N43" s="90">
        <f t="shared" si="4"/>
        <v>0</v>
      </c>
      <c r="O43" s="89">
        <f t="shared" si="9"/>
        <v>0</v>
      </c>
      <c r="P43" s="62"/>
      <c r="Q43" s="78"/>
      <c r="R43" s="78"/>
      <c r="S43" s="278"/>
      <c r="T43" s="62"/>
      <c r="U43" s="62"/>
      <c r="V43" s="92" t="str">
        <f t="shared" si="13"/>
        <v>&lt;=336</v>
      </c>
    </row>
    <row r="44" spans="2:22">
      <c r="B44" s="64">
        <v>33</v>
      </c>
      <c r="C44" s="70">
        <f t="shared" si="14"/>
        <v>0</v>
      </c>
      <c r="D44" s="65">
        <f t="shared" si="15"/>
        <v>0</v>
      </c>
      <c r="E44" s="65">
        <f t="shared" si="16"/>
        <v>0</v>
      </c>
      <c r="F44" s="65">
        <f t="shared" si="17"/>
        <v>0</v>
      </c>
      <c r="G44" s="62"/>
      <c r="H44" s="88">
        <f t="shared" si="10"/>
        <v>348</v>
      </c>
      <c r="I44" s="80">
        <f t="shared" si="6"/>
        <v>1932</v>
      </c>
      <c r="J44" s="89">
        <f>SUMIF($B$12:$B$731,V44,$D$12:$D$731)-SUM($J$16:J43)</f>
        <v>0</v>
      </c>
      <c r="K44" s="96">
        <f>SUMIF($B$12:$B$731,V44,$E$12:$E$731)-SUM($K$16:K43)</f>
        <v>0</v>
      </c>
      <c r="L44" s="162">
        <f t="shared" si="7"/>
        <v>0</v>
      </c>
      <c r="M44" s="90">
        <f t="shared" si="8"/>
        <v>0</v>
      </c>
      <c r="N44" s="90">
        <f t="shared" si="4"/>
        <v>0</v>
      </c>
      <c r="O44" s="89">
        <f t="shared" si="9"/>
        <v>0</v>
      </c>
      <c r="P44" s="62"/>
      <c r="Q44" s="78"/>
      <c r="R44" s="78"/>
      <c r="S44" s="278"/>
      <c r="T44" s="62"/>
      <c r="U44" s="62"/>
      <c r="V44" s="92" t="str">
        <f t="shared" si="13"/>
        <v>&lt;=348</v>
      </c>
    </row>
    <row r="45" spans="2:22">
      <c r="B45" s="64">
        <v>34</v>
      </c>
      <c r="C45" s="70">
        <f t="shared" si="14"/>
        <v>0</v>
      </c>
      <c r="D45" s="65">
        <f t="shared" si="15"/>
        <v>0</v>
      </c>
      <c r="E45" s="65">
        <f t="shared" si="16"/>
        <v>0</v>
      </c>
      <c r="F45" s="65">
        <f t="shared" si="17"/>
        <v>0</v>
      </c>
      <c r="G45" s="62"/>
      <c r="H45" s="88">
        <f t="shared" si="10"/>
        <v>360</v>
      </c>
      <c r="I45" s="80">
        <f t="shared" si="6"/>
        <v>1933</v>
      </c>
      <c r="J45" s="89">
        <f>SUMIF($B$12:$B$731,V45,$D$12:$D$731)-SUM($J$16:J44)</f>
        <v>0</v>
      </c>
      <c r="K45" s="96">
        <f>SUMIF($B$12:$B$731,V45,$E$12:$E$731)-SUM($K$16:K44)</f>
        <v>0</v>
      </c>
      <c r="L45" s="162">
        <f t="shared" si="7"/>
        <v>0</v>
      </c>
      <c r="M45" s="90">
        <f t="shared" si="8"/>
        <v>0</v>
      </c>
      <c r="N45" s="90">
        <f t="shared" si="4"/>
        <v>0</v>
      </c>
      <c r="O45" s="89">
        <f t="shared" si="9"/>
        <v>0</v>
      </c>
      <c r="P45" s="62"/>
      <c r="Q45" s="78"/>
      <c r="R45" s="78"/>
      <c r="S45" s="278"/>
      <c r="T45" s="62"/>
      <c r="U45" s="62"/>
      <c r="V45" s="92" t="str">
        <f t="shared" si="13"/>
        <v>&lt;=360</v>
      </c>
    </row>
    <row r="46" spans="2:22">
      <c r="B46" s="64">
        <v>35</v>
      </c>
      <c r="C46" s="70">
        <f t="shared" si="14"/>
        <v>0</v>
      </c>
      <c r="D46" s="65">
        <f t="shared" si="15"/>
        <v>0</v>
      </c>
      <c r="E46" s="65">
        <f t="shared" si="16"/>
        <v>0</v>
      </c>
      <c r="F46" s="65">
        <f t="shared" si="17"/>
        <v>0</v>
      </c>
      <c r="G46" s="62"/>
      <c r="H46" s="88">
        <f t="shared" si="10"/>
        <v>372</v>
      </c>
      <c r="I46" s="80">
        <f t="shared" si="6"/>
        <v>1934</v>
      </c>
      <c r="J46" s="89">
        <f>SUMIF($B$12:$B$731,V46,$D$12:$D$731)-SUM($J$16:J45)</f>
        <v>0</v>
      </c>
      <c r="K46" s="96">
        <f>SUMIF($B$12:$B$731,V46,$E$12:$E$731)-SUM($K$16:K45)</f>
        <v>0</v>
      </c>
      <c r="L46" s="162">
        <f t="shared" si="7"/>
        <v>0</v>
      </c>
      <c r="M46" s="90">
        <f t="shared" si="8"/>
        <v>0</v>
      </c>
      <c r="N46" s="90">
        <f t="shared" si="4"/>
        <v>0</v>
      </c>
      <c r="O46" s="89">
        <f t="shared" si="9"/>
        <v>0</v>
      </c>
      <c r="P46" s="62"/>
      <c r="Q46" s="78"/>
      <c r="R46" s="78"/>
      <c r="S46" s="278"/>
      <c r="T46" s="62"/>
      <c r="U46" s="62"/>
      <c r="V46" s="92" t="str">
        <f t="shared" si="13"/>
        <v>&lt;=372</v>
      </c>
    </row>
    <row r="47" spans="2:22">
      <c r="B47" s="64">
        <v>36</v>
      </c>
      <c r="C47" s="70">
        <f t="shared" si="14"/>
        <v>0</v>
      </c>
      <c r="D47" s="65">
        <f t="shared" si="15"/>
        <v>0</v>
      </c>
      <c r="E47" s="65">
        <f t="shared" si="16"/>
        <v>0</v>
      </c>
      <c r="F47" s="65">
        <f t="shared" si="17"/>
        <v>0</v>
      </c>
      <c r="G47" s="62"/>
      <c r="H47" s="88">
        <f t="shared" si="10"/>
        <v>384</v>
      </c>
      <c r="I47" s="80">
        <f t="shared" si="6"/>
        <v>1935</v>
      </c>
      <c r="J47" s="89">
        <f>SUMIF($B$12:$B$731,V47,$D$12:$D$731)-SUM($J$16:J46)</f>
        <v>0</v>
      </c>
      <c r="K47" s="96">
        <f>SUMIF($B$12:$B$731,V47,$E$12:$E$731)-SUM($K$16:K46)</f>
        <v>0</v>
      </c>
      <c r="L47" s="162">
        <f t="shared" si="7"/>
        <v>0</v>
      </c>
      <c r="M47" s="90">
        <f t="shared" si="8"/>
        <v>0</v>
      </c>
      <c r="N47" s="90">
        <f t="shared" si="4"/>
        <v>0</v>
      </c>
      <c r="O47" s="89">
        <f t="shared" si="9"/>
        <v>0</v>
      </c>
      <c r="P47" s="62"/>
      <c r="Q47" s="78"/>
      <c r="R47" s="78"/>
      <c r="S47" s="278"/>
      <c r="T47" s="62"/>
      <c r="U47" s="62"/>
      <c r="V47" s="92" t="str">
        <f t="shared" si="13"/>
        <v>&lt;=384</v>
      </c>
    </row>
    <row r="48" spans="2:22">
      <c r="B48" s="64">
        <v>37</v>
      </c>
      <c r="C48" s="70">
        <f t="shared" si="14"/>
        <v>0</v>
      </c>
      <c r="D48" s="65">
        <f t="shared" si="15"/>
        <v>0</v>
      </c>
      <c r="E48" s="65">
        <f t="shared" si="16"/>
        <v>0</v>
      </c>
      <c r="F48" s="65">
        <f t="shared" si="17"/>
        <v>0</v>
      </c>
      <c r="G48" s="62"/>
      <c r="H48" s="88">
        <f t="shared" si="10"/>
        <v>396</v>
      </c>
      <c r="I48" s="80">
        <f t="shared" si="6"/>
        <v>1936</v>
      </c>
      <c r="J48" s="89">
        <f>SUMIF($B$12:$B$731,V48,$D$12:$D$731)-SUM($J$16:J47)</f>
        <v>0</v>
      </c>
      <c r="K48" s="96">
        <f>SUMIF($B$12:$B$731,V48,$E$12:$E$731)-SUM($K$16:K47)</f>
        <v>0</v>
      </c>
      <c r="L48" s="162">
        <f t="shared" si="7"/>
        <v>0</v>
      </c>
      <c r="M48" s="90">
        <f t="shared" si="8"/>
        <v>0</v>
      </c>
      <c r="N48" s="90">
        <f t="shared" si="4"/>
        <v>0</v>
      </c>
      <c r="O48" s="89">
        <f t="shared" si="9"/>
        <v>0</v>
      </c>
      <c r="P48" s="62"/>
      <c r="Q48" s="78"/>
      <c r="R48" s="78"/>
      <c r="S48" s="278"/>
      <c r="T48" s="62"/>
      <c r="U48" s="62"/>
      <c r="V48" s="92" t="str">
        <f t="shared" si="13"/>
        <v>&lt;=396</v>
      </c>
    </row>
    <row r="49" spans="2:22">
      <c r="B49" s="64">
        <v>38</v>
      </c>
      <c r="C49" s="70">
        <f t="shared" si="14"/>
        <v>0</v>
      </c>
      <c r="D49" s="65">
        <f t="shared" si="15"/>
        <v>0</v>
      </c>
      <c r="E49" s="65">
        <f t="shared" si="16"/>
        <v>0</v>
      </c>
      <c r="F49" s="65">
        <f t="shared" si="17"/>
        <v>0</v>
      </c>
      <c r="G49" s="62"/>
      <c r="H49" s="88">
        <f t="shared" si="10"/>
        <v>408</v>
      </c>
      <c r="I49" s="80">
        <f t="shared" si="6"/>
        <v>1937</v>
      </c>
      <c r="J49" s="89">
        <f>SUMIF($B$12:$B$731,V49,$D$12:$D$731)-SUM($J$16:J48)</f>
        <v>0</v>
      </c>
      <c r="K49" s="96">
        <f>SUMIF($B$12:$B$731,V49,$E$12:$E$731)-SUM($K$16:K48)</f>
        <v>0</v>
      </c>
      <c r="L49" s="162">
        <f t="shared" si="7"/>
        <v>0</v>
      </c>
      <c r="M49" s="90">
        <f t="shared" si="8"/>
        <v>0</v>
      </c>
      <c r="N49" s="90">
        <f t="shared" si="4"/>
        <v>0</v>
      </c>
      <c r="O49" s="89">
        <f t="shared" si="9"/>
        <v>0</v>
      </c>
      <c r="P49" s="62"/>
      <c r="Q49" s="78"/>
      <c r="R49" s="78"/>
      <c r="S49" s="278"/>
      <c r="T49" s="62"/>
      <c r="U49" s="62"/>
      <c r="V49" s="92" t="str">
        <f t="shared" si="13"/>
        <v>&lt;=408</v>
      </c>
    </row>
    <row r="50" spans="2:22">
      <c r="B50" s="64">
        <v>39</v>
      </c>
      <c r="C50" s="70">
        <f t="shared" si="14"/>
        <v>0</v>
      </c>
      <c r="D50" s="65">
        <f t="shared" si="15"/>
        <v>0</v>
      </c>
      <c r="E50" s="65">
        <f t="shared" si="16"/>
        <v>0</v>
      </c>
      <c r="F50" s="65">
        <f t="shared" si="17"/>
        <v>0</v>
      </c>
      <c r="G50" s="62"/>
      <c r="H50" s="88">
        <f t="shared" si="10"/>
        <v>420</v>
      </c>
      <c r="I50" s="80">
        <f t="shared" si="6"/>
        <v>1938</v>
      </c>
      <c r="J50" s="89">
        <f>SUMIF($B$12:$B$731,V50,$D$12:$D$731)-SUM($J$16:J49)</f>
        <v>0</v>
      </c>
      <c r="K50" s="96">
        <f>SUMIF($B$12:$B$731,V50,$E$12:$E$731)-SUM($K$16:K49)</f>
        <v>0</v>
      </c>
      <c r="L50" s="162">
        <f t="shared" si="7"/>
        <v>0</v>
      </c>
      <c r="M50" s="90">
        <f t="shared" si="8"/>
        <v>0</v>
      </c>
      <c r="N50" s="90">
        <f t="shared" si="4"/>
        <v>0</v>
      </c>
      <c r="O50" s="89">
        <f t="shared" si="9"/>
        <v>0</v>
      </c>
      <c r="P50" s="62"/>
      <c r="Q50" s="78"/>
      <c r="R50" s="78"/>
      <c r="S50" s="278"/>
      <c r="T50" s="62"/>
      <c r="U50" s="62"/>
      <c r="V50" s="92" t="str">
        <f t="shared" si="13"/>
        <v>&lt;=420</v>
      </c>
    </row>
    <row r="51" spans="2:22">
      <c r="B51" s="64">
        <v>40</v>
      </c>
      <c r="C51" s="70">
        <f t="shared" si="14"/>
        <v>0</v>
      </c>
      <c r="D51" s="65">
        <f t="shared" si="15"/>
        <v>0</v>
      </c>
      <c r="E51" s="65">
        <f t="shared" si="16"/>
        <v>0</v>
      </c>
      <c r="F51" s="65">
        <f t="shared" si="17"/>
        <v>0</v>
      </c>
      <c r="G51" s="62"/>
      <c r="H51" s="88">
        <f t="shared" si="10"/>
        <v>432</v>
      </c>
      <c r="I51" s="80">
        <f t="shared" si="6"/>
        <v>1939</v>
      </c>
      <c r="J51" s="89">
        <f>SUMIF($B$12:$B$731,V51,$D$12:$D$731)-SUM($J$16:J50)</f>
        <v>0</v>
      </c>
      <c r="K51" s="96">
        <f>SUMIF($B$12:$B$731,V51,$E$12:$E$731)-SUM($K$16:K50)</f>
        <v>0</v>
      </c>
      <c r="L51" s="162">
        <f t="shared" si="7"/>
        <v>0</v>
      </c>
      <c r="M51" s="90">
        <f t="shared" si="8"/>
        <v>0</v>
      </c>
      <c r="N51" s="90">
        <f t="shared" si="4"/>
        <v>0</v>
      </c>
      <c r="O51" s="89">
        <f t="shared" si="9"/>
        <v>0</v>
      </c>
      <c r="P51" s="62"/>
      <c r="Q51" s="78"/>
      <c r="R51" s="78"/>
      <c r="S51" s="278"/>
      <c r="T51" s="62"/>
      <c r="U51" s="62"/>
      <c r="V51" s="92" t="str">
        <f t="shared" si="13"/>
        <v>&lt;=432</v>
      </c>
    </row>
    <row r="52" spans="2:22">
      <c r="B52" s="64">
        <v>41</v>
      </c>
      <c r="C52" s="70">
        <f t="shared" si="14"/>
        <v>0</v>
      </c>
      <c r="D52" s="65">
        <f t="shared" si="15"/>
        <v>0</v>
      </c>
      <c r="E52" s="65">
        <f t="shared" si="16"/>
        <v>0</v>
      </c>
      <c r="F52" s="65">
        <f t="shared" si="17"/>
        <v>0</v>
      </c>
      <c r="G52" s="62"/>
      <c r="H52" s="88">
        <f t="shared" si="10"/>
        <v>444</v>
      </c>
      <c r="I52" s="80">
        <f t="shared" si="6"/>
        <v>1940</v>
      </c>
      <c r="J52" s="89">
        <f>SUMIF($B$12:$B$731,V52,$D$12:$D$731)-SUM($J$16:J51)</f>
        <v>0</v>
      </c>
      <c r="K52" s="96">
        <f>SUMIF($B$12:$B$731,V52,$E$12:$E$731)-SUM($K$16:K51)</f>
        <v>0</v>
      </c>
      <c r="L52" s="162">
        <f t="shared" si="7"/>
        <v>0</v>
      </c>
      <c r="M52" s="90">
        <f t="shared" si="8"/>
        <v>0</v>
      </c>
      <c r="N52" s="90">
        <f t="shared" si="4"/>
        <v>0</v>
      </c>
      <c r="O52" s="89">
        <f t="shared" si="9"/>
        <v>0</v>
      </c>
      <c r="P52" s="62"/>
      <c r="Q52" s="78"/>
      <c r="R52" s="78"/>
      <c r="S52" s="278"/>
      <c r="T52" s="62"/>
      <c r="U52" s="62"/>
      <c r="V52" s="92" t="str">
        <f t="shared" si="13"/>
        <v>&lt;=444</v>
      </c>
    </row>
    <row r="53" spans="2:22">
      <c r="B53" s="64">
        <v>42</v>
      </c>
      <c r="C53" s="70">
        <f t="shared" si="14"/>
        <v>0</v>
      </c>
      <c r="D53" s="65">
        <f t="shared" si="15"/>
        <v>0</v>
      </c>
      <c r="E53" s="65">
        <f t="shared" si="16"/>
        <v>0</v>
      </c>
      <c r="F53" s="65">
        <f t="shared" si="17"/>
        <v>0</v>
      </c>
      <c r="G53" s="62"/>
      <c r="H53" s="88">
        <f t="shared" si="10"/>
        <v>456</v>
      </c>
      <c r="I53" s="80">
        <f t="shared" si="6"/>
        <v>1941</v>
      </c>
      <c r="J53" s="89">
        <f>SUMIF($B$12:$B$731,V53,$D$12:$D$731)-SUM($J$16:J52)</f>
        <v>0</v>
      </c>
      <c r="K53" s="96">
        <f>SUMIF($B$12:$B$731,V53,$E$12:$E$731)-SUM($K$16:K52)</f>
        <v>0</v>
      </c>
      <c r="L53" s="162">
        <f t="shared" si="7"/>
        <v>0</v>
      </c>
      <c r="M53" s="90">
        <f t="shared" si="8"/>
        <v>0</v>
      </c>
      <c r="N53" s="90">
        <f t="shared" si="4"/>
        <v>0</v>
      </c>
      <c r="O53" s="89">
        <f t="shared" si="9"/>
        <v>0</v>
      </c>
      <c r="P53" s="62"/>
      <c r="Q53" s="78"/>
      <c r="R53" s="78"/>
      <c r="S53" s="278"/>
      <c r="T53" s="62"/>
      <c r="U53" s="62"/>
      <c r="V53" s="92" t="str">
        <f t="shared" si="13"/>
        <v>&lt;=456</v>
      </c>
    </row>
    <row r="54" spans="2:22">
      <c r="B54" s="64">
        <v>43</v>
      </c>
      <c r="C54" s="70">
        <f t="shared" si="14"/>
        <v>0</v>
      </c>
      <c r="D54" s="65">
        <f t="shared" si="15"/>
        <v>0</v>
      </c>
      <c r="E54" s="65">
        <f t="shared" si="16"/>
        <v>0</v>
      </c>
      <c r="F54" s="65">
        <f t="shared" si="17"/>
        <v>0</v>
      </c>
      <c r="G54" s="62"/>
      <c r="H54" s="88">
        <f t="shared" si="10"/>
        <v>468</v>
      </c>
      <c r="I54" s="80">
        <f t="shared" si="6"/>
        <v>1942</v>
      </c>
      <c r="J54" s="89">
        <f>SUMIF($B$12:$B$731,V54,$D$12:$D$731)-SUM($J$16:J53)</f>
        <v>0</v>
      </c>
      <c r="K54" s="96">
        <f>SUMIF($B$12:$B$731,V54,$E$12:$E$731)-SUM($K$16:K53)</f>
        <v>0</v>
      </c>
      <c r="L54" s="162">
        <f t="shared" si="7"/>
        <v>0</v>
      </c>
      <c r="M54" s="90">
        <f t="shared" si="8"/>
        <v>0</v>
      </c>
      <c r="N54" s="90">
        <f t="shared" si="4"/>
        <v>0</v>
      </c>
      <c r="O54" s="89">
        <f t="shared" si="9"/>
        <v>0</v>
      </c>
      <c r="P54" s="62"/>
      <c r="Q54" s="78"/>
      <c r="R54" s="78"/>
      <c r="S54" s="278"/>
      <c r="T54" s="62"/>
      <c r="U54" s="62"/>
      <c r="V54" s="92" t="str">
        <f t="shared" si="13"/>
        <v>&lt;=468</v>
      </c>
    </row>
    <row r="55" spans="2:22">
      <c r="B55" s="64">
        <v>44</v>
      </c>
      <c r="C55" s="70">
        <f t="shared" si="14"/>
        <v>0</v>
      </c>
      <c r="D55" s="65">
        <f t="shared" si="15"/>
        <v>0</v>
      </c>
      <c r="E55" s="65">
        <f t="shared" si="16"/>
        <v>0</v>
      </c>
      <c r="F55" s="65">
        <f t="shared" si="17"/>
        <v>0</v>
      </c>
      <c r="G55" s="62"/>
      <c r="H55" s="88">
        <f t="shared" si="10"/>
        <v>480</v>
      </c>
      <c r="I55" s="80">
        <f t="shared" si="6"/>
        <v>1943</v>
      </c>
      <c r="J55" s="89">
        <f>SUMIF($B$12:$B$731,V55,$D$12:$D$731)-SUM($J$16:J54)</f>
        <v>0</v>
      </c>
      <c r="K55" s="96">
        <f>SUMIF($B$12:$B$731,V55,$E$12:$E$731)-SUM($K$16:K54)</f>
        <v>0</v>
      </c>
      <c r="L55" s="162">
        <f t="shared" si="7"/>
        <v>0</v>
      </c>
      <c r="M55" s="90">
        <f t="shared" si="8"/>
        <v>0</v>
      </c>
      <c r="N55" s="90">
        <f t="shared" si="4"/>
        <v>0</v>
      </c>
      <c r="O55" s="89">
        <f t="shared" si="9"/>
        <v>0</v>
      </c>
      <c r="P55" s="62"/>
      <c r="Q55" s="78"/>
      <c r="R55" s="78"/>
      <c r="S55" s="278"/>
      <c r="T55" s="62"/>
      <c r="U55" s="62"/>
      <c r="V55" s="92" t="str">
        <f t="shared" si="13"/>
        <v>&lt;=480</v>
      </c>
    </row>
    <row r="56" spans="2:22">
      <c r="B56" s="64">
        <v>45</v>
      </c>
      <c r="C56" s="70">
        <f t="shared" si="14"/>
        <v>0</v>
      </c>
      <c r="D56" s="65">
        <f t="shared" si="15"/>
        <v>0</v>
      </c>
      <c r="E56" s="65">
        <f t="shared" si="16"/>
        <v>0</v>
      </c>
      <c r="F56" s="65">
        <f t="shared" si="17"/>
        <v>0</v>
      </c>
      <c r="G56" s="62"/>
      <c r="H56" s="88">
        <f t="shared" si="10"/>
        <v>492</v>
      </c>
      <c r="I56" s="80">
        <f t="shared" si="6"/>
        <v>1944</v>
      </c>
      <c r="J56" s="89">
        <f>SUMIF($B$12:$B$731,V56,$D$12:$D$731)-SUM($J$16:J55)</f>
        <v>0</v>
      </c>
      <c r="K56" s="96">
        <f>SUMIF($B$12:$B$731,V56,$E$12:$E$731)-SUM($K$16:K55)</f>
        <v>0</v>
      </c>
      <c r="L56" s="162">
        <f t="shared" si="7"/>
        <v>0</v>
      </c>
      <c r="M56" s="90">
        <f t="shared" si="8"/>
        <v>0</v>
      </c>
      <c r="N56" s="90">
        <f t="shared" si="4"/>
        <v>0</v>
      </c>
      <c r="O56" s="89">
        <f t="shared" si="9"/>
        <v>0</v>
      </c>
      <c r="P56" s="62"/>
      <c r="Q56" s="78"/>
      <c r="R56" s="78"/>
      <c r="S56" s="278"/>
      <c r="T56" s="62"/>
      <c r="U56" s="62"/>
      <c r="V56" s="92" t="str">
        <f t="shared" si="13"/>
        <v>&lt;=492</v>
      </c>
    </row>
    <row r="57" spans="2:22">
      <c r="B57" s="64">
        <v>46</v>
      </c>
      <c r="C57" s="70">
        <f t="shared" si="14"/>
        <v>0</v>
      </c>
      <c r="D57" s="65">
        <f t="shared" si="15"/>
        <v>0</v>
      </c>
      <c r="E57" s="65">
        <f t="shared" si="16"/>
        <v>0</v>
      </c>
      <c r="F57" s="65">
        <f t="shared" si="17"/>
        <v>0</v>
      </c>
      <c r="G57" s="62"/>
      <c r="H57" s="88">
        <f t="shared" si="10"/>
        <v>504</v>
      </c>
      <c r="I57" s="80">
        <f t="shared" si="6"/>
        <v>1945</v>
      </c>
      <c r="J57" s="89">
        <f>SUMIF($B$12:$B$731,V57,$D$12:$D$731)-SUM($J$16:J56)</f>
        <v>0</v>
      </c>
      <c r="K57" s="96">
        <f>SUMIF($B$12:$B$731,V57,$E$12:$E$731)-SUM($K$16:K56)</f>
        <v>0</v>
      </c>
      <c r="L57" s="162">
        <f t="shared" si="7"/>
        <v>0</v>
      </c>
      <c r="M57" s="90">
        <f t="shared" si="8"/>
        <v>0</v>
      </c>
      <c r="N57" s="90">
        <f t="shared" si="4"/>
        <v>0</v>
      </c>
      <c r="O57" s="89">
        <f t="shared" si="9"/>
        <v>0</v>
      </c>
      <c r="P57" s="62"/>
      <c r="Q57" s="78"/>
      <c r="R57" s="78"/>
      <c r="S57" s="278"/>
      <c r="T57" s="62"/>
      <c r="U57" s="62"/>
      <c r="V57" s="92" t="str">
        <f t="shared" si="13"/>
        <v>&lt;=504</v>
      </c>
    </row>
    <row r="58" spans="2:22">
      <c r="B58" s="64">
        <v>47</v>
      </c>
      <c r="C58" s="70">
        <f t="shared" si="14"/>
        <v>0</v>
      </c>
      <c r="D58" s="65">
        <f t="shared" si="15"/>
        <v>0</v>
      </c>
      <c r="E58" s="65">
        <f t="shared" si="16"/>
        <v>0</v>
      </c>
      <c r="F58" s="65">
        <f t="shared" si="17"/>
        <v>0</v>
      </c>
      <c r="G58" s="62"/>
      <c r="H58" s="88">
        <f t="shared" si="10"/>
        <v>516</v>
      </c>
      <c r="I58" s="80">
        <f t="shared" si="6"/>
        <v>1946</v>
      </c>
      <c r="J58" s="89">
        <f>SUMIF($B$12:$B$731,V58,$D$12:$D$731)-SUM($J$16:J57)</f>
        <v>0</v>
      </c>
      <c r="K58" s="96">
        <f>SUMIF($B$12:$B$731,V58,$E$12:$E$731)-SUM($K$16:K57)</f>
        <v>0</v>
      </c>
      <c r="L58" s="162">
        <f t="shared" si="7"/>
        <v>0</v>
      </c>
      <c r="M58" s="90">
        <f t="shared" si="8"/>
        <v>0</v>
      </c>
      <c r="N58" s="90">
        <f t="shared" si="4"/>
        <v>0</v>
      </c>
      <c r="O58" s="89">
        <f t="shared" si="9"/>
        <v>0</v>
      </c>
      <c r="P58" s="62"/>
      <c r="Q58" s="78"/>
      <c r="R58" s="78"/>
      <c r="S58" s="278"/>
      <c r="T58" s="62"/>
      <c r="U58" s="62"/>
      <c r="V58" s="92" t="str">
        <f t="shared" si="13"/>
        <v>&lt;=516</v>
      </c>
    </row>
    <row r="59" spans="2:22">
      <c r="B59" s="64">
        <v>48</v>
      </c>
      <c r="C59" s="70">
        <f t="shared" si="14"/>
        <v>0</v>
      </c>
      <c r="D59" s="65">
        <f t="shared" si="15"/>
        <v>0</v>
      </c>
      <c r="E59" s="65">
        <f t="shared" si="16"/>
        <v>0</v>
      </c>
      <c r="F59" s="65">
        <f t="shared" si="17"/>
        <v>0</v>
      </c>
      <c r="G59" s="62"/>
      <c r="H59" s="88">
        <f t="shared" si="10"/>
        <v>528</v>
      </c>
      <c r="I59" s="80">
        <f t="shared" si="6"/>
        <v>1947</v>
      </c>
      <c r="J59" s="89">
        <f>SUMIF($B$12:$B$731,V59,$D$12:$D$731)-SUM($J$16:J58)</f>
        <v>0</v>
      </c>
      <c r="K59" s="96">
        <f>SUMIF($B$12:$B$731,V59,$E$12:$E$731)-SUM($K$16:K58)</f>
        <v>0</v>
      </c>
      <c r="L59" s="162">
        <f t="shared" si="7"/>
        <v>0</v>
      </c>
      <c r="M59" s="90">
        <f t="shared" si="8"/>
        <v>0</v>
      </c>
      <c r="N59" s="90">
        <f t="shared" si="4"/>
        <v>0</v>
      </c>
      <c r="O59" s="89">
        <f t="shared" si="9"/>
        <v>0</v>
      </c>
      <c r="P59" s="62"/>
      <c r="Q59" s="78"/>
      <c r="R59" s="78"/>
      <c r="S59" s="278"/>
      <c r="T59" s="62"/>
      <c r="U59" s="62"/>
      <c r="V59" s="92" t="str">
        <f t="shared" si="13"/>
        <v>&lt;=528</v>
      </c>
    </row>
    <row r="60" spans="2:22">
      <c r="B60" s="64">
        <v>49</v>
      </c>
      <c r="C60" s="70">
        <f t="shared" si="14"/>
        <v>0</v>
      </c>
      <c r="D60" s="65">
        <f t="shared" si="15"/>
        <v>0</v>
      </c>
      <c r="E60" s="65">
        <f t="shared" si="16"/>
        <v>0</v>
      </c>
      <c r="F60" s="65">
        <f t="shared" si="17"/>
        <v>0</v>
      </c>
      <c r="G60" s="62"/>
      <c r="H60" s="88">
        <f t="shared" si="10"/>
        <v>540</v>
      </c>
      <c r="I60" s="80">
        <f t="shared" si="6"/>
        <v>1948</v>
      </c>
      <c r="J60" s="89">
        <f>SUMIF($B$12:$B$731,V60,$D$12:$D$731)-SUM($J$16:J59)</f>
        <v>0</v>
      </c>
      <c r="K60" s="96">
        <f>SUMIF($B$12:$B$731,V60,$E$12:$E$731)-SUM($K$16:K59)</f>
        <v>0</v>
      </c>
      <c r="L60" s="162">
        <f t="shared" si="7"/>
        <v>0</v>
      </c>
      <c r="M60" s="90">
        <f t="shared" si="8"/>
        <v>0</v>
      </c>
      <c r="N60" s="90">
        <f t="shared" si="4"/>
        <v>0</v>
      </c>
      <c r="O60" s="89">
        <f t="shared" si="9"/>
        <v>0</v>
      </c>
      <c r="P60" s="62"/>
      <c r="Q60" s="78"/>
      <c r="R60" s="78"/>
      <c r="S60" s="278"/>
      <c r="T60" s="62"/>
      <c r="U60" s="62"/>
      <c r="V60" s="92" t="str">
        <f t="shared" si="13"/>
        <v>&lt;=540</v>
      </c>
    </row>
    <row r="61" spans="2:22">
      <c r="B61" s="64">
        <v>50</v>
      </c>
      <c r="C61" s="70">
        <f t="shared" si="14"/>
        <v>0</v>
      </c>
      <c r="D61" s="65">
        <f t="shared" si="15"/>
        <v>0</v>
      </c>
      <c r="E61" s="65">
        <f t="shared" si="16"/>
        <v>0</v>
      </c>
      <c r="F61" s="65">
        <f t="shared" si="17"/>
        <v>0</v>
      </c>
      <c r="G61" s="62"/>
      <c r="H61" s="88">
        <f t="shared" si="10"/>
        <v>552</v>
      </c>
      <c r="I61" s="80">
        <f t="shared" si="6"/>
        <v>1949</v>
      </c>
      <c r="J61" s="89">
        <f>SUMIF($B$12:$B$731,V61,$D$12:$D$731)-SUM($J$16:J60)</f>
        <v>0</v>
      </c>
      <c r="K61" s="96">
        <f>SUMIF($B$12:$B$731,V61,$E$12:$E$731)-SUM($K$16:K60)</f>
        <v>0</v>
      </c>
      <c r="L61" s="162">
        <f t="shared" si="7"/>
        <v>0</v>
      </c>
      <c r="M61" s="90">
        <f t="shared" si="8"/>
        <v>0</v>
      </c>
      <c r="N61" s="90">
        <f t="shared" si="4"/>
        <v>0</v>
      </c>
      <c r="O61" s="89">
        <f t="shared" si="9"/>
        <v>0</v>
      </c>
      <c r="P61" s="62"/>
      <c r="Q61" s="78"/>
      <c r="R61" s="78"/>
      <c r="S61" s="278"/>
      <c r="T61" s="62"/>
      <c r="U61" s="62"/>
      <c r="V61" s="92" t="str">
        <f t="shared" si="13"/>
        <v>&lt;=552</v>
      </c>
    </row>
    <row r="62" spans="2:22">
      <c r="B62" s="64">
        <v>51</v>
      </c>
      <c r="C62" s="70">
        <f t="shared" si="14"/>
        <v>0</v>
      </c>
      <c r="D62" s="65">
        <f t="shared" si="15"/>
        <v>0</v>
      </c>
      <c r="E62" s="65">
        <f t="shared" si="16"/>
        <v>0</v>
      </c>
      <c r="F62" s="65">
        <f t="shared" si="17"/>
        <v>0</v>
      </c>
      <c r="G62" s="62"/>
      <c r="H62" s="88">
        <f t="shared" si="10"/>
        <v>564</v>
      </c>
      <c r="I62" s="80">
        <f t="shared" si="6"/>
        <v>1950</v>
      </c>
      <c r="J62" s="89">
        <f>SUMIF($B$12:$B$731,V62,$D$12:$D$731)-SUM($J$16:J61)</f>
        <v>0</v>
      </c>
      <c r="K62" s="96">
        <f>SUMIF($B$12:$B$731,V62,$E$12:$E$731)-SUM($K$16:K61)</f>
        <v>0</v>
      </c>
      <c r="L62" s="162">
        <f t="shared" si="7"/>
        <v>0</v>
      </c>
      <c r="M62" s="90">
        <f t="shared" si="8"/>
        <v>0</v>
      </c>
      <c r="N62" s="90">
        <f t="shared" si="4"/>
        <v>0</v>
      </c>
      <c r="O62" s="89">
        <f t="shared" si="9"/>
        <v>0</v>
      </c>
      <c r="P62" s="62"/>
      <c r="Q62" s="78"/>
      <c r="R62" s="78"/>
      <c r="S62" s="278"/>
      <c r="T62" s="62"/>
      <c r="U62" s="62"/>
      <c r="V62" s="92" t="str">
        <f t="shared" si="13"/>
        <v>&lt;=564</v>
      </c>
    </row>
    <row r="63" spans="2:22">
      <c r="B63" s="64">
        <v>52</v>
      </c>
      <c r="C63" s="70">
        <f t="shared" si="14"/>
        <v>0</v>
      </c>
      <c r="D63" s="65">
        <f t="shared" si="15"/>
        <v>0</v>
      </c>
      <c r="E63" s="65">
        <f t="shared" si="16"/>
        <v>0</v>
      </c>
      <c r="F63" s="65">
        <f t="shared" si="17"/>
        <v>0</v>
      </c>
      <c r="G63" s="62"/>
      <c r="H63" s="88">
        <f t="shared" si="10"/>
        <v>576</v>
      </c>
      <c r="I63" s="80">
        <f t="shared" si="6"/>
        <v>1951</v>
      </c>
      <c r="J63" s="89">
        <f>SUMIF($B$12:$B$731,V63,$D$12:$D$731)-SUM($J$16:J62)</f>
        <v>0</v>
      </c>
      <c r="K63" s="96">
        <f>SUMIF($B$12:$B$731,V63,$E$12:$E$731)-SUM($K$16:K62)</f>
        <v>0</v>
      </c>
      <c r="L63" s="162">
        <f t="shared" si="7"/>
        <v>0</v>
      </c>
      <c r="M63" s="90">
        <f t="shared" si="8"/>
        <v>0</v>
      </c>
      <c r="N63" s="90">
        <f t="shared" si="4"/>
        <v>0</v>
      </c>
      <c r="O63" s="89">
        <f t="shared" si="9"/>
        <v>0</v>
      </c>
      <c r="P63" s="62"/>
      <c r="Q63" s="78"/>
      <c r="R63" s="78"/>
      <c r="S63" s="278"/>
      <c r="T63" s="62"/>
      <c r="U63" s="62"/>
      <c r="V63" s="92" t="str">
        <f t="shared" si="13"/>
        <v>&lt;=576</v>
      </c>
    </row>
    <row r="64" spans="2:22">
      <c r="B64" s="64">
        <v>53</v>
      </c>
      <c r="C64" s="70">
        <f t="shared" si="14"/>
        <v>0</v>
      </c>
      <c r="D64" s="65">
        <f t="shared" si="15"/>
        <v>0</v>
      </c>
      <c r="E64" s="65">
        <f t="shared" si="16"/>
        <v>0</v>
      </c>
      <c r="F64" s="65">
        <f t="shared" si="17"/>
        <v>0</v>
      </c>
      <c r="G64" s="62"/>
      <c r="H64" s="88">
        <f t="shared" si="10"/>
        <v>588</v>
      </c>
      <c r="I64" s="80">
        <f t="shared" si="6"/>
        <v>1952</v>
      </c>
      <c r="J64" s="89">
        <f>SUMIF($B$12:$B$731,V64,$D$12:$D$731)-SUM($J$16:J63)</f>
        <v>0</v>
      </c>
      <c r="K64" s="96">
        <f>SUMIF($B$12:$B$731,V64,$E$12:$E$731)-SUM($K$16:K63)</f>
        <v>0</v>
      </c>
      <c r="L64" s="162">
        <f t="shared" si="7"/>
        <v>0</v>
      </c>
      <c r="M64" s="90">
        <f t="shared" si="8"/>
        <v>0</v>
      </c>
      <c r="N64" s="90">
        <f t="shared" si="4"/>
        <v>0</v>
      </c>
      <c r="O64" s="89">
        <f t="shared" si="9"/>
        <v>0</v>
      </c>
      <c r="P64" s="62"/>
      <c r="Q64" s="78"/>
      <c r="R64" s="78"/>
      <c r="S64" s="278"/>
      <c r="T64" s="62"/>
      <c r="U64" s="62"/>
      <c r="V64" s="92" t="str">
        <f t="shared" si="13"/>
        <v>&lt;=588</v>
      </c>
    </row>
    <row r="65" spans="2:22">
      <c r="B65" s="64">
        <v>54</v>
      </c>
      <c r="C65" s="70">
        <f t="shared" si="14"/>
        <v>0</v>
      </c>
      <c r="D65" s="65">
        <f t="shared" si="15"/>
        <v>0</v>
      </c>
      <c r="E65" s="65">
        <f t="shared" si="16"/>
        <v>0</v>
      </c>
      <c r="F65" s="65">
        <f t="shared" si="17"/>
        <v>0</v>
      </c>
      <c r="G65" s="62"/>
      <c r="H65" s="88">
        <f t="shared" si="10"/>
        <v>600</v>
      </c>
      <c r="I65" s="80">
        <f t="shared" si="6"/>
        <v>1953</v>
      </c>
      <c r="J65" s="89">
        <f>SUMIF($B$12:$B$731,V65,$D$12:$D$731)-SUM($J$16:J64)</f>
        <v>0</v>
      </c>
      <c r="K65" s="96">
        <f>SUMIF($B$12:$B$731,V65,$E$12:$E$731)-SUM($K$16:K64)</f>
        <v>0</v>
      </c>
      <c r="L65" s="162">
        <f t="shared" si="7"/>
        <v>0</v>
      </c>
      <c r="M65" s="90">
        <f t="shared" si="8"/>
        <v>0</v>
      </c>
      <c r="N65" s="90">
        <f t="shared" si="4"/>
        <v>0</v>
      </c>
      <c r="O65" s="89">
        <f t="shared" si="9"/>
        <v>0</v>
      </c>
      <c r="P65" s="62"/>
      <c r="Q65" s="78"/>
      <c r="R65" s="78"/>
      <c r="S65" s="278"/>
      <c r="T65" s="62"/>
      <c r="U65" s="62"/>
      <c r="V65" s="92" t="str">
        <f t="shared" si="13"/>
        <v>&lt;=600</v>
      </c>
    </row>
    <row r="66" spans="2:22">
      <c r="B66" s="64">
        <v>55</v>
      </c>
      <c r="C66" s="70">
        <f t="shared" si="14"/>
        <v>0</v>
      </c>
      <c r="D66" s="65">
        <f t="shared" si="15"/>
        <v>0</v>
      </c>
      <c r="E66" s="65">
        <f t="shared" si="16"/>
        <v>0</v>
      </c>
      <c r="F66" s="65">
        <f t="shared" si="17"/>
        <v>0</v>
      </c>
      <c r="G66" s="62"/>
      <c r="H66" s="88">
        <f t="shared" si="10"/>
        <v>612</v>
      </c>
      <c r="I66" s="80">
        <f t="shared" si="6"/>
        <v>1954</v>
      </c>
      <c r="J66" s="89">
        <f>SUMIF($B$12:$B$731,V66,$D$12:$D$731)-SUM($J$16:J65)</f>
        <v>0</v>
      </c>
      <c r="K66" s="96">
        <f>SUMIF($B$12:$B$731,V66,$E$12:$E$731)-SUM($K$16:K65)</f>
        <v>0</v>
      </c>
      <c r="L66" s="162">
        <f t="shared" si="7"/>
        <v>0</v>
      </c>
      <c r="M66" s="90">
        <f t="shared" si="8"/>
        <v>0</v>
      </c>
      <c r="N66" s="90">
        <f t="shared" si="4"/>
        <v>0</v>
      </c>
      <c r="O66" s="89">
        <f t="shared" si="9"/>
        <v>0</v>
      </c>
      <c r="P66" s="62"/>
      <c r="Q66" s="78"/>
      <c r="R66" s="78"/>
      <c r="S66" s="278"/>
      <c r="T66" s="62"/>
      <c r="U66" s="62"/>
      <c r="V66" s="92" t="str">
        <f t="shared" si="13"/>
        <v>&lt;=612</v>
      </c>
    </row>
    <row r="67" spans="2:22">
      <c r="B67" s="64">
        <v>56</v>
      </c>
      <c r="C67" s="70">
        <f t="shared" si="14"/>
        <v>0</v>
      </c>
      <c r="D67" s="65">
        <f t="shared" si="15"/>
        <v>0</v>
      </c>
      <c r="E67" s="65">
        <f t="shared" si="16"/>
        <v>0</v>
      </c>
      <c r="F67" s="65">
        <f t="shared" si="17"/>
        <v>0</v>
      </c>
      <c r="G67" s="62"/>
      <c r="H67" s="88">
        <f t="shared" si="10"/>
        <v>624</v>
      </c>
      <c r="I67" s="80">
        <f t="shared" si="6"/>
        <v>1955</v>
      </c>
      <c r="J67" s="89">
        <f>SUMIF($B$12:$B$731,V67,$D$12:$D$731)-SUM($J$16:J66)</f>
        <v>0</v>
      </c>
      <c r="K67" s="96">
        <f>SUMIF($B$12:$B$731,V67,$E$12:$E$731)-SUM($K$16:K66)</f>
        <v>0</v>
      </c>
      <c r="L67" s="162">
        <f t="shared" si="7"/>
        <v>0</v>
      </c>
      <c r="M67" s="90">
        <f t="shared" si="8"/>
        <v>0</v>
      </c>
      <c r="N67" s="90">
        <f t="shared" si="4"/>
        <v>0</v>
      </c>
      <c r="O67" s="89">
        <f t="shared" si="9"/>
        <v>0</v>
      </c>
      <c r="P67" s="62"/>
      <c r="Q67" s="78"/>
      <c r="R67" s="78"/>
      <c r="S67" s="278"/>
      <c r="T67" s="62"/>
      <c r="U67" s="62"/>
      <c r="V67" s="92" t="str">
        <f t="shared" si="13"/>
        <v>&lt;=624</v>
      </c>
    </row>
    <row r="68" spans="2:22">
      <c r="B68" s="64">
        <v>57</v>
      </c>
      <c r="C68" s="70">
        <f t="shared" si="14"/>
        <v>0</v>
      </c>
      <c r="D68" s="65">
        <f t="shared" si="15"/>
        <v>0</v>
      </c>
      <c r="E68" s="65">
        <f t="shared" si="16"/>
        <v>0</v>
      </c>
      <c r="F68" s="65">
        <f t="shared" si="17"/>
        <v>0</v>
      </c>
      <c r="G68" s="62"/>
      <c r="H68" s="88">
        <f t="shared" si="10"/>
        <v>636</v>
      </c>
      <c r="I68" s="80">
        <f t="shared" si="6"/>
        <v>1956</v>
      </c>
      <c r="J68" s="89">
        <f>SUMIF($B$12:$B$731,V68,$D$12:$D$731)-SUM($J$16:J67)</f>
        <v>0</v>
      </c>
      <c r="K68" s="96">
        <f>SUMIF($B$12:$B$731,V68,$E$12:$E$731)-SUM($K$16:K67)</f>
        <v>0</v>
      </c>
      <c r="L68" s="162">
        <f t="shared" si="7"/>
        <v>0</v>
      </c>
      <c r="M68" s="90">
        <f t="shared" si="8"/>
        <v>0</v>
      </c>
      <c r="N68" s="90">
        <f t="shared" si="4"/>
        <v>0</v>
      </c>
      <c r="O68" s="89">
        <f t="shared" si="9"/>
        <v>0</v>
      </c>
      <c r="P68" s="62"/>
      <c r="Q68" s="78"/>
      <c r="R68" s="78"/>
      <c r="S68" s="278"/>
      <c r="T68" s="62"/>
      <c r="U68" s="62"/>
      <c r="V68" s="92" t="str">
        <f t="shared" si="13"/>
        <v>&lt;=636</v>
      </c>
    </row>
    <row r="69" spans="2:22">
      <c r="B69" s="64">
        <v>58</v>
      </c>
      <c r="C69" s="70">
        <f t="shared" si="14"/>
        <v>0</v>
      </c>
      <c r="D69" s="65">
        <f t="shared" si="15"/>
        <v>0</v>
      </c>
      <c r="E69" s="65">
        <f t="shared" si="16"/>
        <v>0</v>
      </c>
      <c r="F69" s="65">
        <f t="shared" si="17"/>
        <v>0</v>
      </c>
      <c r="G69" s="62"/>
      <c r="H69" s="88">
        <f t="shared" si="10"/>
        <v>648</v>
      </c>
      <c r="I69" s="80">
        <f t="shared" si="6"/>
        <v>1957</v>
      </c>
      <c r="J69" s="89">
        <f>SUMIF($B$12:$B$731,V69,$D$12:$D$731)-SUM($J$16:J68)</f>
        <v>0</v>
      </c>
      <c r="K69" s="96">
        <f>SUMIF($B$12:$B$731,V69,$E$12:$E$731)-SUM($K$16:K68)</f>
        <v>0</v>
      </c>
      <c r="L69" s="162">
        <f t="shared" si="7"/>
        <v>0</v>
      </c>
      <c r="M69" s="90">
        <f t="shared" si="8"/>
        <v>0</v>
      </c>
      <c r="N69" s="90">
        <f t="shared" si="4"/>
        <v>0</v>
      </c>
      <c r="O69" s="89">
        <f t="shared" si="9"/>
        <v>0</v>
      </c>
      <c r="P69" s="62"/>
      <c r="Q69" s="78"/>
      <c r="R69" s="78"/>
      <c r="S69" s="278"/>
      <c r="T69" s="62"/>
      <c r="U69" s="62"/>
      <c r="V69" s="92" t="str">
        <f t="shared" si="13"/>
        <v>&lt;=648</v>
      </c>
    </row>
    <row r="70" spans="2:22">
      <c r="B70" s="64">
        <v>59</v>
      </c>
      <c r="C70" s="70">
        <f t="shared" si="14"/>
        <v>0</v>
      </c>
      <c r="D70" s="65">
        <f t="shared" si="15"/>
        <v>0</v>
      </c>
      <c r="E70" s="65">
        <f t="shared" si="16"/>
        <v>0</v>
      </c>
      <c r="F70" s="65">
        <f t="shared" si="17"/>
        <v>0</v>
      </c>
      <c r="G70" s="66"/>
      <c r="H70" s="88">
        <f t="shared" si="10"/>
        <v>660</v>
      </c>
      <c r="I70" s="80">
        <f t="shared" si="6"/>
        <v>1958</v>
      </c>
      <c r="J70" s="89">
        <f>SUMIF($B$12:$B$731,V70,$D$12:$D$731)-SUM($J$16:J69)</f>
        <v>0</v>
      </c>
      <c r="K70" s="96">
        <f>SUMIF($B$12:$B$731,V70,$E$12:$E$731)-SUM($K$16:K69)</f>
        <v>0</v>
      </c>
      <c r="L70" s="162">
        <f t="shared" si="7"/>
        <v>0</v>
      </c>
      <c r="M70" s="90">
        <f t="shared" si="8"/>
        <v>0</v>
      </c>
      <c r="N70" s="90">
        <f t="shared" si="4"/>
        <v>0</v>
      </c>
      <c r="O70" s="89">
        <f t="shared" si="9"/>
        <v>0</v>
      </c>
      <c r="P70" s="62"/>
      <c r="Q70" s="78"/>
      <c r="R70" s="78"/>
      <c r="S70" s="278"/>
      <c r="T70" s="62"/>
      <c r="U70" s="62"/>
      <c r="V70" s="92" t="str">
        <f t="shared" si="13"/>
        <v>&lt;=660</v>
      </c>
    </row>
    <row r="71" spans="2:22">
      <c r="B71" s="64">
        <v>60</v>
      </c>
      <c r="C71" s="70">
        <f t="shared" si="14"/>
        <v>0</v>
      </c>
      <c r="D71" s="65">
        <f t="shared" si="15"/>
        <v>0</v>
      </c>
      <c r="E71" s="65">
        <f t="shared" si="16"/>
        <v>0</v>
      </c>
      <c r="F71" s="65">
        <f t="shared" si="17"/>
        <v>0</v>
      </c>
      <c r="G71" s="62"/>
      <c r="H71" s="88">
        <f t="shared" si="10"/>
        <v>672</v>
      </c>
      <c r="I71" s="80">
        <f t="shared" si="6"/>
        <v>1959</v>
      </c>
      <c r="J71" s="89">
        <f>SUMIF($B$12:$B$731,V71,$D$12:$D$731)-SUM($J$16:J70)</f>
        <v>0</v>
      </c>
      <c r="K71" s="96">
        <f>SUMIF($B$12:$B$731,V71,$E$12:$E$731)-SUM($K$16:K70)</f>
        <v>0</v>
      </c>
      <c r="L71" s="162">
        <f t="shared" si="7"/>
        <v>0</v>
      </c>
      <c r="M71" s="90">
        <f t="shared" si="8"/>
        <v>0</v>
      </c>
      <c r="N71" s="90">
        <f t="shared" si="4"/>
        <v>0</v>
      </c>
      <c r="O71" s="89">
        <f t="shared" si="9"/>
        <v>0</v>
      </c>
      <c r="P71" s="62"/>
      <c r="Q71" s="78"/>
      <c r="R71" s="78"/>
      <c r="S71" s="278"/>
      <c r="T71" s="62"/>
      <c r="U71" s="62"/>
      <c r="V71" s="92" t="str">
        <f t="shared" si="13"/>
        <v>&lt;=672</v>
      </c>
    </row>
    <row r="72" spans="2:22">
      <c r="B72" s="64">
        <v>61</v>
      </c>
      <c r="C72" s="70">
        <f t="shared" si="14"/>
        <v>0</v>
      </c>
      <c r="D72" s="65">
        <f t="shared" si="15"/>
        <v>0</v>
      </c>
      <c r="E72" s="65">
        <f t="shared" si="16"/>
        <v>0</v>
      </c>
      <c r="F72" s="65">
        <f t="shared" si="17"/>
        <v>0</v>
      </c>
      <c r="G72" s="62"/>
      <c r="H72" s="88">
        <f t="shared" si="10"/>
        <v>684</v>
      </c>
      <c r="I72" s="80">
        <f t="shared" si="6"/>
        <v>1960</v>
      </c>
      <c r="J72" s="89">
        <f>SUMIF($B$12:$B$731,V72,$D$12:$D$731)-SUM($J$16:J71)</f>
        <v>0</v>
      </c>
      <c r="K72" s="96">
        <f>SUMIF($B$12:$B$731,V72,$E$12:$E$731)-SUM($K$16:K71)</f>
        <v>0</v>
      </c>
      <c r="L72" s="162">
        <f t="shared" si="7"/>
        <v>0</v>
      </c>
      <c r="M72" s="90">
        <f t="shared" si="8"/>
        <v>0</v>
      </c>
      <c r="N72" s="90">
        <f t="shared" si="4"/>
        <v>0</v>
      </c>
      <c r="O72" s="89">
        <f t="shared" si="9"/>
        <v>0</v>
      </c>
      <c r="P72" s="62"/>
      <c r="Q72" s="78"/>
      <c r="R72" s="78"/>
      <c r="S72" s="278"/>
      <c r="T72" s="62"/>
      <c r="U72" s="62"/>
      <c r="V72" s="92" t="str">
        <f t="shared" si="13"/>
        <v>&lt;=684</v>
      </c>
    </row>
    <row r="73" spans="2:22">
      <c r="B73" s="64">
        <v>62</v>
      </c>
      <c r="C73" s="70">
        <f t="shared" si="14"/>
        <v>0</v>
      </c>
      <c r="D73" s="65">
        <f t="shared" si="15"/>
        <v>0</v>
      </c>
      <c r="E73" s="65">
        <f t="shared" si="16"/>
        <v>0</v>
      </c>
      <c r="F73" s="65">
        <f t="shared" si="17"/>
        <v>0</v>
      </c>
      <c r="G73" s="62"/>
      <c r="H73" s="88">
        <f t="shared" si="10"/>
        <v>696</v>
      </c>
      <c r="I73" s="80">
        <f t="shared" si="6"/>
        <v>1961</v>
      </c>
      <c r="J73" s="89">
        <f>SUMIF($B$12:$B$731,V73,$D$12:$D$731)-SUM($J$16:J72)</f>
        <v>0</v>
      </c>
      <c r="K73" s="96">
        <f>SUMIF($B$12:$B$731,V73,$E$12:$E$731)-SUM($K$16:K72)</f>
        <v>0</v>
      </c>
      <c r="L73" s="162">
        <f t="shared" si="7"/>
        <v>0</v>
      </c>
      <c r="M73" s="90">
        <f t="shared" si="8"/>
        <v>0</v>
      </c>
      <c r="N73" s="90">
        <f t="shared" si="4"/>
        <v>0</v>
      </c>
      <c r="O73" s="89">
        <f t="shared" si="9"/>
        <v>0</v>
      </c>
      <c r="P73" s="62"/>
      <c r="Q73" s="78"/>
      <c r="R73" s="78"/>
      <c r="S73" s="278"/>
      <c r="T73" s="62"/>
      <c r="U73" s="62"/>
      <c r="V73" s="92" t="str">
        <f t="shared" si="13"/>
        <v>&lt;=696</v>
      </c>
    </row>
    <row r="74" spans="2:22">
      <c r="B74" s="64">
        <v>63</v>
      </c>
      <c r="C74" s="70">
        <f t="shared" si="14"/>
        <v>0</v>
      </c>
      <c r="D74" s="65">
        <f t="shared" si="15"/>
        <v>0</v>
      </c>
      <c r="E74" s="65">
        <f t="shared" si="16"/>
        <v>0</v>
      </c>
      <c r="F74" s="65">
        <f t="shared" si="17"/>
        <v>0</v>
      </c>
      <c r="G74" s="62"/>
      <c r="H74" s="88">
        <f t="shared" si="10"/>
        <v>708</v>
      </c>
      <c r="I74" s="80">
        <f t="shared" si="6"/>
        <v>1962</v>
      </c>
      <c r="J74" s="89">
        <f>SUMIF($B$12:$B$731,V74,$D$12:$D$731)-SUM($J$16:J73)</f>
        <v>0</v>
      </c>
      <c r="K74" s="96">
        <f>SUMIF($B$12:$B$731,V74,$E$12:$E$731)-SUM($K$16:K73)</f>
        <v>0</v>
      </c>
      <c r="L74" s="162">
        <f t="shared" si="7"/>
        <v>0</v>
      </c>
      <c r="M74" s="90">
        <f t="shared" si="8"/>
        <v>0</v>
      </c>
      <c r="N74" s="90">
        <f t="shared" si="4"/>
        <v>0</v>
      </c>
      <c r="O74" s="89">
        <f t="shared" si="9"/>
        <v>0</v>
      </c>
      <c r="P74" s="62"/>
      <c r="Q74" s="78"/>
      <c r="R74" s="78"/>
      <c r="S74" s="278"/>
      <c r="T74" s="62"/>
      <c r="U74" s="62"/>
      <c r="V74" s="92" t="str">
        <f t="shared" si="13"/>
        <v>&lt;=708</v>
      </c>
    </row>
    <row r="75" spans="2:22">
      <c r="B75" s="64">
        <v>64</v>
      </c>
      <c r="C75" s="70">
        <f t="shared" si="14"/>
        <v>0</v>
      </c>
      <c r="D75" s="65">
        <f t="shared" si="15"/>
        <v>0</v>
      </c>
      <c r="E75" s="65">
        <f t="shared" si="16"/>
        <v>0</v>
      </c>
      <c r="F75" s="65">
        <f t="shared" si="17"/>
        <v>0</v>
      </c>
      <c r="G75" s="62"/>
      <c r="H75" s="88">
        <f t="shared" si="10"/>
        <v>720</v>
      </c>
      <c r="I75" s="80">
        <f t="shared" si="6"/>
        <v>1963</v>
      </c>
      <c r="J75" s="89">
        <f>SUMIF($B$12:$B$731,V75,$D$12:$D$731)-SUM($J$16:J74)</f>
        <v>0</v>
      </c>
      <c r="K75" s="96">
        <f>SUMIF($B$12:$B$731,V75,$E$12:$E$731)-SUM($K$16:K74)</f>
        <v>0</v>
      </c>
      <c r="L75" s="162">
        <f t="shared" si="7"/>
        <v>0</v>
      </c>
      <c r="M75" s="90">
        <f t="shared" si="8"/>
        <v>0</v>
      </c>
      <c r="N75" s="90">
        <f t="shared" si="4"/>
        <v>0</v>
      </c>
      <c r="O75" s="89">
        <f t="shared" si="9"/>
        <v>0</v>
      </c>
      <c r="P75" s="62"/>
      <c r="Q75" s="78"/>
      <c r="R75" s="78"/>
      <c r="S75" s="278"/>
      <c r="T75" s="62"/>
      <c r="U75" s="62"/>
      <c r="V75" s="92" t="str">
        <f t="shared" si="13"/>
        <v>&lt;=720</v>
      </c>
    </row>
    <row r="76" spans="2:22">
      <c r="B76" s="64">
        <v>65</v>
      </c>
      <c r="C76" s="70">
        <f t="shared" si="14"/>
        <v>0</v>
      </c>
      <c r="D76" s="65">
        <f t="shared" si="15"/>
        <v>0</v>
      </c>
      <c r="E76" s="65">
        <f t="shared" si="16"/>
        <v>0</v>
      </c>
      <c r="F76" s="65">
        <f t="shared" si="17"/>
        <v>0</v>
      </c>
      <c r="G76" s="62"/>
      <c r="H76" s="165"/>
      <c r="I76" s="163" t="s">
        <v>114</v>
      </c>
      <c r="J76" s="164">
        <v>0</v>
      </c>
      <c r="K76" s="164">
        <v>0</v>
      </c>
      <c r="L76" s="164">
        <v>0</v>
      </c>
      <c r="M76" s="91"/>
      <c r="N76" s="164">
        <v>0</v>
      </c>
      <c r="O76" s="164">
        <v>0</v>
      </c>
      <c r="P76" s="62"/>
      <c r="Q76" s="62"/>
      <c r="R76" s="62"/>
      <c r="S76" s="62"/>
      <c r="T76" s="62"/>
      <c r="U76" s="62"/>
      <c r="V76" s="62"/>
    </row>
    <row r="77" spans="2:22">
      <c r="B77" s="64">
        <v>66</v>
      </c>
      <c r="C77" s="70">
        <f t="shared" si="14"/>
        <v>0</v>
      </c>
      <c r="D77" s="65">
        <f t="shared" si="15"/>
        <v>0</v>
      </c>
      <c r="E77" s="65">
        <f t="shared" si="16"/>
        <v>0</v>
      </c>
      <c r="F77" s="65">
        <f t="shared" si="17"/>
        <v>0</v>
      </c>
      <c r="G77" s="66"/>
      <c r="H77" s="66"/>
      <c r="I77" s="66"/>
      <c r="J77" s="74"/>
      <c r="K77" s="66"/>
      <c r="L77" s="66"/>
      <c r="M77" s="66"/>
      <c r="N77" s="74"/>
      <c r="O77" s="74"/>
      <c r="P77" s="62"/>
      <c r="Q77" s="62"/>
      <c r="R77" s="62"/>
      <c r="S77" s="62"/>
      <c r="T77" s="62"/>
      <c r="U77" s="62"/>
      <c r="V77" s="62"/>
    </row>
    <row r="78" spans="2:22">
      <c r="B78" s="64">
        <v>67</v>
      </c>
      <c r="C78" s="70">
        <f t="shared" si="14"/>
        <v>0</v>
      </c>
      <c r="D78" s="65">
        <f t="shared" si="15"/>
        <v>0</v>
      </c>
      <c r="E78" s="65">
        <f t="shared" si="16"/>
        <v>0</v>
      </c>
      <c r="F78" s="65">
        <f t="shared" si="17"/>
        <v>0</v>
      </c>
      <c r="G78" s="66"/>
      <c r="I78" s="66"/>
      <c r="J78" s="74"/>
      <c r="K78" s="66"/>
      <c r="L78" s="66"/>
      <c r="M78" s="66"/>
      <c r="N78" s="74"/>
      <c r="O78" s="74"/>
      <c r="P78" s="62"/>
      <c r="Q78" s="62"/>
      <c r="R78" s="62"/>
      <c r="S78" s="62"/>
      <c r="T78" s="62"/>
      <c r="U78" s="62"/>
      <c r="V78" s="62"/>
    </row>
    <row r="79" spans="2:22">
      <c r="B79" s="64">
        <v>68</v>
      </c>
      <c r="C79" s="70">
        <f t="shared" si="14"/>
        <v>0</v>
      </c>
      <c r="D79" s="65">
        <f t="shared" si="15"/>
        <v>0</v>
      </c>
      <c r="E79" s="65">
        <f t="shared" si="16"/>
        <v>0</v>
      </c>
      <c r="F79" s="65">
        <f t="shared" si="17"/>
        <v>0</v>
      </c>
      <c r="G79" s="66"/>
      <c r="H79" s="66"/>
      <c r="Q79" s="62"/>
      <c r="R79" s="62"/>
      <c r="S79" s="62"/>
      <c r="T79" s="62"/>
      <c r="U79" s="62"/>
      <c r="V79" s="62"/>
    </row>
    <row r="80" spans="2:22">
      <c r="B80" s="64">
        <v>69</v>
      </c>
      <c r="C80" s="70">
        <f t="shared" si="14"/>
        <v>0</v>
      </c>
      <c r="D80" s="65">
        <f t="shared" si="15"/>
        <v>0</v>
      </c>
      <c r="E80" s="65">
        <f t="shared" si="16"/>
        <v>0</v>
      </c>
      <c r="F80" s="65">
        <f t="shared" si="17"/>
        <v>0</v>
      </c>
      <c r="G80" s="66"/>
      <c r="Q80" s="62"/>
      <c r="R80" s="62"/>
      <c r="S80" s="62"/>
      <c r="T80" s="62"/>
      <c r="U80" s="62"/>
      <c r="V80" s="62"/>
    </row>
    <row r="81" spans="2:15">
      <c r="B81" s="64">
        <v>70</v>
      </c>
      <c r="C81" s="70">
        <f t="shared" si="14"/>
        <v>0</v>
      </c>
      <c r="D81" s="65">
        <f t="shared" si="15"/>
        <v>0</v>
      </c>
      <c r="E81" s="65">
        <f t="shared" si="16"/>
        <v>0</v>
      </c>
      <c r="F81" s="65">
        <f t="shared" si="17"/>
        <v>0</v>
      </c>
      <c r="G81" s="62"/>
    </row>
    <row r="82" spans="2:15">
      <c r="B82" s="64">
        <v>71</v>
      </c>
      <c r="C82" s="70">
        <f t="shared" si="14"/>
        <v>0</v>
      </c>
      <c r="D82" s="65">
        <f t="shared" si="15"/>
        <v>0</v>
      </c>
      <c r="E82" s="65">
        <f t="shared" si="16"/>
        <v>0</v>
      </c>
      <c r="F82" s="65">
        <f t="shared" si="17"/>
        <v>0</v>
      </c>
      <c r="G82" s="62"/>
    </row>
    <row r="83" spans="2:15">
      <c r="B83" s="64">
        <v>72</v>
      </c>
      <c r="C83" s="70">
        <f t="shared" si="14"/>
        <v>0</v>
      </c>
      <c r="D83" s="65">
        <f t="shared" si="15"/>
        <v>0</v>
      </c>
      <c r="E83" s="65">
        <f t="shared" si="16"/>
        <v>0</v>
      </c>
      <c r="F83" s="65">
        <f t="shared" si="17"/>
        <v>0</v>
      </c>
      <c r="G83" s="62"/>
    </row>
    <row r="84" spans="2:15">
      <c r="B84" s="64">
        <v>73</v>
      </c>
      <c r="C84" s="70">
        <f t="shared" si="14"/>
        <v>0</v>
      </c>
      <c r="D84" s="65">
        <f t="shared" si="15"/>
        <v>0</v>
      </c>
      <c r="E84" s="65">
        <f t="shared" si="16"/>
        <v>0</v>
      </c>
      <c r="F84" s="65">
        <f t="shared" si="17"/>
        <v>0</v>
      </c>
      <c r="G84" s="62"/>
    </row>
    <row r="85" spans="2:15">
      <c r="B85" s="64">
        <v>74</v>
      </c>
      <c r="C85" s="70">
        <f t="shared" si="14"/>
        <v>0</v>
      </c>
      <c r="D85" s="65">
        <f t="shared" si="15"/>
        <v>0</v>
      </c>
      <c r="E85" s="65">
        <f t="shared" si="16"/>
        <v>0</v>
      </c>
      <c r="F85" s="65">
        <f t="shared" si="17"/>
        <v>0</v>
      </c>
      <c r="G85" s="62"/>
    </row>
    <row r="86" spans="2:15">
      <c r="B86" s="64">
        <v>75</v>
      </c>
      <c r="C86" s="70">
        <f t="shared" si="14"/>
        <v>0</v>
      </c>
      <c r="D86" s="65">
        <f t="shared" si="15"/>
        <v>0</v>
      </c>
      <c r="E86" s="65">
        <f t="shared" si="16"/>
        <v>0</v>
      </c>
      <c r="F86" s="65">
        <f t="shared" si="17"/>
        <v>0</v>
      </c>
      <c r="G86" s="62"/>
    </row>
    <row r="87" spans="2:15">
      <c r="B87" s="64">
        <v>76</v>
      </c>
      <c r="C87" s="70">
        <f t="shared" si="14"/>
        <v>0</v>
      </c>
      <c r="D87" s="65">
        <f t="shared" si="15"/>
        <v>0</v>
      </c>
      <c r="E87" s="65">
        <f t="shared" si="16"/>
        <v>0</v>
      </c>
      <c r="F87" s="65">
        <f t="shared" si="17"/>
        <v>0</v>
      </c>
      <c r="G87" s="62"/>
    </row>
    <row r="88" spans="2:15">
      <c r="B88" s="64">
        <v>77</v>
      </c>
      <c r="C88" s="70">
        <f t="shared" si="14"/>
        <v>0</v>
      </c>
      <c r="D88" s="65">
        <f t="shared" si="15"/>
        <v>0</v>
      </c>
      <c r="E88" s="65">
        <f t="shared" si="16"/>
        <v>0</v>
      </c>
      <c r="F88" s="65">
        <f t="shared" si="17"/>
        <v>0</v>
      </c>
      <c r="G88" s="62"/>
    </row>
    <row r="89" spans="2:15">
      <c r="B89" s="64">
        <v>78</v>
      </c>
      <c r="C89" s="70">
        <f t="shared" si="14"/>
        <v>0</v>
      </c>
      <c r="D89" s="65">
        <f t="shared" si="15"/>
        <v>0</v>
      </c>
      <c r="E89" s="65">
        <f t="shared" si="16"/>
        <v>0</v>
      </c>
      <c r="F89" s="65">
        <f t="shared" si="17"/>
        <v>0</v>
      </c>
      <c r="G89" s="62"/>
    </row>
    <row r="90" spans="2:15">
      <c r="B90" s="64">
        <v>79</v>
      </c>
      <c r="C90" s="70">
        <f t="shared" si="14"/>
        <v>0</v>
      </c>
      <c r="D90" s="65">
        <f t="shared" si="15"/>
        <v>0</v>
      </c>
      <c r="E90" s="65">
        <f t="shared" si="16"/>
        <v>0</v>
      </c>
      <c r="F90" s="65">
        <f t="shared" si="17"/>
        <v>0</v>
      </c>
      <c r="G90" s="62"/>
    </row>
    <row r="91" spans="2:15">
      <c r="B91" s="64">
        <v>80</v>
      </c>
      <c r="C91" s="70">
        <f t="shared" si="14"/>
        <v>0</v>
      </c>
      <c r="D91" s="65">
        <f t="shared" si="15"/>
        <v>0</v>
      </c>
      <c r="E91" s="65">
        <f t="shared" si="16"/>
        <v>0</v>
      </c>
      <c r="F91" s="65">
        <f t="shared" si="17"/>
        <v>0</v>
      </c>
      <c r="G91" s="62"/>
    </row>
    <row r="92" spans="2:15">
      <c r="B92" s="64">
        <v>81</v>
      </c>
      <c r="C92" s="70">
        <f t="shared" si="14"/>
        <v>0</v>
      </c>
      <c r="D92" s="65">
        <f t="shared" si="15"/>
        <v>0</v>
      </c>
      <c r="E92" s="65">
        <f t="shared" si="16"/>
        <v>0</v>
      </c>
      <c r="F92" s="65">
        <f t="shared" si="17"/>
        <v>0</v>
      </c>
      <c r="G92" s="62"/>
      <c r="H92" s="66"/>
      <c r="I92" s="66"/>
      <c r="J92" s="66"/>
      <c r="K92" s="66"/>
      <c r="L92" s="66"/>
      <c r="M92" s="66"/>
      <c r="N92" s="66"/>
      <c r="O92" s="66"/>
    </row>
    <row r="93" spans="2:15">
      <c r="B93" s="64">
        <v>82</v>
      </c>
      <c r="C93" s="70">
        <f t="shared" si="14"/>
        <v>0</v>
      </c>
      <c r="D93" s="65">
        <f t="shared" si="15"/>
        <v>0</v>
      </c>
      <c r="E93" s="65">
        <f t="shared" si="16"/>
        <v>0</v>
      </c>
      <c r="F93" s="65">
        <f t="shared" si="17"/>
        <v>0</v>
      </c>
      <c r="G93" s="62"/>
      <c r="H93" s="62"/>
      <c r="I93" s="62"/>
      <c r="J93" s="62"/>
      <c r="K93" s="62"/>
      <c r="L93" s="62"/>
      <c r="M93" s="62"/>
      <c r="N93" s="62"/>
      <c r="O93" s="62"/>
    </row>
    <row r="94" spans="2:15">
      <c r="B94" s="64">
        <v>83</v>
      </c>
      <c r="C94" s="70">
        <f t="shared" ref="C94:C157" si="18">IF(F93&gt;$C$6,$C$6,F93+D94)</f>
        <v>0</v>
      </c>
      <c r="D94" s="65">
        <f t="shared" ref="D94:D157" si="19">+$C$4*F93/12</f>
        <v>0</v>
      </c>
      <c r="E94" s="65">
        <f t="shared" ref="E94:E157" si="20">+C94-D94</f>
        <v>0</v>
      </c>
      <c r="F94" s="65">
        <f t="shared" ref="F94:F157" si="21">+F93-E94</f>
        <v>0</v>
      </c>
      <c r="G94" s="62"/>
      <c r="H94" s="62"/>
      <c r="I94" s="62"/>
      <c r="J94" s="62"/>
      <c r="K94" s="62"/>
      <c r="L94" s="62"/>
      <c r="M94" s="62"/>
      <c r="N94" s="62"/>
      <c r="O94" s="62"/>
    </row>
    <row r="95" spans="2:15">
      <c r="B95" s="64">
        <v>84</v>
      </c>
      <c r="C95" s="70">
        <f t="shared" si="18"/>
        <v>0</v>
      </c>
      <c r="D95" s="65">
        <f t="shared" si="19"/>
        <v>0</v>
      </c>
      <c r="E95" s="65">
        <f t="shared" si="20"/>
        <v>0</v>
      </c>
      <c r="F95" s="65">
        <f t="shared" si="21"/>
        <v>0</v>
      </c>
      <c r="G95" s="62"/>
      <c r="H95" s="62"/>
      <c r="I95" s="62"/>
      <c r="J95" s="62"/>
      <c r="K95" s="62"/>
      <c r="L95" s="62"/>
      <c r="M95" s="62"/>
      <c r="N95" s="62"/>
      <c r="O95" s="62"/>
    </row>
    <row r="96" spans="2:15">
      <c r="B96" s="64">
        <v>85</v>
      </c>
      <c r="C96" s="70">
        <f t="shared" si="18"/>
        <v>0</v>
      </c>
      <c r="D96" s="65">
        <f t="shared" si="19"/>
        <v>0</v>
      </c>
      <c r="E96" s="65">
        <f t="shared" si="20"/>
        <v>0</v>
      </c>
      <c r="F96" s="65">
        <f t="shared" si="21"/>
        <v>0</v>
      </c>
      <c r="G96" s="62"/>
      <c r="H96" s="62"/>
      <c r="I96" s="62"/>
      <c r="J96" s="62"/>
      <c r="K96" s="62"/>
      <c r="L96" s="62"/>
      <c r="M96" s="62"/>
      <c r="N96" s="62"/>
      <c r="O96" s="62"/>
    </row>
    <row r="97" spans="1:6">
      <c r="A97" s="78"/>
      <c r="B97" s="64">
        <v>86</v>
      </c>
      <c r="C97" s="70">
        <f t="shared" si="18"/>
        <v>0</v>
      </c>
      <c r="D97" s="65">
        <f t="shared" si="19"/>
        <v>0</v>
      </c>
      <c r="E97" s="65">
        <f t="shared" si="20"/>
        <v>0</v>
      </c>
      <c r="F97" s="65">
        <f t="shared" si="21"/>
        <v>0</v>
      </c>
    </row>
    <row r="98" spans="1:6">
      <c r="A98" s="62"/>
      <c r="B98" s="64">
        <v>87</v>
      </c>
      <c r="C98" s="70">
        <f t="shared" si="18"/>
        <v>0</v>
      </c>
      <c r="D98" s="65">
        <f t="shared" si="19"/>
        <v>0</v>
      </c>
      <c r="E98" s="65">
        <f t="shared" si="20"/>
        <v>0</v>
      </c>
      <c r="F98" s="65">
        <f t="shared" si="21"/>
        <v>0</v>
      </c>
    </row>
    <row r="99" spans="1:6">
      <c r="A99" s="62"/>
      <c r="B99" s="64">
        <v>88</v>
      </c>
      <c r="C99" s="70">
        <f t="shared" si="18"/>
        <v>0</v>
      </c>
      <c r="D99" s="65">
        <f t="shared" si="19"/>
        <v>0</v>
      </c>
      <c r="E99" s="65">
        <f t="shared" si="20"/>
        <v>0</v>
      </c>
      <c r="F99" s="65">
        <f t="shared" si="21"/>
        <v>0</v>
      </c>
    </row>
    <row r="100" spans="1:6">
      <c r="A100" s="62"/>
      <c r="B100" s="64">
        <v>89</v>
      </c>
      <c r="C100" s="70">
        <f t="shared" si="18"/>
        <v>0</v>
      </c>
      <c r="D100" s="65">
        <f t="shared" si="19"/>
        <v>0</v>
      </c>
      <c r="E100" s="65">
        <f t="shared" si="20"/>
        <v>0</v>
      </c>
      <c r="F100" s="65">
        <f t="shared" si="21"/>
        <v>0</v>
      </c>
    </row>
    <row r="101" spans="1:6">
      <c r="A101" s="62"/>
      <c r="B101" s="64">
        <v>90</v>
      </c>
      <c r="C101" s="70">
        <f t="shared" si="18"/>
        <v>0</v>
      </c>
      <c r="D101" s="65">
        <f t="shared" si="19"/>
        <v>0</v>
      </c>
      <c r="E101" s="65">
        <f t="shared" si="20"/>
        <v>0</v>
      </c>
      <c r="F101" s="65">
        <f t="shared" si="21"/>
        <v>0</v>
      </c>
    </row>
    <row r="102" spans="1:6">
      <c r="A102" s="62"/>
      <c r="B102" s="64">
        <v>91</v>
      </c>
      <c r="C102" s="70">
        <f t="shared" si="18"/>
        <v>0</v>
      </c>
      <c r="D102" s="65">
        <f t="shared" si="19"/>
        <v>0</v>
      </c>
      <c r="E102" s="65">
        <f t="shared" si="20"/>
        <v>0</v>
      </c>
      <c r="F102" s="65">
        <f t="shared" si="21"/>
        <v>0</v>
      </c>
    </row>
    <row r="103" spans="1:6">
      <c r="A103" s="62"/>
      <c r="B103" s="64">
        <v>92</v>
      </c>
      <c r="C103" s="70">
        <f t="shared" si="18"/>
        <v>0</v>
      </c>
      <c r="D103" s="65">
        <f t="shared" si="19"/>
        <v>0</v>
      </c>
      <c r="E103" s="65">
        <f t="shared" si="20"/>
        <v>0</v>
      </c>
      <c r="F103" s="65">
        <f t="shared" si="21"/>
        <v>0</v>
      </c>
    </row>
    <row r="104" spans="1:6">
      <c r="A104" s="62"/>
      <c r="B104" s="64">
        <v>93</v>
      </c>
      <c r="C104" s="70">
        <f t="shared" si="18"/>
        <v>0</v>
      </c>
      <c r="D104" s="65">
        <f t="shared" si="19"/>
        <v>0</v>
      </c>
      <c r="E104" s="65">
        <f t="shared" si="20"/>
        <v>0</v>
      </c>
      <c r="F104" s="65">
        <f t="shared" si="21"/>
        <v>0</v>
      </c>
    </row>
    <row r="105" spans="1:6">
      <c r="A105" s="62"/>
      <c r="B105" s="64">
        <v>94</v>
      </c>
      <c r="C105" s="70">
        <f t="shared" si="18"/>
        <v>0</v>
      </c>
      <c r="D105" s="65">
        <f t="shared" si="19"/>
        <v>0</v>
      </c>
      <c r="E105" s="65">
        <f t="shared" si="20"/>
        <v>0</v>
      </c>
      <c r="F105" s="65">
        <f t="shared" si="21"/>
        <v>0</v>
      </c>
    </row>
    <row r="106" spans="1:6">
      <c r="A106" s="62"/>
      <c r="B106" s="64">
        <v>95</v>
      </c>
      <c r="C106" s="70">
        <f t="shared" si="18"/>
        <v>0</v>
      </c>
      <c r="D106" s="65">
        <f t="shared" si="19"/>
        <v>0</v>
      </c>
      <c r="E106" s="65">
        <f t="shared" si="20"/>
        <v>0</v>
      </c>
      <c r="F106" s="65">
        <f t="shared" si="21"/>
        <v>0</v>
      </c>
    </row>
    <row r="107" spans="1:6">
      <c r="A107" s="62"/>
      <c r="B107" s="64">
        <v>96</v>
      </c>
      <c r="C107" s="70">
        <f t="shared" si="18"/>
        <v>0</v>
      </c>
      <c r="D107" s="65">
        <f t="shared" si="19"/>
        <v>0</v>
      </c>
      <c r="E107" s="65">
        <f t="shared" si="20"/>
        <v>0</v>
      </c>
      <c r="F107" s="65">
        <f t="shared" si="21"/>
        <v>0</v>
      </c>
    </row>
    <row r="108" spans="1:6">
      <c r="A108" s="62"/>
      <c r="B108" s="64">
        <v>97</v>
      </c>
      <c r="C108" s="70">
        <f t="shared" si="18"/>
        <v>0</v>
      </c>
      <c r="D108" s="65">
        <f t="shared" si="19"/>
        <v>0</v>
      </c>
      <c r="E108" s="65">
        <f t="shared" si="20"/>
        <v>0</v>
      </c>
      <c r="F108" s="65">
        <f t="shared" si="21"/>
        <v>0</v>
      </c>
    </row>
    <row r="109" spans="1:6">
      <c r="A109" s="62"/>
      <c r="B109" s="64">
        <v>98</v>
      </c>
      <c r="C109" s="70">
        <f t="shared" si="18"/>
        <v>0</v>
      </c>
      <c r="D109" s="65">
        <f t="shared" si="19"/>
        <v>0</v>
      </c>
      <c r="E109" s="65">
        <f t="shared" si="20"/>
        <v>0</v>
      </c>
      <c r="F109" s="65">
        <f t="shared" si="21"/>
        <v>0</v>
      </c>
    </row>
    <row r="110" spans="1:6">
      <c r="A110" s="62"/>
      <c r="B110" s="64">
        <v>99</v>
      </c>
      <c r="C110" s="70">
        <f t="shared" si="18"/>
        <v>0</v>
      </c>
      <c r="D110" s="65">
        <f t="shared" si="19"/>
        <v>0</v>
      </c>
      <c r="E110" s="65">
        <f t="shared" si="20"/>
        <v>0</v>
      </c>
      <c r="F110" s="65">
        <f t="shared" si="21"/>
        <v>0</v>
      </c>
    </row>
    <row r="111" spans="1:6">
      <c r="A111" s="62"/>
      <c r="B111" s="64">
        <v>100</v>
      </c>
      <c r="C111" s="70">
        <f t="shared" si="18"/>
        <v>0</v>
      </c>
      <c r="D111" s="65">
        <f t="shared" si="19"/>
        <v>0</v>
      </c>
      <c r="E111" s="65">
        <f t="shared" si="20"/>
        <v>0</v>
      </c>
      <c r="F111" s="65">
        <f t="shared" si="21"/>
        <v>0</v>
      </c>
    </row>
    <row r="112" spans="1:6">
      <c r="A112" s="62"/>
      <c r="B112" s="64">
        <v>101</v>
      </c>
      <c r="C112" s="70">
        <f t="shared" si="18"/>
        <v>0</v>
      </c>
      <c r="D112" s="65">
        <f t="shared" si="19"/>
        <v>0</v>
      </c>
      <c r="E112" s="65">
        <f t="shared" si="20"/>
        <v>0</v>
      </c>
      <c r="F112" s="65">
        <f t="shared" si="21"/>
        <v>0</v>
      </c>
    </row>
    <row r="113" spans="2:6">
      <c r="B113" s="64">
        <v>102</v>
      </c>
      <c r="C113" s="70">
        <f t="shared" si="18"/>
        <v>0</v>
      </c>
      <c r="D113" s="65">
        <f t="shared" si="19"/>
        <v>0</v>
      </c>
      <c r="E113" s="65">
        <f t="shared" si="20"/>
        <v>0</v>
      </c>
      <c r="F113" s="65">
        <f t="shared" si="21"/>
        <v>0</v>
      </c>
    </row>
    <row r="114" spans="2:6">
      <c r="B114" s="64">
        <v>103</v>
      </c>
      <c r="C114" s="70">
        <f t="shared" si="18"/>
        <v>0</v>
      </c>
      <c r="D114" s="65">
        <f t="shared" si="19"/>
        <v>0</v>
      </c>
      <c r="E114" s="65">
        <f t="shared" si="20"/>
        <v>0</v>
      </c>
      <c r="F114" s="65">
        <f t="shared" si="21"/>
        <v>0</v>
      </c>
    </row>
    <row r="115" spans="2:6">
      <c r="B115" s="64">
        <v>104</v>
      </c>
      <c r="C115" s="70">
        <f t="shared" si="18"/>
        <v>0</v>
      </c>
      <c r="D115" s="65">
        <f t="shared" si="19"/>
        <v>0</v>
      </c>
      <c r="E115" s="65">
        <f t="shared" si="20"/>
        <v>0</v>
      </c>
      <c r="F115" s="65">
        <f t="shared" si="21"/>
        <v>0</v>
      </c>
    </row>
    <row r="116" spans="2:6">
      <c r="B116" s="64">
        <v>105</v>
      </c>
      <c r="C116" s="70">
        <f t="shared" si="18"/>
        <v>0</v>
      </c>
      <c r="D116" s="65">
        <f t="shared" si="19"/>
        <v>0</v>
      </c>
      <c r="E116" s="65">
        <f t="shared" si="20"/>
        <v>0</v>
      </c>
      <c r="F116" s="65">
        <f t="shared" si="21"/>
        <v>0</v>
      </c>
    </row>
    <row r="117" spans="2:6">
      <c r="B117" s="64">
        <v>106</v>
      </c>
      <c r="C117" s="70">
        <f t="shared" si="18"/>
        <v>0</v>
      </c>
      <c r="D117" s="65">
        <f t="shared" si="19"/>
        <v>0</v>
      </c>
      <c r="E117" s="65">
        <f t="shared" si="20"/>
        <v>0</v>
      </c>
      <c r="F117" s="65">
        <f t="shared" si="21"/>
        <v>0</v>
      </c>
    </row>
    <row r="118" spans="2:6">
      <c r="B118" s="64">
        <v>107</v>
      </c>
      <c r="C118" s="70">
        <f t="shared" si="18"/>
        <v>0</v>
      </c>
      <c r="D118" s="65">
        <f t="shared" si="19"/>
        <v>0</v>
      </c>
      <c r="E118" s="65">
        <f t="shared" si="20"/>
        <v>0</v>
      </c>
      <c r="F118" s="65">
        <f t="shared" si="21"/>
        <v>0</v>
      </c>
    </row>
    <row r="119" spans="2:6">
      <c r="B119" s="64">
        <v>108</v>
      </c>
      <c r="C119" s="70">
        <f t="shared" si="18"/>
        <v>0</v>
      </c>
      <c r="D119" s="65">
        <f t="shared" si="19"/>
        <v>0</v>
      </c>
      <c r="E119" s="65">
        <f t="shared" si="20"/>
        <v>0</v>
      </c>
      <c r="F119" s="65">
        <f t="shared" si="21"/>
        <v>0</v>
      </c>
    </row>
    <row r="120" spans="2:6">
      <c r="B120" s="64">
        <v>109</v>
      </c>
      <c r="C120" s="70">
        <f t="shared" si="18"/>
        <v>0</v>
      </c>
      <c r="D120" s="65">
        <f t="shared" si="19"/>
        <v>0</v>
      </c>
      <c r="E120" s="65">
        <f t="shared" si="20"/>
        <v>0</v>
      </c>
      <c r="F120" s="65">
        <f t="shared" si="21"/>
        <v>0</v>
      </c>
    </row>
    <row r="121" spans="2:6">
      <c r="B121" s="64">
        <v>110</v>
      </c>
      <c r="C121" s="70">
        <f t="shared" si="18"/>
        <v>0</v>
      </c>
      <c r="D121" s="65">
        <f t="shared" si="19"/>
        <v>0</v>
      </c>
      <c r="E121" s="65">
        <f t="shared" si="20"/>
        <v>0</v>
      </c>
      <c r="F121" s="65">
        <f t="shared" si="21"/>
        <v>0</v>
      </c>
    </row>
    <row r="122" spans="2:6">
      <c r="B122" s="64">
        <v>111</v>
      </c>
      <c r="C122" s="70">
        <f t="shared" si="18"/>
        <v>0</v>
      </c>
      <c r="D122" s="65">
        <f t="shared" si="19"/>
        <v>0</v>
      </c>
      <c r="E122" s="65">
        <f t="shared" si="20"/>
        <v>0</v>
      </c>
      <c r="F122" s="65">
        <f t="shared" si="21"/>
        <v>0</v>
      </c>
    </row>
    <row r="123" spans="2:6">
      <c r="B123" s="64">
        <v>112</v>
      </c>
      <c r="C123" s="70">
        <f t="shared" si="18"/>
        <v>0</v>
      </c>
      <c r="D123" s="65">
        <f t="shared" si="19"/>
        <v>0</v>
      </c>
      <c r="E123" s="65">
        <f t="shared" si="20"/>
        <v>0</v>
      </c>
      <c r="F123" s="65">
        <f t="shared" si="21"/>
        <v>0</v>
      </c>
    </row>
    <row r="124" spans="2:6">
      <c r="B124" s="64">
        <v>113</v>
      </c>
      <c r="C124" s="70">
        <f t="shared" si="18"/>
        <v>0</v>
      </c>
      <c r="D124" s="65">
        <f t="shared" si="19"/>
        <v>0</v>
      </c>
      <c r="E124" s="65">
        <f t="shared" si="20"/>
        <v>0</v>
      </c>
      <c r="F124" s="65">
        <f t="shared" si="21"/>
        <v>0</v>
      </c>
    </row>
    <row r="125" spans="2:6">
      <c r="B125" s="64">
        <v>114</v>
      </c>
      <c r="C125" s="70">
        <f t="shared" si="18"/>
        <v>0</v>
      </c>
      <c r="D125" s="65">
        <f t="shared" si="19"/>
        <v>0</v>
      </c>
      <c r="E125" s="65">
        <f t="shared" si="20"/>
        <v>0</v>
      </c>
      <c r="F125" s="65">
        <f t="shared" si="21"/>
        <v>0</v>
      </c>
    </row>
    <row r="126" spans="2:6">
      <c r="B126" s="64">
        <v>115</v>
      </c>
      <c r="C126" s="70">
        <f t="shared" si="18"/>
        <v>0</v>
      </c>
      <c r="D126" s="65">
        <f t="shared" si="19"/>
        <v>0</v>
      </c>
      <c r="E126" s="65">
        <f t="shared" si="20"/>
        <v>0</v>
      </c>
      <c r="F126" s="65">
        <f t="shared" si="21"/>
        <v>0</v>
      </c>
    </row>
    <row r="127" spans="2:6">
      <c r="B127" s="64">
        <v>116</v>
      </c>
      <c r="C127" s="70">
        <f t="shared" si="18"/>
        <v>0</v>
      </c>
      <c r="D127" s="65">
        <f t="shared" si="19"/>
        <v>0</v>
      </c>
      <c r="E127" s="65">
        <f t="shared" si="20"/>
        <v>0</v>
      </c>
      <c r="F127" s="65">
        <f t="shared" si="21"/>
        <v>0</v>
      </c>
    </row>
    <row r="128" spans="2:6">
      <c r="B128" s="64">
        <v>117</v>
      </c>
      <c r="C128" s="70">
        <f t="shared" si="18"/>
        <v>0</v>
      </c>
      <c r="D128" s="65">
        <f t="shared" si="19"/>
        <v>0</v>
      </c>
      <c r="E128" s="65">
        <f t="shared" si="20"/>
        <v>0</v>
      </c>
      <c r="F128" s="65">
        <f t="shared" si="21"/>
        <v>0</v>
      </c>
    </row>
    <row r="129" spans="2:6">
      <c r="B129" s="64">
        <v>118</v>
      </c>
      <c r="C129" s="70">
        <f t="shared" si="18"/>
        <v>0</v>
      </c>
      <c r="D129" s="65">
        <f t="shared" si="19"/>
        <v>0</v>
      </c>
      <c r="E129" s="65">
        <f t="shared" si="20"/>
        <v>0</v>
      </c>
      <c r="F129" s="65">
        <f t="shared" si="21"/>
        <v>0</v>
      </c>
    </row>
    <row r="130" spans="2:6">
      <c r="B130" s="64">
        <v>119</v>
      </c>
      <c r="C130" s="70">
        <f t="shared" si="18"/>
        <v>0</v>
      </c>
      <c r="D130" s="65">
        <f t="shared" si="19"/>
        <v>0</v>
      </c>
      <c r="E130" s="65">
        <f t="shared" si="20"/>
        <v>0</v>
      </c>
      <c r="F130" s="65">
        <f t="shared" si="21"/>
        <v>0</v>
      </c>
    </row>
    <row r="131" spans="2:6">
      <c r="B131" s="64">
        <v>120</v>
      </c>
      <c r="C131" s="70">
        <f t="shared" si="18"/>
        <v>0</v>
      </c>
      <c r="D131" s="65">
        <f t="shared" si="19"/>
        <v>0</v>
      </c>
      <c r="E131" s="65">
        <f t="shared" si="20"/>
        <v>0</v>
      </c>
      <c r="F131" s="65">
        <f t="shared" si="21"/>
        <v>0</v>
      </c>
    </row>
    <row r="132" spans="2:6">
      <c r="B132" s="64">
        <v>121</v>
      </c>
      <c r="C132" s="70">
        <f t="shared" si="18"/>
        <v>0</v>
      </c>
      <c r="D132" s="65">
        <f t="shared" si="19"/>
        <v>0</v>
      </c>
      <c r="E132" s="65">
        <f t="shared" si="20"/>
        <v>0</v>
      </c>
      <c r="F132" s="65">
        <f t="shared" si="21"/>
        <v>0</v>
      </c>
    </row>
    <row r="133" spans="2:6">
      <c r="B133" s="64">
        <v>122</v>
      </c>
      <c r="C133" s="70">
        <f t="shared" si="18"/>
        <v>0</v>
      </c>
      <c r="D133" s="65">
        <f t="shared" si="19"/>
        <v>0</v>
      </c>
      <c r="E133" s="65">
        <f t="shared" si="20"/>
        <v>0</v>
      </c>
      <c r="F133" s="65">
        <f t="shared" si="21"/>
        <v>0</v>
      </c>
    </row>
    <row r="134" spans="2:6">
      <c r="B134" s="64">
        <v>123</v>
      </c>
      <c r="C134" s="70">
        <f t="shared" si="18"/>
        <v>0</v>
      </c>
      <c r="D134" s="65">
        <f t="shared" si="19"/>
        <v>0</v>
      </c>
      <c r="E134" s="65">
        <f t="shared" si="20"/>
        <v>0</v>
      </c>
      <c r="F134" s="65">
        <f t="shared" si="21"/>
        <v>0</v>
      </c>
    </row>
    <row r="135" spans="2:6">
      <c r="B135" s="64">
        <v>124</v>
      </c>
      <c r="C135" s="70">
        <f t="shared" si="18"/>
        <v>0</v>
      </c>
      <c r="D135" s="65">
        <f t="shared" si="19"/>
        <v>0</v>
      </c>
      <c r="E135" s="65">
        <f t="shared" si="20"/>
        <v>0</v>
      </c>
      <c r="F135" s="65">
        <f t="shared" si="21"/>
        <v>0</v>
      </c>
    </row>
    <row r="136" spans="2:6">
      <c r="B136" s="64">
        <v>125</v>
      </c>
      <c r="C136" s="70">
        <f t="shared" si="18"/>
        <v>0</v>
      </c>
      <c r="D136" s="65">
        <f t="shared" si="19"/>
        <v>0</v>
      </c>
      <c r="E136" s="65">
        <f t="shared" si="20"/>
        <v>0</v>
      </c>
      <c r="F136" s="65">
        <f t="shared" si="21"/>
        <v>0</v>
      </c>
    </row>
    <row r="137" spans="2:6">
      <c r="B137" s="64">
        <v>126</v>
      </c>
      <c r="C137" s="70">
        <f t="shared" si="18"/>
        <v>0</v>
      </c>
      <c r="D137" s="65">
        <f t="shared" si="19"/>
        <v>0</v>
      </c>
      <c r="E137" s="65">
        <f t="shared" si="20"/>
        <v>0</v>
      </c>
      <c r="F137" s="65">
        <f t="shared" si="21"/>
        <v>0</v>
      </c>
    </row>
    <row r="138" spans="2:6">
      <c r="B138" s="64">
        <v>127</v>
      </c>
      <c r="C138" s="70">
        <f t="shared" si="18"/>
        <v>0</v>
      </c>
      <c r="D138" s="65">
        <f t="shared" si="19"/>
        <v>0</v>
      </c>
      <c r="E138" s="65">
        <f t="shared" si="20"/>
        <v>0</v>
      </c>
      <c r="F138" s="65">
        <f t="shared" si="21"/>
        <v>0</v>
      </c>
    </row>
    <row r="139" spans="2:6">
      <c r="B139" s="64">
        <v>128</v>
      </c>
      <c r="C139" s="70">
        <f t="shared" si="18"/>
        <v>0</v>
      </c>
      <c r="D139" s="65">
        <f t="shared" si="19"/>
        <v>0</v>
      </c>
      <c r="E139" s="65">
        <f t="shared" si="20"/>
        <v>0</v>
      </c>
      <c r="F139" s="65">
        <f t="shared" si="21"/>
        <v>0</v>
      </c>
    </row>
    <row r="140" spans="2:6">
      <c r="B140" s="64">
        <v>129</v>
      </c>
      <c r="C140" s="70">
        <f t="shared" si="18"/>
        <v>0</v>
      </c>
      <c r="D140" s="65">
        <f t="shared" si="19"/>
        <v>0</v>
      </c>
      <c r="E140" s="65">
        <f t="shared" si="20"/>
        <v>0</v>
      </c>
      <c r="F140" s="65">
        <f t="shared" si="21"/>
        <v>0</v>
      </c>
    </row>
    <row r="141" spans="2:6">
      <c r="B141" s="64">
        <v>130</v>
      </c>
      <c r="C141" s="70">
        <f t="shared" si="18"/>
        <v>0</v>
      </c>
      <c r="D141" s="65">
        <f t="shared" si="19"/>
        <v>0</v>
      </c>
      <c r="E141" s="65">
        <f t="shared" si="20"/>
        <v>0</v>
      </c>
      <c r="F141" s="65">
        <f t="shared" si="21"/>
        <v>0</v>
      </c>
    </row>
    <row r="142" spans="2:6">
      <c r="B142" s="64">
        <v>131</v>
      </c>
      <c r="C142" s="70">
        <f t="shared" si="18"/>
        <v>0</v>
      </c>
      <c r="D142" s="65">
        <f t="shared" si="19"/>
        <v>0</v>
      </c>
      <c r="E142" s="65">
        <f t="shared" si="20"/>
        <v>0</v>
      </c>
      <c r="F142" s="65">
        <f t="shared" si="21"/>
        <v>0</v>
      </c>
    </row>
    <row r="143" spans="2:6">
      <c r="B143" s="64">
        <v>132</v>
      </c>
      <c r="C143" s="70">
        <f t="shared" si="18"/>
        <v>0</v>
      </c>
      <c r="D143" s="65">
        <f t="shared" si="19"/>
        <v>0</v>
      </c>
      <c r="E143" s="65">
        <f t="shared" si="20"/>
        <v>0</v>
      </c>
      <c r="F143" s="65">
        <f t="shared" si="21"/>
        <v>0</v>
      </c>
    </row>
    <row r="144" spans="2:6">
      <c r="B144" s="64">
        <v>133</v>
      </c>
      <c r="C144" s="70">
        <f t="shared" si="18"/>
        <v>0</v>
      </c>
      <c r="D144" s="65">
        <f t="shared" si="19"/>
        <v>0</v>
      </c>
      <c r="E144" s="65">
        <f t="shared" si="20"/>
        <v>0</v>
      </c>
      <c r="F144" s="65">
        <f t="shared" si="21"/>
        <v>0</v>
      </c>
    </row>
    <row r="145" spans="2:6">
      <c r="B145" s="64">
        <v>134</v>
      </c>
      <c r="C145" s="70">
        <f t="shared" si="18"/>
        <v>0</v>
      </c>
      <c r="D145" s="65">
        <f t="shared" si="19"/>
        <v>0</v>
      </c>
      <c r="E145" s="65">
        <f t="shared" si="20"/>
        <v>0</v>
      </c>
      <c r="F145" s="65">
        <f t="shared" si="21"/>
        <v>0</v>
      </c>
    </row>
    <row r="146" spans="2:6">
      <c r="B146" s="64">
        <v>135</v>
      </c>
      <c r="C146" s="70">
        <f t="shared" si="18"/>
        <v>0</v>
      </c>
      <c r="D146" s="65">
        <f t="shared" si="19"/>
        <v>0</v>
      </c>
      <c r="E146" s="65">
        <f t="shared" si="20"/>
        <v>0</v>
      </c>
      <c r="F146" s="65">
        <f t="shared" si="21"/>
        <v>0</v>
      </c>
    </row>
    <row r="147" spans="2:6">
      <c r="B147" s="64">
        <v>136</v>
      </c>
      <c r="C147" s="70">
        <f t="shared" si="18"/>
        <v>0</v>
      </c>
      <c r="D147" s="65">
        <f t="shared" si="19"/>
        <v>0</v>
      </c>
      <c r="E147" s="65">
        <f t="shared" si="20"/>
        <v>0</v>
      </c>
      <c r="F147" s="65">
        <f t="shared" si="21"/>
        <v>0</v>
      </c>
    </row>
    <row r="148" spans="2:6">
      <c r="B148" s="64">
        <v>137</v>
      </c>
      <c r="C148" s="70">
        <f t="shared" si="18"/>
        <v>0</v>
      </c>
      <c r="D148" s="65">
        <f t="shared" si="19"/>
        <v>0</v>
      </c>
      <c r="E148" s="65">
        <f t="shared" si="20"/>
        <v>0</v>
      </c>
      <c r="F148" s="65">
        <f t="shared" si="21"/>
        <v>0</v>
      </c>
    </row>
    <row r="149" spans="2:6">
      <c r="B149" s="64">
        <v>138</v>
      </c>
      <c r="C149" s="70">
        <f t="shared" si="18"/>
        <v>0</v>
      </c>
      <c r="D149" s="65">
        <f t="shared" si="19"/>
        <v>0</v>
      </c>
      <c r="E149" s="65">
        <f t="shared" si="20"/>
        <v>0</v>
      </c>
      <c r="F149" s="65">
        <f t="shared" si="21"/>
        <v>0</v>
      </c>
    </row>
    <row r="150" spans="2:6">
      <c r="B150" s="64">
        <v>139</v>
      </c>
      <c r="C150" s="70">
        <f t="shared" si="18"/>
        <v>0</v>
      </c>
      <c r="D150" s="65">
        <f t="shared" si="19"/>
        <v>0</v>
      </c>
      <c r="E150" s="65">
        <f t="shared" si="20"/>
        <v>0</v>
      </c>
      <c r="F150" s="65">
        <f t="shared" si="21"/>
        <v>0</v>
      </c>
    </row>
    <row r="151" spans="2:6">
      <c r="B151" s="64">
        <v>140</v>
      </c>
      <c r="C151" s="70">
        <f t="shared" si="18"/>
        <v>0</v>
      </c>
      <c r="D151" s="65">
        <f t="shared" si="19"/>
        <v>0</v>
      </c>
      <c r="E151" s="65">
        <f t="shared" si="20"/>
        <v>0</v>
      </c>
      <c r="F151" s="65">
        <f t="shared" si="21"/>
        <v>0</v>
      </c>
    </row>
    <row r="152" spans="2:6">
      <c r="B152" s="64">
        <v>141</v>
      </c>
      <c r="C152" s="70">
        <f t="shared" si="18"/>
        <v>0</v>
      </c>
      <c r="D152" s="65">
        <f t="shared" si="19"/>
        <v>0</v>
      </c>
      <c r="E152" s="65">
        <f t="shared" si="20"/>
        <v>0</v>
      </c>
      <c r="F152" s="65">
        <f t="shared" si="21"/>
        <v>0</v>
      </c>
    </row>
    <row r="153" spans="2:6">
      <c r="B153" s="64">
        <v>142</v>
      </c>
      <c r="C153" s="70">
        <f t="shared" si="18"/>
        <v>0</v>
      </c>
      <c r="D153" s="65">
        <f t="shared" si="19"/>
        <v>0</v>
      </c>
      <c r="E153" s="65">
        <f t="shared" si="20"/>
        <v>0</v>
      </c>
      <c r="F153" s="65">
        <f t="shared" si="21"/>
        <v>0</v>
      </c>
    </row>
    <row r="154" spans="2:6">
      <c r="B154" s="64">
        <v>143</v>
      </c>
      <c r="C154" s="70">
        <f t="shared" si="18"/>
        <v>0</v>
      </c>
      <c r="D154" s="65">
        <f t="shared" si="19"/>
        <v>0</v>
      </c>
      <c r="E154" s="65">
        <f t="shared" si="20"/>
        <v>0</v>
      </c>
      <c r="F154" s="65">
        <f t="shared" si="21"/>
        <v>0</v>
      </c>
    </row>
    <row r="155" spans="2:6">
      <c r="B155" s="64">
        <v>144</v>
      </c>
      <c r="C155" s="70">
        <f t="shared" si="18"/>
        <v>0</v>
      </c>
      <c r="D155" s="65">
        <f t="shared" si="19"/>
        <v>0</v>
      </c>
      <c r="E155" s="65">
        <f t="shared" si="20"/>
        <v>0</v>
      </c>
      <c r="F155" s="65">
        <f t="shared" si="21"/>
        <v>0</v>
      </c>
    </row>
    <row r="156" spans="2:6">
      <c r="B156" s="64">
        <v>145</v>
      </c>
      <c r="C156" s="70">
        <f t="shared" si="18"/>
        <v>0</v>
      </c>
      <c r="D156" s="65">
        <f t="shared" si="19"/>
        <v>0</v>
      </c>
      <c r="E156" s="65">
        <f t="shared" si="20"/>
        <v>0</v>
      </c>
      <c r="F156" s="65">
        <f t="shared" si="21"/>
        <v>0</v>
      </c>
    </row>
    <row r="157" spans="2:6">
      <c r="B157" s="64">
        <v>146</v>
      </c>
      <c r="C157" s="70">
        <f t="shared" si="18"/>
        <v>0</v>
      </c>
      <c r="D157" s="65">
        <f t="shared" si="19"/>
        <v>0</v>
      </c>
      <c r="E157" s="65">
        <f t="shared" si="20"/>
        <v>0</v>
      </c>
      <c r="F157" s="65">
        <f t="shared" si="21"/>
        <v>0</v>
      </c>
    </row>
    <row r="158" spans="2:6">
      <c r="B158" s="64">
        <v>147</v>
      </c>
      <c r="C158" s="70">
        <f t="shared" ref="C158:C221" si="22">IF(F157&gt;$C$6,$C$6,F157+D158)</f>
        <v>0</v>
      </c>
      <c r="D158" s="65">
        <f t="shared" ref="D158:D221" si="23">+$C$4*F157/12</f>
        <v>0</v>
      </c>
      <c r="E158" s="65">
        <f t="shared" ref="E158:E221" si="24">+C158-D158</f>
        <v>0</v>
      </c>
      <c r="F158" s="65">
        <f t="shared" ref="F158:F221" si="25">+F157-E158</f>
        <v>0</v>
      </c>
    </row>
    <row r="159" spans="2:6">
      <c r="B159" s="64">
        <v>148</v>
      </c>
      <c r="C159" s="70">
        <f t="shared" si="22"/>
        <v>0</v>
      </c>
      <c r="D159" s="65">
        <f t="shared" si="23"/>
        <v>0</v>
      </c>
      <c r="E159" s="65">
        <f t="shared" si="24"/>
        <v>0</v>
      </c>
      <c r="F159" s="65">
        <f t="shared" si="25"/>
        <v>0</v>
      </c>
    </row>
    <row r="160" spans="2:6">
      <c r="B160" s="64">
        <v>149</v>
      </c>
      <c r="C160" s="70">
        <f t="shared" si="22"/>
        <v>0</v>
      </c>
      <c r="D160" s="65">
        <f t="shared" si="23"/>
        <v>0</v>
      </c>
      <c r="E160" s="65">
        <f t="shared" si="24"/>
        <v>0</v>
      </c>
      <c r="F160" s="65">
        <f t="shared" si="25"/>
        <v>0</v>
      </c>
    </row>
    <row r="161" spans="2:6">
      <c r="B161" s="64">
        <v>150</v>
      </c>
      <c r="C161" s="70">
        <f t="shared" si="22"/>
        <v>0</v>
      </c>
      <c r="D161" s="65">
        <f t="shared" si="23"/>
        <v>0</v>
      </c>
      <c r="E161" s="65">
        <f t="shared" si="24"/>
        <v>0</v>
      </c>
      <c r="F161" s="65">
        <f t="shared" si="25"/>
        <v>0</v>
      </c>
    </row>
    <row r="162" spans="2:6">
      <c r="B162" s="64">
        <v>151</v>
      </c>
      <c r="C162" s="70">
        <f t="shared" si="22"/>
        <v>0</v>
      </c>
      <c r="D162" s="65">
        <f t="shared" si="23"/>
        <v>0</v>
      </c>
      <c r="E162" s="65">
        <f t="shared" si="24"/>
        <v>0</v>
      </c>
      <c r="F162" s="65">
        <f t="shared" si="25"/>
        <v>0</v>
      </c>
    </row>
    <row r="163" spans="2:6">
      <c r="B163" s="64">
        <v>152</v>
      </c>
      <c r="C163" s="70">
        <f t="shared" si="22"/>
        <v>0</v>
      </c>
      <c r="D163" s="65">
        <f t="shared" si="23"/>
        <v>0</v>
      </c>
      <c r="E163" s="65">
        <f t="shared" si="24"/>
        <v>0</v>
      </c>
      <c r="F163" s="65">
        <f t="shared" si="25"/>
        <v>0</v>
      </c>
    </row>
    <row r="164" spans="2:6">
      <c r="B164" s="64">
        <v>153</v>
      </c>
      <c r="C164" s="70">
        <f t="shared" si="22"/>
        <v>0</v>
      </c>
      <c r="D164" s="65">
        <f t="shared" si="23"/>
        <v>0</v>
      </c>
      <c r="E164" s="65">
        <f t="shared" si="24"/>
        <v>0</v>
      </c>
      <c r="F164" s="65">
        <f t="shared" si="25"/>
        <v>0</v>
      </c>
    </row>
    <row r="165" spans="2:6">
      <c r="B165" s="64">
        <v>154</v>
      </c>
      <c r="C165" s="70">
        <f t="shared" si="22"/>
        <v>0</v>
      </c>
      <c r="D165" s="65">
        <f t="shared" si="23"/>
        <v>0</v>
      </c>
      <c r="E165" s="65">
        <f t="shared" si="24"/>
        <v>0</v>
      </c>
      <c r="F165" s="65">
        <f t="shared" si="25"/>
        <v>0</v>
      </c>
    </row>
    <row r="166" spans="2:6">
      <c r="B166" s="64">
        <v>155</v>
      </c>
      <c r="C166" s="70">
        <f t="shared" si="22"/>
        <v>0</v>
      </c>
      <c r="D166" s="65">
        <f t="shared" si="23"/>
        <v>0</v>
      </c>
      <c r="E166" s="65">
        <f t="shared" si="24"/>
        <v>0</v>
      </c>
      <c r="F166" s="65">
        <f t="shared" si="25"/>
        <v>0</v>
      </c>
    </row>
    <row r="167" spans="2:6">
      <c r="B167" s="64">
        <v>156</v>
      </c>
      <c r="C167" s="70">
        <f t="shared" si="22"/>
        <v>0</v>
      </c>
      <c r="D167" s="65">
        <f t="shared" si="23"/>
        <v>0</v>
      </c>
      <c r="E167" s="65">
        <f t="shared" si="24"/>
        <v>0</v>
      </c>
      <c r="F167" s="65">
        <f t="shared" si="25"/>
        <v>0</v>
      </c>
    </row>
    <row r="168" spans="2:6">
      <c r="B168" s="64">
        <v>157</v>
      </c>
      <c r="C168" s="70">
        <f t="shared" si="22"/>
        <v>0</v>
      </c>
      <c r="D168" s="65">
        <f t="shared" si="23"/>
        <v>0</v>
      </c>
      <c r="E168" s="65">
        <f t="shared" si="24"/>
        <v>0</v>
      </c>
      <c r="F168" s="65">
        <f t="shared" si="25"/>
        <v>0</v>
      </c>
    </row>
    <row r="169" spans="2:6">
      <c r="B169" s="64">
        <v>158</v>
      </c>
      <c r="C169" s="70">
        <f t="shared" si="22"/>
        <v>0</v>
      </c>
      <c r="D169" s="65">
        <f t="shared" si="23"/>
        <v>0</v>
      </c>
      <c r="E169" s="65">
        <f t="shared" si="24"/>
        <v>0</v>
      </c>
      <c r="F169" s="65">
        <f t="shared" si="25"/>
        <v>0</v>
      </c>
    </row>
    <row r="170" spans="2:6">
      <c r="B170" s="64">
        <v>159</v>
      </c>
      <c r="C170" s="70">
        <f t="shared" si="22"/>
        <v>0</v>
      </c>
      <c r="D170" s="65">
        <f t="shared" si="23"/>
        <v>0</v>
      </c>
      <c r="E170" s="65">
        <f t="shared" si="24"/>
        <v>0</v>
      </c>
      <c r="F170" s="65">
        <f t="shared" si="25"/>
        <v>0</v>
      </c>
    </row>
    <row r="171" spans="2:6">
      <c r="B171" s="64">
        <v>160</v>
      </c>
      <c r="C171" s="70">
        <f t="shared" si="22"/>
        <v>0</v>
      </c>
      <c r="D171" s="65">
        <f t="shared" si="23"/>
        <v>0</v>
      </c>
      <c r="E171" s="65">
        <f t="shared" si="24"/>
        <v>0</v>
      </c>
      <c r="F171" s="65">
        <f t="shared" si="25"/>
        <v>0</v>
      </c>
    </row>
    <row r="172" spans="2:6">
      <c r="B172" s="64">
        <v>161</v>
      </c>
      <c r="C172" s="70">
        <f t="shared" si="22"/>
        <v>0</v>
      </c>
      <c r="D172" s="65">
        <f t="shared" si="23"/>
        <v>0</v>
      </c>
      <c r="E172" s="65">
        <f t="shared" si="24"/>
        <v>0</v>
      </c>
      <c r="F172" s="65">
        <f t="shared" si="25"/>
        <v>0</v>
      </c>
    </row>
    <row r="173" spans="2:6">
      <c r="B173" s="64">
        <v>162</v>
      </c>
      <c r="C173" s="70">
        <f t="shared" si="22"/>
        <v>0</v>
      </c>
      <c r="D173" s="65">
        <f t="shared" si="23"/>
        <v>0</v>
      </c>
      <c r="E173" s="65">
        <f t="shared" si="24"/>
        <v>0</v>
      </c>
      <c r="F173" s="65">
        <f t="shared" si="25"/>
        <v>0</v>
      </c>
    </row>
    <row r="174" spans="2:6">
      <c r="B174" s="64">
        <v>163</v>
      </c>
      <c r="C174" s="70">
        <f t="shared" si="22"/>
        <v>0</v>
      </c>
      <c r="D174" s="65">
        <f t="shared" si="23"/>
        <v>0</v>
      </c>
      <c r="E174" s="65">
        <f t="shared" si="24"/>
        <v>0</v>
      </c>
      <c r="F174" s="65">
        <f t="shared" si="25"/>
        <v>0</v>
      </c>
    </row>
    <row r="175" spans="2:6">
      <c r="B175" s="64">
        <v>164</v>
      </c>
      <c r="C175" s="70">
        <f t="shared" si="22"/>
        <v>0</v>
      </c>
      <c r="D175" s="65">
        <f t="shared" si="23"/>
        <v>0</v>
      </c>
      <c r="E175" s="65">
        <f t="shared" si="24"/>
        <v>0</v>
      </c>
      <c r="F175" s="65">
        <f t="shared" si="25"/>
        <v>0</v>
      </c>
    </row>
    <row r="176" spans="2:6">
      <c r="B176" s="64">
        <v>165</v>
      </c>
      <c r="C176" s="70">
        <f t="shared" si="22"/>
        <v>0</v>
      </c>
      <c r="D176" s="65">
        <f t="shared" si="23"/>
        <v>0</v>
      </c>
      <c r="E176" s="65">
        <f t="shared" si="24"/>
        <v>0</v>
      </c>
      <c r="F176" s="65">
        <f t="shared" si="25"/>
        <v>0</v>
      </c>
    </row>
    <row r="177" spans="2:6">
      <c r="B177" s="64">
        <v>166</v>
      </c>
      <c r="C177" s="70">
        <f t="shared" si="22"/>
        <v>0</v>
      </c>
      <c r="D177" s="65">
        <f t="shared" si="23"/>
        <v>0</v>
      </c>
      <c r="E177" s="65">
        <f t="shared" si="24"/>
        <v>0</v>
      </c>
      <c r="F177" s="65">
        <f t="shared" si="25"/>
        <v>0</v>
      </c>
    </row>
    <row r="178" spans="2:6">
      <c r="B178" s="64">
        <v>167</v>
      </c>
      <c r="C178" s="70">
        <f t="shared" si="22"/>
        <v>0</v>
      </c>
      <c r="D178" s="65">
        <f t="shared" si="23"/>
        <v>0</v>
      </c>
      <c r="E178" s="65">
        <f t="shared" si="24"/>
        <v>0</v>
      </c>
      <c r="F178" s="65">
        <f t="shared" si="25"/>
        <v>0</v>
      </c>
    </row>
    <row r="179" spans="2:6">
      <c r="B179" s="64">
        <v>168</v>
      </c>
      <c r="C179" s="70">
        <f t="shared" si="22"/>
        <v>0</v>
      </c>
      <c r="D179" s="65">
        <f t="shared" si="23"/>
        <v>0</v>
      </c>
      <c r="E179" s="65">
        <f t="shared" si="24"/>
        <v>0</v>
      </c>
      <c r="F179" s="65">
        <f t="shared" si="25"/>
        <v>0</v>
      </c>
    </row>
    <row r="180" spans="2:6">
      <c r="B180" s="64">
        <v>169</v>
      </c>
      <c r="C180" s="70">
        <f t="shared" si="22"/>
        <v>0</v>
      </c>
      <c r="D180" s="65">
        <f t="shared" si="23"/>
        <v>0</v>
      </c>
      <c r="E180" s="65">
        <f t="shared" si="24"/>
        <v>0</v>
      </c>
      <c r="F180" s="65">
        <f t="shared" si="25"/>
        <v>0</v>
      </c>
    </row>
    <row r="181" spans="2:6">
      <c r="B181" s="64">
        <v>170</v>
      </c>
      <c r="C181" s="70">
        <f t="shared" si="22"/>
        <v>0</v>
      </c>
      <c r="D181" s="65">
        <f t="shared" si="23"/>
        <v>0</v>
      </c>
      <c r="E181" s="65">
        <f t="shared" si="24"/>
        <v>0</v>
      </c>
      <c r="F181" s="65">
        <f t="shared" si="25"/>
        <v>0</v>
      </c>
    </row>
    <row r="182" spans="2:6">
      <c r="B182" s="64">
        <v>171</v>
      </c>
      <c r="C182" s="70">
        <f t="shared" si="22"/>
        <v>0</v>
      </c>
      <c r="D182" s="65">
        <f t="shared" si="23"/>
        <v>0</v>
      </c>
      <c r="E182" s="65">
        <f t="shared" si="24"/>
        <v>0</v>
      </c>
      <c r="F182" s="65">
        <f t="shared" si="25"/>
        <v>0</v>
      </c>
    </row>
    <row r="183" spans="2:6">
      <c r="B183" s="64">
        <v>172</v>
      </c>
      <c r="C183" s="70">
        <f t="shared" si="22"/>
        <v>0</v>
      </c>
      <c r="D183" s="65">
        <f t="shared" si="23"/>
        <v>0</v>
      </c>
      <c r="E183" s="65">
        <f t="shared" si="24"/>
        <v>0</v>
      </c>
      <c r="F183" s="65">
        <f t="shared" si="25"/>
        <v>0</v>
      </c>
    </row>
    <row r="184" spans="2:6">
      <c r="B184" s="64">
        <v>173</v>
      </c>
      <c r="C184" s="70">
        <f t="shared" si="22"/>
        <v>0</v>
      </c>
      <c r="D184" s="65">
        <f t="shared" si="23"/>
        <v>0</v>
      </c>
      <c r="E184" s="65">
        <f t="shared" si="24"/>
        <v>0</v>
      </c>
      <c r="F184" s="65">
        <f t="shared" si="25"/>
        <v>0</v>
      </c>
    </row>
    <row r="185" spans="2:6">
      <c r="B185" s="64">
        <v>174</v>
      </c>
      <c r="C185" s="70">
        <f t="shared" si="22"/>
        <v>0</v>
      </c>
      <c r="D185" s="65">
        <f t="shared" si="23"/>
        <v>0</v>
      </c>
      <c r="E185" s="65">
        <f t="shared" si="24"/>
        <v>0</v>
      </c>
      <c r="F185" s="65">
        <f t="shared" si="25"/>
        <v>0</v>
      </c>
    </row>
    <row r="186" spans="2:6">
      <c r="B186" s="64">
        <v>175</v>
      </c>
      <c r="C186" s="70">
        <f t="shared" si="22"/>
        <v>0</v>
      </c>
      <c r="D186" s="65">
        <f t="shared" si="23"/>
        <v>0</v>
      </c>
      <c r="E186" s="65">
        <f t="shared" si="24"/>
        <v>0</v>
      </c>
      <c r="F186" s="65">
        <f t="shared" si="25"/>
        <v>0</v>
      </c>
    </row>
    <row r="187" spans="2:6">
      <c r="B187" s="64">
        <v>176</v>
      </c>
      <c r="C187" s="70">
        <f t="shared" si="22"/>
        <v>0</v>
      </c>
      <c r="D187" s="65">
        <f t="shared" si="23"/>
        <v>0</v>
      </c>
      <c r="E187" s="65">
        <f t="shared" si="24"/>
        <v>0</v>
      </c>
      <c r="F187" s="65">
        <f t="shared" si="25"/>
        <v>0</v>
      </c>
    </row>
    <row r="188" spans="2:6">
      <c r="B188" s="64">
        <v>177</v>
      </c>
      <c r="C188" s="70">
        <f t="shared" si="22"/>
        <v>0</v>
      </c>
      <c r="D188" s="65">
        <f t="shared" si="23"/>
        <v>0</v>
      </c>
      <c r="E188" s="65">
        <f t="shared" si="24"/>
        <v>0</v>
      </c>
      <c r="F188" s="65">
        <f t="shared" si="25"/>
        <v>0</v>
      </c>
    </row>
    <row r="189" spans="2:6">
      <c r="B189" s="64">
        <v>178</v>
      </c>
      <c r="C189" s="70">
        <f t="shared" si="22"/>
        <v>0</v>
      </c>
      <c r="D189" s="65">
        <f t="shared" si="23"/>
        <v>0</v>
      </c>
      <c r="E189" s="65">
        <f t="shared" si="24"/>
        <v>0</v>
      </c>
      <c r="F189" s="65">
        <f t="shared" si="25"/>
        <v>0</v>
      </c>
    </row>
    <row r="190" spans="2:6">
      <c r="B190" s="64">
        <v>179</v>
      </c>
      <c r="C190" s="70">
        <f t="shared" si="22"/>
        <v>0</v>
      </c>
      <c r="D190" s="65">
        <f t="shared" si="23"/>
        <v>0</v>
      </c>
      <c r="E190" s="65">
        <f t="shared" si="24"/>
        <v>0</v>
      </c>
      <c r="F190" s="65">
        <f t="shared" si="25"/>
        <v>0</v>
      </c>
    </row>
    <row r="191" spans="2:6">
      <c r="B191" s="64">
        <v>180</v>
      </c>
      <c r="C191" s="70">
        <f t="shared" si="22"/>
        <v>0</v>
      </c>
      <c r="D191" s="65">
        <f t="shared" si="23"/>
        <v>0</v>
      </c>
      <c r="E191" s="65">
        <f t="shared" si="24"/>
        <v>0</v>
      </c>
      <c r="F191" s="65">
        <f t="shared" si="25"/>
        <v>0</v>
      </c>
    </row>
    <row r="192" spans="2:6">
      <c r="B192" s="64">
        <v>181</v>
      </c>
      <c r="C192" s="70">
        <f t="shared" si="22"/>
        <v>0</v>
      </c>
      <c r="D192" s="65">
        <f t="shared" si="23"/>
        <v>0</v>
      </c>
      <c r="E192" s="65">
        <f t="shared" si="24"/>
        <v>0</v>
      </c>
      <c r="F192" s="65">
        <f t="shared" si="25"/>
        <v>0</v>
      </c>
    </row>
    <row r="193" spans="2:6">
      <c r="B193" s="64">
        <v>182</v>
      </c>
      <c r="C193" s="70">
        <f t="shared" si="22"/>
        <v>0</v>
      </c>
      <c r="D193" s="65">
        <f t="shared" si="23"/>
        <v>0</v>
      </c>
      <c r="E193" s="65">
        <f t="shared" si="24"/>
        <v>0</v>
      </c>
      <c r="F193" s="65">
        <f t="shared" si="25"/>
        <v>0</v>
      </c>
    </row>
    <row r="194" spans="2:6">
      <c r="B194" s="64">
        <v>183</v>
      </c>
      <c r="C194" s="70">
        <f t="shared" si="22"/>
        <v>0</v>
      </c>
      <c r="D194" s="65">
        <f t="shared" si="23"/>
        <v>0</v>
      </c>
      <c r="E194" s="65">
        <f t="shared" si="24"/>
        <v>0</v>
      </c>
      <c r="F194" s="65">
        <f t="shared" si="25"/>
        <v>0</v>
      </c>
    </row>
    <row r="195" spans="2:6">
      <c r="B195" s="64">
        <v>184</v>
      </c>
      <c r="C195" s="70">
        <f t="shared" si="22"/>
        <v>0</v>
      </c>
      <c r="D195" s="65">
        <f t="shared" si="23"/>
        <v>0</v>
      </c>
      <c r="E195" s="65">
        <f t="shared" si="24"/>
        <v>0</v>
      </c>
      <c r="F195" s="65">
        <f t="shared" si="25"/>
        <v>0</v>
      </c>
    </row>
    <row r="196" spans="2:6">
      <c r="B196" s="64">
        <v>185</v>
      </c>
      <c r="C196" s="70">
        <f t="shared" si="22"/>
        <v>0</v>
      </c>
      <c r="D196" s="65">
        <f t="shared" si="23"/>
        <v>0</v>
      </c>
      <c r="E196" s="65">
        <f t="shared" si="24"/>
        <v>0</v>
      </c>
      <c r="F196" s="65">
        <f t="shared" si="25"/>
        <v>0</v>
      </c>
    </row>
    <row r="197" spans="2:6">
      <c r="B197" s="64">
        <v>186</v>
      </c>
      <c r="C197" s="70">
        <f t="shared" si="22"/>
        <v>0</v>
      </c>
      <c r="D197" s="65">
        <f t="shared" si="23"/>
        <v>0</v>
      </c>
      <c r="E197" s="65">
        <f t="shared" si="24"/>
        <v>0</v>
      </c>
      <c r="F197" s="65">
        <f t="shared" si="25"/>
        <v>0</v>
      </c>
    </row>
    <row r="198" spans="2:6">
      <c r="B198" s="64">
        <v>187</v>
      </c>
      <c r="C198" s="70">
        <f t="shared" si="22"/>
        <v>0</v>
      </c>
      <c r="D198" s="65">
        <f t="shared" si="23"/>
        <v>0</v>
      </c>
      <c r="E198" s="65">
        <f t="shared" si="24"/>
        <v>0</v>
      </c>
      <c r="F198" s="65">
        <f t="shared" si="25"/>
        <v>0</v>
      </c>
    </row>
    <row r="199" spans="2:6">
      <c r="B199" s="64">
        <v>188</v>
      </c>
      <c r="C199" s="70">
        <f t="shared" si="22"/>
        <v>0</v>
      </c>
      <c r="D199" s="65">
        <f t="shared" si="23"/>
        <v>0</v>
      </c>
      <c r="E199" s="65">
        <f t="shared" si="24"/>
        <v>0</v>
      </c>
      <c r="F199" s="65">
        <f t="shared" si="25"/>
        <v>0</v>
      </c>
    </row>
    <row r="200" spans="2:6">
      <c r="B200" s="64">
        <v>189</v>
      </c>
      <c r="C200" s="70">
        <f t="shared" si="22"/>
        <v>0</v>
      </c>
      <c r="D200" s="65">
        <f t="shared" si="23"/>
        <v>0</v>
      </c>
      <c r="E200" s="65">
        <f t="shared" si="24"/>
        <v>0</v>
      </c>
      <c r="F200" s="65">
        <f t="shared" si="25"/>
        <v>0</v>
      </c>
    </row>
    <row r="201" spans="2:6">
      <c r="B201" s="64">
        <v>190</v>
      </c>
      <c r="C201" s="70">
        <f t="shared" si="22"/>
        <v>0</v>
      </c>
      <c r="D201" s="65">
        <f t="shared" si="23"/>
        <v>0</v>
      </c>
      <c r="E201" s="65">
        <f t="shared" si="24"/>
        <v>0</v>
      </c>
      <c r="F201" s="65">
        <f t="shared" si="25"/>
        <v>0</v>
      </c>
    </row>
    <row r="202" spans="2:6">
      <c r="B202" s="64">
        <v>191</v>
      </c>
      <c r="C202" s="70">
        <f t="shared" si="22"/>
        <v>0</v>
      </c>
      <c r="D202" s="65">
        <f t="shared" si="23"/>
        <v>0</v>
      </c>
      <c r="E202" s="65">
        <f t="shared" si="24"/>
        <v>0</v>
      </c>
      <c r="F202" s="65">
        <f t="shared" si="25"/>
        <v>0</v>
      </c>
    </row>
    <row r="203" spans="2:6">
      <c r="B203" s="64">
        <v>192</v>
      </c>
      <c r="C203" s="70">
        <f t="shared" si="22"/>
        <v>0</v>
      </c>
      <c r="D203" s="65">
        <f t="shared" si="23"/>
        <v>0</v>
      </c>
      <c r="E203" s="65">
        <f t="shared" si="24"/>
        <v>0</v>
      </c>
      <c r="F203" s="65">
        <f t="shared" si="25"/>
        <v>0</v>
      </c>
    </row>
    <row r="204" spans="2:6">
      <c r="B204" s="64">
        <v>193</v>
      </c>
      <c r="C204" s="70">
        <f t="shared" si="22"/>
        <v>0</v>
      </c>
      <c r="D204" s="65">
        <f t="shared" si="23"/>
        <v>0</v>
      </c>
      <c r="E204" s="65">
        <f t="shared" si="24"/>
        <v>0</v>
      </c>
      <c r="F204" s="65">
        <f t="shared" si="25"/>
        <v>0</v>
      </c>
    </row>
    <row r="205" spans="2:6">
      <c r="B205" s="64">
        <v>194</v>
      </c>
      <c r="C205" s="70">
        <f t="shared" si="22"/>
        <v>0</v>
      </c>
      <c r="D205" s="65">
        <f t="shared" si="23"/>
        <v>0</v>
      </c>
      <c r="E205" s="65">
        <f t="shared" si="24"/>
        <v>0</v>
      </c>
      <c r="F205" s="65">
        <f t="shared" si="25"/>
        <v>0</v>
      </c>
    </row>
    <row r="206" spans="2:6">
      <c r="B206" s="64">
        <v>195</v>
      </c>
      <c r="C206" s="70">
        <f t="shared" si="22"/>
        <v>0</v>
      </c>
      <c r="D206" s="65">
        <f t="shared" si="23"/>
        <v>0</v>
      </c>
      <c r="E206" s="65">
        <f t="shared" si="24"/>
        <v>0</v>
      </c>
      <c r="F206" s="65">
        <f t="shared" si="25"/>
        <v>0</v>
      </c>
    </row>
    <row r="207" spans="2:6">
      <c r="B207" s="64">
        <v>196</v>
      </c>
      <c r="C207" s="70">
        <f t="shared" si="22"/>
        <v>0</v>
      </c>
      <c r="D207" s="65">
        <f t="shared" si="23"/>
        <v>0</v>
      </c>
      <c r="E207" s="65">
        <f t="shared" si="24"/>
        <v>0</v>
      </c>
      <c r="F207" s="65">
        <f t="shared" si="25"/>
        <v>0</v>
      </c>
    </row>
    <row r="208" spans="2:6">
      <c r="B208" s="64">
        <v>197</v>
      </c>
      <c r="C208" s="70">
        <f t="shared" si="22"/>
        <v>0</v>
      </c>
      <c r="D208" s="65">
        <f t="shared" si="23"/>
        <v>0</v>
      </c>
      <c r="E208" s="65">
        <f t="shared" si="24"/>
        <v>0</v>
      </c>
      <c r="F208" s="65">
        <f t="shared" si="25"/>
        <v>0</v>
      </c>
    </row>
    <row r="209" spans="2:6">
      <c r="B209" s="64">
        <v>198</v>
      </c>
      <c r="C209" s="70">
        <f t="shared" si="22"/>
        <v>0</v>
      </c>
      <c r="D209" s="65">
        <f t="shared" si="23"/>
        <v>0</v>
      </c>
      <c r="E209" s="65">
        <f t="shared" si="24"/>
        <v>0</v>
      </c>
      <c r="F209" s="65">
        <f t="shared" si="25"/>
        <v>0</v>
      </c>
    </row>
    <row r="210" spans="2:6">
      <c r="B210" s="64">
        <v>199</v>
      </c>
      <c r="C210" s="70">
        <f t="shared" si="22"/>
        <v>0</v>
      </c>
      <c r="D210" s="65">
        <f t="shared" si="23"/>
        <v>0</v>
      </c>
      <c r="E210" s="65">
        <f t="shared" si="24"/>
        <v>0</v>
      </c>
      <c r="F210" s="65">
        <f t="shared" si="25"/>
        <v>0</v>
      </c>
    </row>
    <row r="211" spans="2:6">
      <c r="B211" s="64">
        <v>200</v>
      </c>
      <c r="C211" s="70">
        <f t="shared" si="22"/>
        <v>0</v>
      </c>
      <c r="D211" s="65">
        <f t="shared" si="23"/>
        <v>0</v>
      </c>
      <c r="E211" s="65">
        <f t="shared" si="24"/>
        <v>0</v>
      </c>
      <c r="F211" s="65">
        <f t="shared" si="25"/>
        <v>0</v>
      </c>
    </row>
    <row r="212" spans="2:6">
      <c r="B212" s="64">
        <v>201</v>
      </c>
      <c r="C212" s="70">
        <f t="shared" si="22"/>
        <v>0</v>
      </c>
      <c r="D212" s="65">
        <f t="shared" si="23"/>
        <v>0</v>
      </c>
      <c r="E212" s="65">
        <f t="shared" si="24"/>
        <v>0</v>
      </c>
      <c r="F212" s="65">
        <f t="shared" si="25"/>
        <v>0</v>
      </c>
    </row>
    <row r="213" spans="2:6">
      <c r="B213" s="64">
        <v>202</v>
      </c>
      <c r="C213" s="70">
        <f t="shared" si="22"/>
        <v>0</v>
      </c>
      <c r="D213" s="65">
        <f t="shared" si="23"/>
        <v>0</v>
      </c>
      <c r="E213" s="65">
        <f t="shared" si="24"/>
        <v>0</v>
      </c>
      <c r="F213" s="65">
        <f t="shared" si="25"/>
        <v>0</v>
      </c>
    </row>
    <row r="214" spans="2:6">
      <c r="B214" s="64">
        <v>203</v>
      </c>
      <c r="C214" s="70">
        <f t="shared" si="22"/>
        <v>0</v>
      </c>
      <c r="D214" s="65">
        <f t="shared" si="23"/>
        <v>0</v>
      </c>
      <c r="E214" s="65">
        <f t="shared" si="24"/>
        <v>0</v>
      </c>
      <c r="F214" s="65">
        <f t="shared" si="25"/>
        <v>0</v>
      </c>
    </row>
    <row r="215" spans="2:6">
      <c r="B215" s="64">
        <v>204</v>
      </c>
      <c r="C215" s="70">
        <f t="shared" si="22"/>
        <v>0</v>
      </c>
      <c r="D215" s="65">
        <f t="shared" si="23"/>
        <v>0</v>
      </c>
      <c r="E215" s="65">
        <f t="shared" si="24"/>
        <v>0</v>
      </c>
      <c r="F215" s="65">
        <f t="shared" si="25"/>
        <v>0</v>
      </c>
    </row>
    <row r="216" spans="2:6">
      <c r="B216" s="64">
        <v>205</v>
      </c>
      <c r="C216" s="70">
        <f t="shared" si="22"/>
        <v>0</v>
      </c>
      <c r="D216" s="65">
        <f t="shared" si="23"/>
        <v>0</v>
      </c>
      <c r="E216" s="65">
        <f t="shared" si="24"/>
        <v>0</v>
      </c>
      <c r="F216" s="65">
        <f t="shared" si="25"/>
        <v>0</v>
      </c>
    </row>
    <row r="217" spans="2:6">
      <c r="B217" s="64">
        <v>206</v>
      </c>
      <c r="C217" s="70">
        <f t="shared" si="22"/>
        <v>0</v>
      </c>
      <c r="D217" s="65">
        <f t="shared" si="23"/>
        <v>0</v>
      </c>
      <c r="E217" s="65">
        <f t="shared" si="24"/>
        <v>0</v>
      </c>
      <c r="F217" s="65">
        <f t="shared" si="25"/>
        <v>0</v>
      </c>
    </row>
    <row r="218" spans="2:6">
      <c r="B218" s="64">
        <v>207</v>
      </c>
      <c r="C218" s="70">
        <f t="shared" si="22"/>
        <v>0</v>
      </c>
      <c r="D218" s="65">
        <f t="shared" si="23"/>
        <v>0</v>
      </c>
      <c r="E218" s="65">
        <f t="shared" si="24"/>
        <v>0</v>
      </c>
      <c r="F218" s="65">
        <f t="shared" si="25"/>
        <v>0</v>
      </c>
    </row>
    <row r="219" spans="2:6">
      <c r="B219" s="64">
        <v>208</v>
      </c>
      <c r="C219" s="70">
        <f t="shared" si="22"/>
        <v>0</v>
      </c>
      <c r="D219" s="65">
        <f t="shared" si="23"/>
        <v>0</v>
      </c>
      <c r="E219" s="65">
        <f t="shared" si="24"/>
        <v>0</v>
      </c>
      <c r="F219" s="65">
        <f t="shared" si="25"/>
        <v>0</v>
      </c>
    </row>
    <row r="220" spans="2:6">
      <c r="B220" s="64">
        <v>209</v>
      </c>
      <c r="C220" s="70">
        <f t="shared" si="22"/>
        <v>0</v>
      </c>
      <c r="D220" s="65">
        <f t="shared" si="23"/>
        <v>0</v>
      </c>
      <c r="E220" s="65">
        <f t="shared" si="24"/>
        <v>0</v>
      </c>
      <c r="F220" s="65">
        <f t="shared" si="25"/>
        <v>0</v>
      </c>
    </row>
    <row r="221" spans="2:6">
      <c r="B221" s="64">
        <v>210</v>
      </c>
      <c r="C221" s="70">
        <f t="shared" si="22"/>
        <v>0</v>
      </c>
      <c r="D221" s="65">
        <f t="shared" si="23"/>
        <v>0</v>
      </c>
      <c r="E221" s="65">
        <f t="shared" si="24"/>
        <v>0</v>
      </c>
      <c r="F221" s="65">
        <f t="shared" si="25"/>
        <v>0</v>
      </c>
    </row>
    <row r="222" spans="2:6">
      <c r="B222" s="64">
        <v>211</v>
      </c>
      <c r="C222" s="70">
        <f t="shared" ref="C222:C285" si="26">IF(F221&gt;$C$6,$C$6,F221+D222)</f>
        <v>0</v>
      </c>
      <c r="D222" s="65">
        <f t="shared" ref="D222:D285" si="27">+$C$4*F221/12</f>
        <v>0</v>
      </c>
      <c r="E222" s="65">
        <f t="shared" ref="E222:E285" si="28">+C222-D222</f>
        <v>0</v>
      </c>
      <c r="F222" s="65">
        <f t="shared" ref="F222:F285" si="29">+F221-E222</f>
        <v>0</v>
      </c>
    </row>
    <row r="223" spans="2:6">
      <c r="B223" s="64">
        <v>212</v>
      </c>
      <c r="C223" s="70">
        <f t="shared" si="26"/>
        <v>0</v>
      </c>
      <c r="D223" s="65">
        <f t="shared" si="27"/>
        <v>0</v>
      </c>
      <c r="E223" s="65">
        <f t="shared" si="28"/>
        <v>0</v>
      </c>
      <c r="F223" s="65">
        <f t="shared" si="29"/>
        <v>0</v>
      </c>
    </row>
    <row r="224" spans="2:6">
      <c r="B224" s="64">
        <v>213</v>
      </c>
      <c r="C224" s="70">
        <f t="shared" si="26"/>
        <v>0</v>
      </c>
      <c r="D224" s="65">
        <f t="shared" si="27"/>
        <v>0</v>
      </c>
      <c r="E224" s="65">
        <f t="shared" si="28"/>
        <v>0</v>
      </c>
      <c r="F224" s="65">
        <f t="shared" si="29"/>
        <v>0</v>
      </c>
    </row>
    <row r="225" spans="2:6">
      <c r="B225" s="64">
        <v>214</v>
      </c>
      <c r="C225" s="70">
        <f t="shared" si="26"/>
        <v>0</v>
      </c>
      <c r="D225" s="65">
        <f t="shared" si="27"/>
        <v>0</v>
      </c>
      <c r="E225" s="65">
        <f t="shared" si="28"/>
        <v>0</v>
      </c>
      <c r="F225" s="65">
        <f t="shared" si="29"/>
        <v>0</v>
      </c>
    </row>
    <row r="226" spans="2:6">
      <c r="B226" s="64">
        <v>215</v>
      </c>
      <c r="C226" s="70">
        <f t="shared" si="26"/>
        <v>0</v>
      </c>
      <c r="D226" s="65">
        <f t="shared" si="27"/>
        <v>0</v>
      </c>
      <c r="E226" s="65">
        <f t="shared" si="28"/>
        <v>0</v>
      </c>
      <c r="F226" s="65">
        <f t="shared" si="29"/>
        <v>0</v>
      </c>
    </row>
    <row r="227" spans="2:6">
      <c r="B227" s="64">
        <v>216</v>
      </c>
      <c r="C227" s="70">
        <f t="shared" si="26"/>
        <v>0</v>
      </c>
      <c r="D227" s="65">
        <f t="shared" si="27"/>
        <v>0</v>
      </c>
      <c r="E227" s="65">
        <f t="shared" si="28"/>
        <v>0</v>
      </c>
      <c r="F227" s="65">
        <f t="shared" si="29"/>
        <v>0</v>
      </c>
    </row>
    <row r="228" spans="2:6">
      <c r="B228" s="64">
        <v>217</v>
      </c>
      <c r="C228" s="70">
        <f t="shared" si="26"/>
        <v>0</v>
      </c>
      <c r="D228" s="65">
        <f t="shared" si="27"/>
        <v>0</v>
      </c>
      <c r="E228" s="65">
        <f t="shared" si="28"/>
        <v>0</v>
      </c>
      <c r="F228" s="65">
        <f t="shared" si="29"/>
        <v>0</v>
      </c>
    </row>
    <row r="229" spans="2:6">
      <c r="B229" s="64">
        <v>218</v>
      </c>
      <c r="C229" s="70">
        <f t="shared" si="26"/>
        <v>0</v>
      </c>
      <c r="D229" s="65">
        <f t="shared" si="27"/>
        <v>0</v>
      </c>
      <c r="E229" s="65">
        <f t="shared" si="28"/>
        <v>0</v>
      </c>
      <c r="F229" s="65">
        <f t="shared" si="29"/>
        <v>0</v>
      </c>
    </row>
    <row r="230" spans="2:6">
      <c r="B230" s="64">
        <v>219</v>
      </c>
      <c r="C230" s="70">
        <f t="shared" si="26"/>
        <v>0</v>
      </c>
      <c r="D230" s="65">
        <f t="shared" si="27"/>
        <v>0</v>
      </c>
      <c r="E230" s="65">
        <f t="shared" si="28"/>
        <v>0</v>
      </c>
      <c r="F230" s="65">
        <f t="shared" si="29"/>
        <v>0</v>
      </c>
    </row>
    <row r="231" spans="2:6">
      <c r="B231" s="64">
        <v>220</v>
      </c>
      <c r="C231" s="70">
        <f t="shared" si="26"/>
        <v>0</v>
      </c>
      <c r="D231" s="65">
        <f t="shared" si="27"/>
        <v>0</v>
      </c>
      <c r="E231" s="65">
        <f t="shared" si="28"/>
        <v>0</v>
      </c>
      <c r="F231" s="65">
        <f t="shared" si="29"/>
        <v>0</v>
      </c>
    </row>
    <row r="232" spans="2:6">
      <c r="B232" s="64">
        <v>221</v>
      </c>
      <c r="C232" s="70">
        <f t="shared" si="26"/>
        <v>0</v>
      </c>
      <c r="D232" s="65">
        <f t="shared" si="27"/>
        <v>0</v>
      </c>
      <c r="E232" s="65">
        <f t="shared" si="28"/>
        <v>0</v>
      </c>
      <c r="F232" s="65">
        <f t="shared" si="29"/>
        <v>0</v>
      </c>
    </row>
    <row r="233" spans="2:6">
      <c r="B233" s="64">
        <v>222</v>
      </c>
      <c r="C233" s="70">
        <f t="shared" si="26"/>
        <v>0</v>
      </c>
      <c r="D233" s="65">
        <f t="shared" si="27"/>
        <v>0</v>
      </c>
      <c r="E233" s="65">
        <f t="shared" si="28"/>
        <v>0</v>
      </c>
      <c r="F233" s="65">
        <f t="shared" si="29"/>
        <v>0</v>
      </c>
    </row>
    <row r="234" spans="2:6">
      <c r="B234" s="64">
        <v>223</v>
      </c>
      <c r="C234" s="70">
        <f t="shared" si="26"/>
        <v>0</v>
      </c>
      <c r="D234" s="65">
        <f t="shared" si="27"/>
        <v>0</v>
      </c>
      <c r="E234" s="65">
        <f t="shared" si="28"/>
        <v>0</v>
      </c>
      <c r="F234" s="65">
        <f t="shared" si="29"/>
        <v>0</v>
      </c>
    </row>
    <row r="235" spans="2:6">
      <c r="B235" s="64">
        <v>224</v>
      </c>
      <c r="C235" s="70">
        <f t="shared" si="26"/>
        <v>0</v>
      </c>
      <c r="D235" s="65">
        <f t="shared" si="27"/>
        <v>0</v>
      </c>
      <c r="E235" s="65">
        <f t="shared" si="28"/>
        <v>0</v>
      </c>
      <c r="F235" s="65">
        <f t="shared" si="29"/>
        <v>0</v>
      </c>
    </row>
    <row r="236" spans="2:6">
      <c r="B236" s="64">
        <v>225</v>
      </c>
      <c r="C236" s="70">
        <f t="shared" si="26"/>
        <v>0</v>
      </c>
      <c r="D236" s="65">
        <f t="shared" si="27"/>
        <v>0</v>
      </c>
      <c r="E236" s="65">
        <f t="shared" si="28"/>
        <v>0</v>
      </c>
      <c r="F236" s="65">
        <f t="shared" si="29"/>
        <v>0</v>
      </c>
    </row>
    <row r="237" spans="2:6">
      <c r="B237" s="64">
        <v>226</v>
      </c>
      <c r="C237" s="70">
        <f t="shared" si="26"/>
        <v>0</v>
      </c>
      <c r="D237" s="65">
        <f t="shared" si="27"/>
        <v>0</v>
      </c>
      <c r="E237" s="65">
        <f t="shared" si="28"/>
        <v>0</v>
      </c>
      <c r="F237" s="65">
        <f t="shared" si="29"/>
        <v>0</v>
      </c>
    </row>
    <row r="238" spans="2:6">
      <c r="B238" s="64">
        <v>227</v>
      </c>
      <c r="C238" s="70">
        <f t="shared" si="26"/>
        <v>0</v>
      </c>
      <c r="D238" s="65">
        <f t="shared" si="27"/>
        <v>0</v>
      </c>
      <c r="E238" s="65">
        <f t="shared" si="28"/>
        <v>0</v>
      </c>
      <c r="F238" s="65">
        <f t="shared" si="29"/>
        <v>0</v>
      </c>
    </row>
    <row r="239" spans="2:6">
      <c r="B239" s="64">
        <v>228</v>
      </c>
      <c r="C239" s="70">
        <f t="shared" si="26"/>
        <v>0</v>
      </c>
      <c r="D239" s="65">
        <f t="shared" si="27"/>
        <v>0</v>
      </c>
      <c r="E239" s="65">
        <f t="shared" si="28"/>
        <v>0</v>
      </c>
      <c r="F239" s="65">
        <f t="shared" si="29"/>
        <v>0</v>
      </c>
    </row>
    <row r="240" spans="2:6">
      <c r="B240" s="64">
        <v>229</v>
      </c>
      <c r="C240" s="70">
        <f t="shared" si="26"/>
        <v>0</v>
      </c>
      <c r="D240" s="65">
        <f t="shared" si="27"/>
        <v>0</v>
      </c>
      <c r="E240" s="65">
        <f t="shared" si="28"/>
        <v>0</v>
      </c>
      <c r="F240" s="65">
        <f t="shared" si="29"/>
        <v>0</v>
      </c>
    </row>
    <row r="241" spans="2:6">
      <c r="B241" s="64">
        <v>230</v>
      </c>
      <c r="C241" s="70">
        <f t="shared" si="26"/>
        <v>0</v>
      </c>
      <c r="D241" s="65">
        <f t="shared" si="27"/>
        <v>0</v>
      </c>
      <c r="E241" s="65">
        <f t="shared" si="28"/>
        <v>0</v>
      </c>
      <c r="F241" s="65">
        <f t="shared" si="29"/>
        <v>0</v>
      </c>
    </row>
    <row r="242" spans="2:6">
      <c r="B242" s="64">
        <v>231</v>
      </c>
      <c r="C242" s="70">
        <f t="shared" si="26"/>
        <v>0</v>
      </c>
      <c r="D242" s="65">
        <f t="shared" si="27"/>
        <v>0</v>
      </c>
      <c r="E242" s="65">
        <f t="shared" si="28"/>
        <v>0</v>
      </c>
      <c r="F242" s="65">
        <f t="shared" si="29"/>
        <v>0</v>
      </c>
    </row>
    <row r="243" spans="2:6">
      <c r="B243" s="64">
        <v>232</v>
      </c>
      <c r="C243" s="70">
        <f t="shared" si="26"/>
        <v>0</v>
      </c>
      <c r="D243" s="65">
        <f t="shared" si="27"/>
        <v>0</v>
      </c>
      <c r="E243" s="65">
        <f t="shared" si="28"/>
        <v>0</v>
      </c>
      <c r="F243" s="65">
        <f t="shared" si="29"/>
        <v>0</v>
      </c>
    </row>
    <row r="244" spans="2:6">
      <c r="B244" s="64">
        <v>233</v>
      </c>
      <c r="C244" s="70">
        <f t="shared" si="26"/>
        <v>0</v>
      </c>
      <c r="D244" s="65">
        <f t="shared" si="27"/>
        <v>0</v>
      </c>
      <c r="E244" s="65">
        <f t="shared" si="28"/>
        <v>0</v>
      </c>
      <c r="F244" s="65">
        <f t="shared" si="29"/>
        <v>0</v>
      </c>
    </row>
    <row r="245" spans="2:6">
      <c r="B245" s="64">
        <v>234</v>
      </c>
      <c r="C245" s="70">
        <f t="shared" si="26"/>
        <v>0</v>
      </c>
      <c r="D245" s="65">
        <f t="shared" si="27"/>
        <v>0</v>
      </c>
      <c r="E245" s="65">
        <f t="shared" si="28"/>
        <v>0</v>
      </c>
      <c r="F245" s="65">
        <f t="shared" si="29"/>
        <v>0</v>
      </c>
    </row>
    <row r="246" spans="2:6">
      <c r="B246" s="64">
        <v>235</v>
      </c>
      <c r="C246" s="70">
        <f t="shared" si="26"/>
        <v>0</v>
      </c>
      <c r="D246" s="65">
        <f t="shared" si="27"/>
        <v>0</v>
      </c>
      <c r="E246" s="65">
        <f t="shared" si="28"/>
        <v>0</v>
      </c>
      <c r="F246" s="65">
        <f t="shared" si="29"/>
        <v>0</v>
      </c>
    </row>
    <row r="247" spans="2:6">
      <c r="B247" s="64">
        <v>236</v>
      </c>
      <c r="C247" s="70">
        <f t="shared" si="26"/>
        <v>0</v>
      </c>
      <c r="D247" s="65">
        <f t="shared" si="27"/>
        <v>0</v>
      </c>
      <c r="E247" s="65">
        <f t="shared" si="28"/>
        <v>0</v>
      </c>
      <c r="F247" s="65">
        <f t="shared" si="29"/>
        <v>0</v>
      </c>
    </row>
    <row r="248" spans="2:6">
      <c r="B248" s="64">
        <v>237</v>
      </c>
      <c r="C248" s="70">
        <f t="shared" si="26"/>
        <v>0</v>
      </c>
      <c r="D248" s="65">
        <f t="shared" si="27"/>
        <v>0</v>
      </c>
      <c r="E248" s="65">
        <f t="shared" si="28"/>
        <v>0</v>
      </c>
      <c r="F248" s="65">
        <f t="shared" si="29"/>
        <v>0</v>
      </c>
    </row>
    <row r="249" spans="2:6">
      <c r="B249" s="64">
        <v>238</v>
      </c>
      <c r="C249" s="70">
        <f t="shared" si="26"/>
        <v>0</v>
      </c>
      <c r="D249" s="65">
        <f t="shared" si="27"/>
        <v>0</v>
      </c>
      <c r="E249" s="65">
        <f t="shared" si="28"/>
        <v>0</v>
      </c>
      <c r="F249" s="65">
        <f t="shared" si="29"/>
        <v>0</v>
      </c>
    </row>
    <row r="250" spans="2:6">
      <c r="B250" s="64">
        <v>239</v>
      </c>
      <c r="C250" s="70">
        <f t="shared" si="26"/>
        <v>0</v>
      </c>
      <c r="D250" s="65">
        <f t="shared" si="27"/>
        <v>0</v>
      </c>
      <c r="E250" s="65">
        <f t="shared" si="28"/>
        <v>0</v>
      </c>
      <c r="F250" s="65">
        <f t="shared" si="29"/>
        <v>0</v>
      </c>
    </row>
    <row r="251" spans="2:6">
      <c r="B251" s="64">
        <v>240</v>
      </c>
      <c r="C251" s="70">
        <f t="shared" si="26"/>
        <v>0</v>
      </c>
      <c r="D251" s="65">
        <f t="shared" si="27"/>
        <v>0</v>
      </c>
      <c r="E251" s="65">
        <f t="shared" si="28"/>
        <v>0</v>
      </c>
      <c r="F251" s="65">
        <f t="shared" si="29"/>
        <v>0</v>
      </c>
    </row>
    <row r="252" spans="2:6">
      <c r="B252" s="64">
        <v>241</v>
      </c>
      <c r="C252" s="70">
        <f t="shared" si="26"/>
        <v>0</v>
      </c>
      <c r="D252" s="65">
        <f t="shared" si="27"/>
        <v>0</v>
      </c>
      <c r="E252" s="65">
        <f t="shared" si="28"/>
        <v>0</v>
      </c>
      <c r="F252" s="65">
        <f t="shared" si="29"/>
        <v>0</v>
      </c>
    </row>
    <row r="253" spans="2:6">
      <c r="B253" s="64">
        <v>242</v>
      </c>
      <c r="C253" s="70">
        <f t="shared" si="26"/>
        <v>0</v>
      </c>
      <c r="D253" s="65">
        <f t="shared" si="27"/>
        <v>0</v>
      </c>
      <c r="E253" s="65">
        <f t="shared" si="28"/>
        <v>0</v>
      </c>
      <c r="F253" s="65">
        <f t="shared" si="29"/>
        <v>0</v>
      </c>
    </row>
    <row r="254" spans="2:6">
      <c r="B254" s="64">
        <v>243</v>
      </c>
      <c r="C254" s="70">
        <f t="shared" si="26"/>
        <v>0</v>
      </c>
      <c r="D254" s="65">
        <f t="shared" si="27"/>
        <v>0</v>
      </c>
      <c r="E254" s="65">
        <f t="shared" si="28"/>
        <v>0</v>
      </c>
      <c r="F254" s="65">
        <f t="shared" si="29"/>
        <v>0</v>
      </c>
    </row>
    <row r="255" spans="2:6">
      <c r="B255" s="64">
        <v>244</v>
      </c>
      <c r="C255" s="70">
        <f t="shared" si="26"/>
        <v>0</v>
      </c>
      <c r="D255" s="65">
        <f t="shared" si="27"/>
        <v>0</v>
      </c>
      <c r="E255" s="65">
        <f t="shared" si="28"/>
        <v>0</v>
      </c>
      <c r="F255" s="65">
        <f t="shared" si="29"/>
        <v>0</v>
      </c>
    </row>
    <row r="256" spans="2:6">
      <c r="B256" s="64">
        <v>245</v>
      </c>
      <c r="C256" s="70">
        <f t="shared" si="26"/>
        <v>0</v>
      </c>
      <c r="D256" s="65">
        <f t="shared" si="27"/>
        <v>0</v>
      </c>
      <c r="E256" s="65">
        <f t="shared" si="28"/>
        <v>0</v>
      </c>
      <c r="F256" s="65">
        <f t="shared" si="29"/>
        <v>0</v>
      </c>
    </row>
    <row r="257" spans="2:6">
      <c r="B257" s="64">
        <v>246</v>
      </c>
      <c r="C257" s="70">
        <f t="shared" si="26"/>
        <v>0</v>
      </c>
      <c r="D257" s="65">
        <f t="shared" si="27"/>
        <v>0</v>
      </c>
      <c r="E257" s="65">
        <f t="shared" si="28"/>
        <v>0</v>
      </c>
      <c r="F257" s="65">
        <f t="shared" si="29"/>
        <v>0</v>
      </c>
    </row>
    <row r="258" spans="2:6">
      <c r="B258" s="64">
        <v>247</v>
      </c>
      <c r="C258" s="70">
        <f t="shared" si="26"/>
        <v>0</v>
      </c>
      <c r="D258" s="65">
        <f t="shared" si="27"/>
        <v>0</v>
      </c>
      <c r="E258" s="65">
        <f t="shared" si="28"/>
        <v>0</v>
      </c>
      <c r="F258" s="65">
        <f t="shared" si="29"/>
        <v>0</v>
      </c>
    </row>
    <row r="259" spans="2:6">
      <c r="B259" s="64">
        <v>248</v>
      </c>
      <c r="C259" s="70">
        <f t="shared" si="26"/>
        <v>0</v>
      </c>
      <c r="D259" s="65">
        <f t="shared" si="27"/>
        <v>0</v>
      </c>
      <c r="E259" s="65">
        <f t="shared" si="28"/>
        <v>0</v>
      </c>
      <c r="F259" s="65">
        <f t="shared" si="29"/>
        <v>0</v>
      </c>
    </row>
    <row r="260" spans="2:6">
      <c r="B260" s="64">
        <v>249</v>
      </c>
      <c r="C260" s="70">
        <f t="shared" si="26"/>
        <v>0</v>
      </c>
      <c r="D260" s="65">
        <f t="shared" si="27"/>
        <v>0</v>
      </c>
      <c r="E260" s="65">
        <f t="shared" si="28"/>
        <v>0</v>
      </c>
      <c r="F260" s="65">
        <f t="shared" si="29"/>
        <v>0</v>
      </c>
    </row>
    <row r="261" spans="2:6">
      <c r="B261" s="64">
        <v>250</v>
      </c>
      <c r="C261" s="70">
        <f t="shared" si="26"/>
        <v>0</v>
      </c>
      <c r="D261" s="65">
        <f t="shared" si="27"/>
        <v>0</v>
      </c>
      <c r="E261" s="65">
        <f t="shared" si="28"/>
        <v>0</v>
      </c>
      <c r="F261" s="65">
        <f t="shared" si="29"/>
        <v>0</v>
      </c>
    </row>
    <row r="262" spans="2:6">
      <c r="B262" s="64">
        <v>251</v>
      </c>
      <c r="C262" s="70">
        <f t="shared" si="26"/>
        <v>0</v>
      </c>
      <c r="D262" s="65">
        <f t="shared" si="27"/>
        <v>0</v>
      </c>
      <c r="E262" s="65">
        <f t="shared" si="28"/>
        <v>0</v>
      </c>
      <c r="F262" s="65">
        <f t="shared" si="29"/>
        <v>0</v>
      </c>
    </row>
    <row r="263" spans="2:6">
      <c r="B263" s="64">
        <v>252</v>
      </c>
      <c r="C263" s="70">
        <f t="shared" si="26"/>
        <v>0</v>
      </c>
      <c r="D263" s="65">
        <f t="shared" si="27"/>
        <v>0</v>
      </c>
      <c r="E263" s="65">
        <f t="shared" si="28"/>
        <v>0</v>
      </c>
      <c r="F263" s="65">
        <f t="shared" si="29"/>
        <v>0</v>
      </c>
    </row>
    <row r="264" spans="2:6">
      <c r="B264" s="64">
        <v>253</v>
      </c>
      <c r="C264" s="70">
        <f t="shared" si="26"/>
        <v>0</v>
      </c>
      <c r="D264" s="65">
        <f t="shared" si="27"/>
        <v>0</v>
      </c>
      <c r="E264" s="65">
        <f t="shared" si="28"/>
        <v>0</v>
      </c>
      <c r="F264" s="65">
        <f t="shared" si="29"/>
        <v>0</v>
      </c>
    </row>
    <row r="265" spans="2:6">
      <c r="B265" s="64">
        <v>254</v>
      </c>
      <c r="C265" s="70">
        <f t="shared" si="26"/>
        <v>0</v>
      </c>
      <c r="D265" s="65">
        <f t="shared" si="27"/>
        <v>0</v>
      </c>
      <c r="E265" s="65">
        <f t="shared" si="28"/>
        <v>0</v>
      </c>
      <c r="F265" s="65">
        <f t="shared" si="29"/>
        <v>0</v>
      </c>
    </row>
    <row r="266" spans="2:6">
      <c r="B266" s="64">
        <v>255</v>
      </c>
      <c r="C266" s="70">
        <f t="shared" si="26"/>
        <v>0</v>
      </c>
      <c r="D266" s="65">
        <f t="shared" si="27"/>
        <v>0</v>
      </c>
      <c r="E266" s="65">
        <f t="shared" si="28"/>
        <v>0</v>
      </c>
      <c r="F266" s="65">
        <f t="shared" si="29"/>
        <v>0</v>
      </c>
    </row>
    <row r="267" spans="2:6">
      <c r="B267" s="64">
        <v>256</v>
      </c>
      <c r="C267" s="70">
        <f t="shared" si="26"/>
        <v>0</v>
      </c>
      <c r="D267" s="65">
        <f t="shared" si="27"/>
        <v>0</v>
      </c>
      <c r="E267" s="65">
        <f t="shared" si="28"/>
        <v>0</v>
      </c>
      <c r="F267" s="65">
        <f t="shared" si="29"/>
        <v>0</v>
      </c>
    </row>
    <row r="268" spans="2:6">
      <c r="B268" s="64">
        <v>257</v>
      </c>
      <c r="C268" s="70">
        <f t="shared" si="26"/>
        <v>0</v>
      </c>
      <c r="D268" s="65">
        <f t="shared" si="27"/>
        <v>0</v>
      </c>
      <c r="E268" s="65">
        <f t="shared" si="28"/>
        <v>0</v>
      </c>
      <c r="F268" s="65">
        <f t="shared" si="29"/>
        <v>0</v>
      </c>
    </row>
    <row r="269" spans="2:6">
      <c r="B269" s="64">
        <v>258</v>
      </c>
      <c r="C269" s="70">
        <f t="shared" si="26"/>
        <v>0</v>
      </c>
      <c r="D269" s="65">
        <f t="shared" si="27"/>
        <v>0</v>
      </c>
      <c r="E269" s="65">
        <f t="shared" si="28"/>
        <v>0</v>
      </c>
      <c r="F269" s="65">
        <f t="shared" si="29"/>
        <v>0</v>
      </c>
    </row>
    <row r="270" spans="2:6">
      <c r="B270" s="64">
        <v>259</v>
      </c>
      <c r="C270" s="70">
        <f t="shared" si="26"/>
        <v>0</v>
      </c>
      <c r="D270" s="65">
        <f t="shared" si="27"/>
        <v>0</v>
      </c>
      <c r="E270" s="65">
        <f t="shared" si="28"/>
        <v>0</v>
      </c>
      <c r="F270" s="65">
        <f t="shared" si="29"/>
        <v>0</v>
      </c>
    </row>
    <row r="271" spans="2:6">
      <c r="B271" s="64">
        <v>260</v>
      </c>
      <c r="C271" s="70">
        <f t="shared" si="26"/>
        <v>0</v>
      </c>
      <c r="D271" s="65">
        <f t="shared" si="27"/>
        <v>0</v>
      </c>
      <c r="E271" s="65">
        <f t="shared" si="28"/>
        <v>0</v>
      </c>
      <c r="F271" s="65">
        <f t="shared" si="29"/>
        <v>0</v>
      </c>
    </row>
    <row r="272" spans="2:6">
      <c r="B272" s="64">
        <v>261</v>
      </c>
      <c r="C272" s="70">
        <f t="shared" si="26"/>
        <v>0</v>
      </c>
      <c r="D272" s="65">
        <f t="shared" si="27"/>
        <v>0</v>
      </c>
      <c r="E272" s="65">
        <f t="shared" si="28"/>
        <v>0</v>
      </c>
      <c r="F272" s="65">
        <f t="shared" si="29"/>
        <v>0</v>
      </c>
    </row>
    <row r="273" spans="2:6">
      <c r="B273" s="64">
        <v>262</v>
      </c>
      <c r="C273" s="70">
        <f t="shared" si="26"/>
        <v>0</v>
      </c>
      <c r="D273" s="65">
        <f t="shared" si="27"/>
        <v>0</v>
      </c>
      <c r="E273" s="65">
        <f t="shared" si="28"/>
        <v>0</v>
      </c>
      <c r="F273" s="65">
        <f t="shared" si="29"/>
        <v>0</v>
      </c>
    </row>
    <row r="274" spans="2:6">
      <c r="B274" s="64">
        <v>263</v>
      </c>
      <c r="C274" s="70">
        <f t="shared" si="26"/>
        <v>0</v>
      </c>
      <c r="D274" s="65">
        <f t="shared" si="27"/>
        <v>0</v>
      </c>
      <c r="E274" s="65">
        <f t="shared" si="28"/>
        <v>0</v>
      </c>
      <c r="F274" s="65">
        <f t="shared" si="29"/>
        <v>0</v>
      </c>
    </row>
    <row r="275" spans="2:6">
      <c r="B275" s="64">
        <v>264</v>
      </c>
      <c r="C275" s="70">
        <f t="shared" si="26"/>
        <v>0</v>
      </c>
      <c r="D275" s="65">
        <f t="shared" si="27"/>
        <v>0</v>
      </c>
      <c r="E275" s="65">
        <f t="shared" si="28"/>
        <v>0</v>
      </c>
      <c r="F275" s="65">
        <f t="shared" si="29"/>
        <v>0</v>
      </c>
    </row>
    <row r="276" spans="2:6">
      <c r="B276" s="64">
        <v>265</v>
      </c>
      <c r="C276" s="70">
        <f t="shared" si="26"/>
        <v>0</v>
      </c>
      <c r="D276" s="65">
        <f t="shared" si="27"/>
        <v>0</v>
      </c>
      <c r="E276" s="65">
        <f t="shared" si="28"/>
        <v>0</v>
      </c>
      <c r="F276" s="65">
        <f t="shared" si="29"/>
        <v>0</v>
      </c>
    </row>
    <row r="277" spans="2:6">
      <c r="B277" s="64">
        <v>266</v>
      </c>
      <c r="C277" s="70">
        <f t="shared" si="26"/>
        <v>0</v>
      </c>
      <c r="D277" s="65">
        <f t="shared" si="27"/>
        <v>0</v>
      </c>
      <c r="E277" s="65">
        <f t="shared" si="28"/>
        <v>0</v>
      </c>
      <c r="F277" s="65">
        <f t="shared" si="29"/>
        <v>0</v>
      </c>
    </row>
    <row r="278" spans="2:6">
      <c r="B278" s="64">
        <v>267</v>
      </c>
      <c r="C278" s="70">
        <f t="shared" si="26"/>
        <v>0</v>
      </c>
      <c r="D278" s="65">
        <f t="shared" si="27"/>
        <v>0</v>
      </c>
      <c r="E278" s="65">
        <f t="shared" si="28"/>
        <v>0</v>
      </c>
      <c r="F278" s="65">
        <f t="shared" si="29"/>
        <v>0</v>
      </c>
    </row>
    <row r="279" spans="2:6">
      <c r="B279" s="64">
        <v>268</v>
      </c>
      <c r="C279" s="70">
        <f t="shared" si="26"/>
        <v>0</v>
      </c>
      <c r="D279" s="65">
        <f t="shared" si="27"/>
        <v>0</v>
      </c>
      <c r="E279" s="65">
        <f t="shared" si="28"/>
        <v>0</v>
      </c>
      <c r="F279" s="65">
        <f t="shared" si="29"/>
        <v>0</v>
      </c>
    </row>
    <row r="280" spans="2:6">
      <c r="B280" s="64">
        <v>269</v>
      </c>
      <c r="C280" s="70">
        <f t="shared" si="26"/>
        <v>0</v>
      </c>
      <c r="D280" s="65">
        <f t="shared" si="27"/>
        <v>0</v>
      </c>
      <c r="E280" s="65">
        <f t="shared" si="28"/>
        <v>0</v>
      </c>
      <c r="F280" s="65">
        <f t="shared" si="29"/>
        <v>0</v>
      </c>
    </row>
    <row r="281" spans="2:6">
      <c r="B281" s="64">
        <v>270</v>
      </c>
      <c r="C281" s="70">
        <f t="shared" si="26"/>
        <v>0</v>
      </c>
      <c r="D281" s="65">
        <f t="shared" si="27"/>
        <v>0</v>
      </c>
      <c r="E281" s="65">
        <f t="shared" si="28"/>
        <v>0</v>
      </c>
      <c r="F281" s="65">
        <f t="shared" si="29"/>
        <v>0</v>
      </c>
    </row>
    <row r="282" spans="2:6">
      <c r="B282" s="64">
        <v>271</v>
      </c>
      <c r="C282" s="70">
        <f t="shared" si="26"/>
        <v>0</v>
      </c>
      <c r="D282" s="65">
        <f t="shared" si="27"/>
        <v>0</v>
      </c>
      <c r="E282" s="65">
        <f t="shared" si="28"/>
        <v>0</v>
      </c>
      <c r="F282" s="65">
        <f t="shared" si="29"/>
        <v>0</v>
      </c>
    </row>
    <row r="283" spans="2:6">
      <c r="B283" s="64">
        <v>272</v>
      </c>
      <c r="C283" s="70">
        <f t="shared" si="26"/>
        <v>0</v>
      </c>
      <c r="D283" s="65">
        <f t="shared" si="27"/>
        <v>0</v>
      </c>
      <c r="E283" s="65">
        <f t="shared" si="28"/>
        <v>0</v>
      </c>
      <c r="F283" s="65">
        <f t="shared" si="29"/>
        <v>0</v>
      </c>
    </row>
    <row r="284" spans="2:6">
      <c r="B284" s="64">
        <v>273</v>
      </c>
      <c r="C284" s="70">
        <f t="shared" si="26"/>
        <v>0</v>
      </c>
      <c r="D284" s="65">
        <f t="shared" si="27"/>
        <v>0</v>
      </c>
      <c r="E284" s="65">
        <f t="shared" si="28"/>
        <v>0</v>
      </c>
      <c r="F284" s="65">
        <f t="shared" si="29"/>
        <v>0</v>
      </c>
    </row>
    <row r="285" spans="2:6">
      <c r="B285" s="64">
        <v>274</v>
      </c>
      <c r="C285" s="70">
        <f t="shared" si="26"/>
        <v>0</v>
      </c>
      <c r="D285" s="65">
        <f t="shared" si="27"/>
        <v>0</v>
      </c>
      <c r="E285" s="65">
        <f t="shared" si="28"/>
        <v>0</v>
      </c>
      <c r="F285" s="65">
        <f t="shared" si="29"/>
        <v>0</v>
      </c>
    </row>
    <row r="286" spans="2:6">
      <c r="B286" s="64">
        <v>275</v>
      </c>
      <c r="C286" s="70">
        <f t="shared" ref="C286:C349" si="30">IF(F285&gt;$C$6,$C$6,F285+D286)</f>
        <v>0</v>
      </c>
      <c r="D286" s="65">
        <f t="shared" ref="D286:D349" si="31">+$C$4*F285/12</f>
        <v>0</v>
      </c>
      <c r="E286" s="65">
        <f t="shared" ref="E286:E349" si="32">+C286-D286</f>
        <v>0</v>
      </c>
      <c r="F286" s="65">
        <f t="shared" ref="F286:F349" si="33">+F285-E286</f>
        <v>0</v>
      </c>
    </row>
    <row r="287" spans="2:6">
      <c r="B287" s="64">
        <v>276</v>
      </c>
      <c r="C287" s="70">
        <f t="shared" si="30"/>
        <v>0</v>
      </c>
      <c r="D287" s="65">
        <f t="shared" si="31"/>
        <v>0</v>
      </c>
      <c r="E287" s="65">
        <f t="shared" si="32"/>
        <v>0</v>
      </c>
      <c r="F287" s="65">
        <f t="shared" si="33"/>
        <v>0</v>
      </c>
    </row>
    <row r="288" spans="2:6">
      <c r="B288" s="64">
        <v>277</v>
      </c>
      <c r="C288" s="70">
        <f t="shared" si="30"/>
        <v>0</v>
      </c>
      <c r="D288" s="65">
        <f t="shared" si="31"/>
        <v>0</v>
      </c>
      <c r="E288" s="65">
        <f t="shared" si="32"/>
        <v>0</v>
      </c>
      <c r="F288" s="65">
        <f t="shared" si="33"/>
        <v>0</v>
      </c>
    </row>
    <row r="289" spans="2:6">
      <c r="B289" s="64">
        <v>278</v>
      </c>
      <c r="C289" s="70">
        <f t="shared" si="30"/>
        <v>0</v>
      </c>
      <c r="D289" s="65">
        <f t="shared" si="31"/>
        <v>0</v>
      </c>
      <c r="E289" s="65">
        <f t="shared" si="32"/>
        <v>0</v>
      </c>
      <c r="F289" s="65">
        <f t="shared" si="33"/>
        <v>0</v>
      </c>
    </row>
    <row r="290" spans="2:6">
      <c r="B290" s="64">
        <v>279</v>
      </c>
      <c r="C290" s="70">
        <f t="shared" si="30"/>
        <v>0</v>
      </c>
      <c r="D290" s="65">
        <f t="shared" si="31"/>
        <v>0</v>
      </c>
      <c r="E290" s="65">
        <f t="shared" si="32"/>
        <v>0</v>
      </c>
      <c r="F290" s="65">
        <f t="shared" si="33"/>
        <v>0</v>
      </c>
    </row>
    <row r="291" spans="2:6">
      <c r="B291" s="64">
        <v>280</v>
      </c>
      <c r="C291" s="70">
        <f t="shared" si="30"/>
        <v>0</v>
      </c>
      <c r="D291" s="65">
        <f t="shared" si="31"/>
        <v>0</v>
      </c>
      <c r="E291" s="65">
        <f t="shared" si="32"/>
        <v>0</v>
      </c>
      <c r="F291" s="65">
        <f t="shared" si="33"/>
        <v>0</v>
      </c>
    </row>
    <row r="292" spans="2:6">
      <c r="B292" s="64">
        <v>281</v>
      </c>
      <c r="C292" s="70">
        <f t="shared" si="30"/>
        <v>0</v>
      </c>
      <c r="D292" s="65">
        <f t="shared" si="31"/>
        <v>0</v>
      </c>
      <c r="E292" s="65">
        <f t="shared" si="32"/>
        <v>0</v>
      </c>
      <c r="F292" s="65">
        <f t="shared" si="33"/>
        <v>0</v>
      </c>
    </row>
    <row r="293" spans="2:6">
      <c r="B293" s="64">
        <v>282</v>
      </c>
      <c r="C293" s="70">
        <f t="shared" si="30"/>
        <v>0</v>
      </c>
      <c r="D293" s="65">
        <f t="shared" si="31"/>
        <v>0</v>
      </c>
      <c r="E293" s="65">
        <f t="shared" si="32"/>
        <v>0</v>
      </c>
      <c r="F293" s="65">
        <f t="shared" si="33"/>
        <v>0</v>
      </c>
    </row>
    <row r="294" spans="2:6">
      <c r="B294" s="64">
        <v>283</v>
      </c>
      <c r="C294" s="70">
        <f t="shared" si="30"/>
        <v>0</v>
      </c>
      <c r="D294" s="65">
        <f t="shared" si="31"/>
        <v>0</v>
      </c>
      <c r="E294" s="65">
        <f t="shared" si="32"/>
        <v>0</v>
      </c>
      <c r="F294" s="65">
        <f t="shared" si="33"/>
        <v>0</v>
      </c>
    </row>
    <row r="295" spans="2:6">
      <c r="B295" s="64">
        <v>284</v>
      </c>
      <c r="C295" s="70">
        <f t="shared" si="30"/>
        <v>0</v>
      </c>
      <c r="D295" s="65">
        <f t="shared" si="31"/>
        <v>0</v>
      </c>
      <c r="E295" s="65">
        <f t="shared" si="32"/>
        <v>0</v>
      </c>
      <c r="F295" s="65">
        <f t="shared" si="33"/>
        <v>0</v>
      </c>
    </row>
    <row r="296" spans="2:6">
      <c r="B296" s="64">
        <v>285</v>
      </c>
      <c r="C296" s="70">
        <f t="shared" si="30"/>
        <v>0</v>
      </c>
      <c r="D296" s="65">
        <f t="shared" si="31"/>
        <v>0</v>
      </c>
      <c r="E296" s="65">
        <f t="shared" si="32"/>
        <v>0</v>
      </c>
      <c r="F296" s="65">
        <f t="shared" si="33"/>
        <v>0</v>
      </c>
    </row>
    <row r="297" spans="2:6">
      <c r="B297" s="64">
        <v>286</v>
      </c>
      <c r="C297" s="70">
        <f t="shared" si="30"/>
        <v>0</v>
      </c>
      <c r="D297" s="65">
        <f t="shared" si="31"/>
        <v>0</v>
      </c>
      <c r="E297" s="65">
        <f t="shared" si="32"/>
        <v>0</v>
      </c>
      <c r="F297" s="65">
        <f t="shared" si="33"/>
        <v>0</v>
      </c>
    </row>
    <row r="298" spans="2:6">
      <c r="B298" s="64">
        <v>287</v>
      </c>
      <c r="C298" s="70">
        <f t="shared" si="30"/>
        <v>0</v>
      </c>
      <c r="D298" s="65">
        <f t="shared" si="31"/>
        <v>0</v>
      </c>
      <c r="E298" s="65">
        <f t="shared" si="32"/>
        <v>0</v>
      </c>
      <c r="F298" s="65">
        <f t="shared" si="33"/>
        <v>0</v>
      </c>
    </row>
    <row r="299" spans="2:6">
      <c r="B299" s="64">
        <v>288</v>
      </c>
      <c r="C299" s="70">
        <f t="shared" si="30"/>
        <v>0</v>
      </c>
      <c r="D299" s="65">
        <f t="shared" si="31"/>
        <v>0</v>
      </c>
      <c r="E299" s="65">
        <f t="shared" si="32"/>
        <v>0</v>
      </c>
      <c r="F299" s="65">
        <f t="shared" si="33"/>
        <v>0</v>
      </c>
    </row>
    <row r="300" spans="2:6">
      <c r="B300" s="64">
        <v>289</v>
      </c>
      <c r="C300" s="70">
        <f t="shared" si="30"/>
        <v>0</v>
      </c>
      <c r="D300" s="65">
        <f t="shared" si="31"/>
        <v>0</v>
      </c>
      <c r="E300" s="65">
        <f t="shared" si="32"/>
        <v>0</v>
      </c>
      <c r="F300" s="65">
        <f t="shared" si="33"/>
        <v>0</v>
      </c>
    </row>
    <row r="301" spans="2:6">
      <c r="B301" s="64">
        <v>290</v>
      </c>
      <c r="C301" s="70">
        <f t="shared" si="30"/>
        <v>0</v>
      </c>
      <c r="D301" s="65">
        <f t="shared" si="31"/>
        <v>0</v>
      </c>
      <c r="E301" s="65">
        <f t="shared" si="32"/>
        <v>0</v>
      </c>
      <c r="F301" s="65">
        <f t="shared" si="33"/>
        <v>0</v>
      </c>
    </row>
    <row r="302" spans="2:6">
      <c r="B302" s="64">
        <v>291</v>
      </c>
      <c r="C302" s="70">
        <f t="shared" si="30"/>
        <v>0</v>
      </c>
      <c r="D302" s="65">
        <f t="shared" si="31"/>
        <v>0</v>
      </c>
      <c r="E302" s="65">
        <f t="shared" si="32"/>
        <v>0</v>
      </c>
      <c r="F302" s="65">
        <f t="shared" si="33"/>
        <v>0</v>
      </c>
    </row>
    <row r="303" spans="2:6">
      <c r="B303" s="64">
        <v>292</v>
      </c>
      <c r="C303" s="70">
        <f t="shared" si="30"/>
        <v>0</v>
      </c>
      <c r="D303" s="65">
        <f t="shared" si="31"/>
        <v>0</v>
      </c>
      <c r="E303" s="65">
        <f t="shared" si="32"/>
        <v>0</v>
      </c>
      <c r="F303" s="65">
        <f t="shared" si="33"/>
        <v>0</v>
      </c>
    </row>
    <row r="304" spans="2:6">
      <c r="B304" s="64">
        <v>293</v>
      </c>
      <c r="C304" s="70">
        <f t="shared" si="30"/>
        <v>0</v>
      </c>
      <c r="D304" s="65">
        <f t="shared" si="31"/>
        <v>0</v>
      </c>
      <c r="E304" s="65">
        <f t="shared" si="32"/>
        <v>0</v>
      </c>
      <c r="F304" s="65">
        <f t="shared" si="33"/>
        <v>0</v>
      </c>
    </row>
    <row r="305" spans="2:6">
      <c r="B305" s="64">
        <v>294</v>
      </c>
      <c r="C305" s="70">
        <f t="shared" si="30"/>
        <v>0</v>
      </c>
      <c r="D305" s="65">
        <f t="shared" si="31"/>
        <v>0</v>
      </c>
      <c r="E305" s="65">
        <f t="shared" si="32"/>
        <v>0</v>
      </c>
      <c r="F305" s="65">
        <f t="shared" si="33"/>
        <v>0</v>
      </c>
    </row>
    <row r="306" spans="2:6">
      <c r="B306" s="64">
        <v>295</v>
      </c>
      <c r="C306" s="70">
        <f t="shared" si="30"/>
        <v>0</v>
      </c>
      <c r="D306" s="65">
        <f t="shared" si="31"/>
        <v>0</v>
      </c>
      <c r="E306" s="65">
        <f t="shared" si="32"/>
        <v>0</v>
      </c>
      <c r="F306" s="65">
        <f t="shared" si="33"/>
        <v>0</v>
      </c>
    </row>
    <row r="307" spans="2:6">
      <c r="B307" s="64">
        <v>296</v>
      </c>
      <c r="C307" s="70">
        <f t="shared" si="30"/>
        <v>0</v>
      </c>
      <c r="D307" s="65">
        <f t="shared" si="31"/>
        <v>0</v>
      </c>
      <c r="E307" s="65">
        <f t="shared" si="32"/>
        <v>0</v>
      </c>
      <c r="F307" s="65">
        <f t="shared" si="33"/>
        <v>0</v>
      </c>
    </row>
    <row r="308" spans="2:6">
      <c r="B308" s="64">
        <v>297</v>
      </c>
      <c r="C308" s="70">
        <f t="shared" si="30"/>
        <v>0</v>
      </c>
      <c r="D308" s="65">
        <f t="shared" si="31"/>
        <v>0</v>
      </c>
      <c r="E308" s="65">
        <f t="shared" si="32"/>
        <v>0</v>
      </c>
      <c r="F308" s="65">
        <f t="shared" si="33"/>
        <v>0</v>
      </c>
    </row>
    <row r="309" spans="2:6">
      <c r="B309" s="64">
        <v>298</v>
      </c>
      <c r="C309" s="70">
        <f t="shared" si="30"/>
        <v>0</v>
      </c>
      <c r="D309" s="65">
        <f t="shared" si="31"/>
        <v>0</v>
      </c>
      <c r="E309" s="65">
        <f t="shared" si="32"/>
        <v>0</v>
      </c>
      <c r="F309" s="65">
        <f t="shared" si="33"/>
        <v>0</v>
      </c>
    </row>
    <row r="310" spans="2:6">
      <c r="B310" s="64">
        <v>299</v>
      </c>
      <c r="C310" s="70">
        <f t="shared" si="30"/>
        <v>0</v>
      </c>
      <c r="D310" s="65">
        <f t="shared" si="31"/>
        <v>0</v>
      </c>
      <c r="E310" s="65">
        <f t="shared" si="32"/>
        <v>0</v>
      </c>
      <c r="F310" s="65">
        <f t="shared" si="33"/>
        <v>0</v>
      </c>
    </row>
    <row r="311" spans="2:6">
      <c r="B311" s="64">
        <v>300</v>
      </c>
      <c r="C311" s="70">
        <f t="shared" si="30"/>
        <v>0</v>
      </c>
      <c r="D311" s="65">
        <f t="shared" si="31"/>
        <v>0</v>
      </c>
      <c r="E311" s="65">
        <f t="shared" si="32"/>
        <v>0</v>
      </c>
      <c r="F311" s="65">
        <f t="shared" si="33"/>
        <v>0</v>
      </c>
    </row>
    <row r="312" spans="2:6">
      <c r="B312" s="64">
        <v>301</v>
      </c>
      <c r="C312" s="70">
        <f t="shared" si="30"/>
        <v>0</v>
      </c>
      <c r="D312" s="65">
        <f t="shared" si="31"/>
        <v>0</v>
      </c>
      <c r="E312" s="65">
        <f t="shared" si="32"/>
        <v>0</v>
      </c>
      <c r="F312" s="65">
        <f t="shared" si="33"/>
        <v>0</v>
      </c>
    </row>
    <row r="313" spans="2:6">
      <c r="B313" s="64">
        <v>302</v>
      </c>
      <c r="C313" s="70">
        <f t="shared" si="30"/>
        <v>0</v>
      </c>
      <c r="D313" s="65">
        <f t="shared" si="31"/>
        <v>0</v>
      </c>
      <c r="E313" s="65">
        <f t="shared" si="32"/>
        <v>0</v>
      </c>
      <c r="F313" s="65">
        <f t="shared" si="33"/>
        <v>0</v>
      </c>
    </row>
    <row r="314" spans="2:6">
      <c r="B314" s="64">
        <v>303</v>
      </c>
      <c r="C314" s="70">
        <f t="shared" si="30"/>
        <v>0</v>
      </c>
      <c r="D314" s="65">
        <f t="shared" si="31"/>
        <v>0</v>
      </c>
      <c r="E314" s="65">
        <f t="shared" si="32"/>
        <v>0</v>
      </c>
      <c r="F314" s="65">
        <f t="shared" si="33"/>
        <v>0</v>
      </c>
    </row>
    <row r="315" spans="2:6">
      <c r="B315" s="64">
        <v>304</v>
      </c>
      <c r="C315" s="70">
        <f t="shared" si="30"/>
        <v>0</v>
      </c>
      <c r="D315" s="65">
        <f t="shared" si="31"/>
        <v>0</v>
      </c>
      <c r="E315" s="65">
        <f t="shared" si="32"/>
        <v>0</v>
      </c>
      <c r="F315" s="65">
        <f t="shared" si="33"/>
        <v>0</v>
      </c>
    </row>
    <row r="316" spans="2:6">
      <c r="B316" s="64">
        <v>305</v>
      </c>
      <c r="C316" s="70">
        <f t="shared" si="30"/>
        <v>0</v>
      </c>
      <c r="D316" s="65">
        <f t="shared" si="31"/>
        <v>0</v>
      </c>
      <c r="E316" s="65">
        <f t="shared" si="32"/>
        <v>0</v>
      </c>
      <c r="F316" s="65">
        <f t="shared" si="33"/>
        <v>0</v>
      </c>
    </row>
    <row r="317" spans="2:6">
      <c r="B317" s="64">
        <v>306</v>
      </c>
      <c r="C317" s="70">
        <f t="shared" si="30"/>
        <v>0</v>
      </c>
      <c r="D317" s="65">
        <f t="shared" si="31"/>
        <v>0</v>
      </c>
      <c r="E317" s="65">
        <f t="shared" si="32"/>
        <v>0</v>
      </c>
      <c r="F317" s="65">
        <f t="shared" si="33"/>
        <v>0</v>
      </c>
    </row>
    <row r="318" spans="2:6">
      <c r="B318" s="64">
        <v>307</v>
      </c>
      <c r="C318" s="70">
        <f t="shared" si="30"/>
        <v>0</v>
      </c>
      <c r="D318" s="65">
        <f t="shared" si="31"/>
        <v>0</v>
      </c>
      <c r="E318" s="65">
        <f t="shared" si="32"/>
        <v>0</v>
      </c>
      <c r="F318" s="65">
        <f t="shared" si="33"/>
        <v>0</v>
      </c>
    </row>
    <row r="319" spans="2:6">
      <c r="B319" s="64">
        <v>308</v>
      </c>
      <c r="C319" s="70">
        <f t="shared" si="30"/>
        <v>0</v>
      </c>
      <c r="D319" s="65">
        <f t="shared" si="31"/>
        <v>0</v>
      </c>
      <c r="E319" s="65">
        <f t="shared" si="32"/>
        <v>0</v>
      </c>
      <c r="F319" s="65">
        <f t="shared" si="33"/>
        <v>0</v>
      </c>
    </row>
    <row r="320" spans="2:6">
      <c r="B320" s="64">
        <v>309</v>
      </c>
      <c r="C320" s="70">
        <f t="shared" si="30"/>
        <v>0</v>
      </c>
      <c r="D320" s="65">
        <f t="shared" si="31"/>
        <v>0</v>
      </c>
      <c r="E320" s="65">
        <f t="shared" si="32"/>
        <v>0</v>
      </c>
      <c r="F320" s="65">
        <f t="shared" si="33"/>
        <v>0</v>
      </c>
    </row>
    <row r="321" spans="2:6">
      <c r="B321" s="64">
        <v>310</v>
      </c>
      <c r="C321" s="70">
        <f t="shared" si="30"/>
        <v>0</v>
      </c>
      <c r="D321" s="65">
        <f t="shared" si="31"/>
        <v>0</v>
      </c>
      <c r="E321" s="65">
        <f t="shared" si="32"/>
        <v>0</v>
      </c>
      <c r="F321" s="65">
        <f t="shared" si="33"/>
        <v>0</v>
      </c>
    </row>
    <row r="322" spans="2:6">
      <c r="B322" s="64">
        <v>311</v>
      </c>
      <c r="C322" s="70">
        <f t="shared" si="30"/>
        <v>0</v>
      </c>
      <c r="D322" s="65">
        <f t="shared" si="31"/>
        <v>0</v>
      </c>
      <c r="E322" s="65">
        <f t="shared" si="32"/>
        <v>0</v>
      </c>
      <c r="F322" s="65">
        <f t="shared" si="33"/>
        <v>0</v>
      </c>
    </row>
    <row r="323" spans="2:6">
      <c r="B323" s="64">
        <v>312</v>
      </c>
      <c r="C323" s="70">
        <f t="shared" si="30"/>
        <v>0</v>
      </c>
      <c r="D323" s="65">
        <f t="shared" si="31"/>
        <v>0</v>
      </c>
      <c r="E323" s="65">
        <f t="shared" si="32"/>
        <v>0</v>
      </c>
      <c r="F323" s="65">
        <f t="shared" si="33"/>
        <v>0</v>
      </c>
    </row>
    <row r="324" spans="2:6">
      <c r="B324" s="64">
        <v>313</v>
      </c>
      <c r="C324" s="70">
        <f t="shared" si="30"/>
        <v>0</v>
      </c>
      <c r="D324" s="65">
        <f t="shared" si="31"/>
        <v>0</v>
      </c>
      <c r="E324" s="65">
        <f t="shared" si="32"/>
        <v>0</v>
      </c>
      <c r="F324" s="65">
        <f t="shared" si="33"/>
        <v>0</v>
      </c>
    </row>
    <row r="325" spans="2:6">
      <c r="B325" s="64">
        <v>314</v>
      </c>
      <c r="C325" s="70">
        <f t="shared" si="30"/>
        <v>0</v>
      </c>
      <c r="D325" s="65">
        <f t="shared" si="31"/>
        <v>0</v>
      </c>
      <c r="E325" s="65">
        <f t="shared" si="32"/>
        <v>0</v>
      </c>
      <c r="F325" s="65">
        <f t="shared" si="33"/>
        <v>0</v>
      </c>
    </row>
    <row r="326" spans="2:6">
      <c r="B326" s="64">
        <v>315</v>
      </c>
      <c r="C326" s="70">
        <f t="shared" si="30"/>
        <v>0</v>
      </c>
      <c r="D326" s="65">
        <f t="shared" si="31"/>
        <v>0</v>
      </c>
      <c r="E326" s="65">
        <f t="shared" si="32"/>
        <v>0</v>
      </c>
      <c r="F326" s="65">
        <f t="shared" si="33"/>
        <v>0</v>
      </c>
    </row>
    <row r="327" spans="2:6">
      <c r="B327" s="64">
        <v>316</v>
      </c>
      <c r="C327" s="70">
        <f t="shared" si="30"/>
        <v>0</v>
      </c>
      <c r="D327" s="65">
        <f t="shared" si="31"/>
        <v>0</v>
      </c>
      <c r="E327" s="65">
        <f t="shared" si="32"/>
        <v>0</v>
      </c>
      <c r="F327" s="65">
        <f t="shared" si="33"/>
        <v>0</v>
      </c>
    </row>
    <row r="328" spans="2:6">
      <c r="B328" s="64">
        <v>317</v>
      </c>
      <c r="C328" s="70">
        <f t="shared" si="30"/>
        <v>0</v>
      </c>
      <c r="D328" s="65">
        <f t="shared" si="31"/>
        <v>0</v>
      </c>
      <c r="E328" s="65">
        <f t="shared" si="32"/>
        <v>0</v>
      </c>
      <c r="F328" s="65">
        <f t="shared" si="33"/>
        <v>0</v>
      </c>
    </row>
    <row r="329" spans="2:6">
      <c r="B329" s="64">
        <v>318</v>
      </c>
      <c r="C329" s="70">
        <f t="shared" si="30"/>
        <v>0</v>
      </c>
      <c r="D329" s="65">
        <f t="shared" si="31"/>
        <v>0</v>
      </c>
      <c r="E329" s="65">
        <f t="shared" si="32"/>
        <v>0</v>
      </c>
      <c r="F329" s="65">
        <f t="shared" si="33"/>
        <v>0</v>
      </c>
    </row>
    <row r="330" spans="2:6">
      <c r="B330" s="64">
        <v>319</v>
      </c>
      <c r="C330" s="70">
        <f t="shared" si="30"/>
        <v>0</v>
      </c>
      <c r="D330" s="65">
        <f t="shared" si="31"/>
        <v>0</v>
      </c>
      <c r="E330" s="65">
        <f t="shared" si="32"/>
        <v>0</v>
      </c>
      <c r="F330" s="65">
        <f t="shared" si="33"/>
        <v>0</v>
      </c>
    </row>
    <row r="331" spans="2:6">
      <c r="B331" s="64">
        <v>320</v>
      </c>
      <c r="C331" s="70">
        <f t="shared" si="30"/>
        <v>0</v>
      </c>
      <c r="D331" s="65">
        <f t="shared" si="31"/>
        <v>0</v>
      </c>
      <c r="E331" s="65">
        <f t="shared" si="32"/>
        <v>0</v>
      </c>
      <c r="F331" s="65">
        <f t="shared" si="33"/>
        <v>0</v>
      </c>
    </row>
    <row r="332" spans="2:6">
      <c r="B332" s="64">
        <v>321</v>
      </c>
      <c r="C332" s="70">
        <f t="shared" si="30"/>
        <v>0</v>
      </c>
      <c r="D332" s="65">
        <f t="shared" si="31"/>
        <v>0</v>
      </c>
      <c r="E332" s="65">
        <f t="shared" si="32"/>
        <v>0</v>
      </c>
      <c r="F332" s="65">
        <f t="shared" si="33"/>
        <v>0</v>
      </c>
    </row>
    <row r="333" spans="2:6">
      <c r="B333" s="64">
        <v>322</v>
      </c>
      <c r="C333" s="70">
        <f t="shared" si="30"/>
        <v>0</v>
      </c>
      <c r="D333" s="65">
        <f t="shared" si="31"/>
        <v>0</v>
      </c>
      <c r="E333" s="65">
        <f t="shared" si="32"/>
        <v>0</v>
      </c>
      <c r="F333" s="65">
        <f t="shared" si="33"/>
        <v>0</v>
      </c>
    </row>
    <row r="334" spans="2:6">
      <c r="B334" s="64">
        <v>323</v>
      </c>
      <c r="C334" s="70">
        <f t="shared" si="30"/>
        <v>0</v>
      </c>
      <c r="D334" s="65">
        <f t="shared" si="31"/>
        <v>0</v>
      </c>
      <c r="E334" s="65">
        <f t="shared" si="32"/>
        <v>0</v>
      </c>
      <c r="F334" s="65">
        <f t="shared" si="33"/>
        <v>0</v>
      </c>
    </row>
    <row r="335" spans="2:6">
      <c r="B335" s="64">
        <v>324</v>
      </c>
      <c r="C335" s="70">
        <f t="shared" si="30"/>
        <v>0</v>
      </c>
      <c r="D335" s="65">
        <f t="shared" si="31"/>
        <v>0</v>
      </c>
      <c r="E335" s="65">
        <f t="shared" si="32"/>
        <v>0</v>
      </c>
      <c r="F335" s="65">
        <f t="shared" si="33"/>
        <v>0</v>
      </c>
    </row>
    <row r="336" spans="2:6">
      <c r="B336" s="64">
        <v>325</v>
      </c>
      <c r="C336" s="70">
        <f t="shared" si="30"/>
        <v>0</v>
      </c>
      <c r="D336" s="65">
        <f t="shared" si="31"/>
        <v>0</v>
      </c>
      <c r="E336" s="65">
        <f t="shared" si="32"/>
        <v>0</v>
      </c>
      <c r="F336" s="65">
        <f t="shared" si="33"/>
        <v>0</v>
      </c>
    </row>
    <row r="337" spans="2:6">
      <c r="B337" s="64">
        <v>326</v>
      </c>
      <c r="C337" s="70">
        <f t="shared" si="30"/>
        <v>0</v>
      </c>
      <c r="D337" s="65">
        <f t="shared" si="31"/>
        <v>0</v>
      </c>
      <c r="E337" s="65">
        <f t="shared" si="32"/>
        <v>0</v>
      </c>
      <c r="F337" s="65">
        <f t="shared" si="33"/>
        <v>0</v>
      </c>
    </row>
    <row r="338" spans="2:6">
      <c r="B338" s="64">
        <v>327</v>
      </c>
      <c r="C338" s="70">
        <f t="shared" si="30"/>
        <v>0</v>
      </c>
      <c r="D338" s="65">
        <f t="shared" si="31"/>
        <v>0</v>
      </c>
      <c r="E338" s="65">
        <f t="shared" si="32"/>
        <v>0</v>
      </c>
      <c r="F338" s="65">
        <f t="shared" si="33"/>
        <v>0</v>
      </c>
    </row>
    <row r="339" spans="2:6">
      <c r="B339" s="64">
        <v>328</v>
      </c>
      <c r="C339" s="70">
        <f t="shared" si="30"/>
        <v>0</v>
      </c>
      <c r="D339" s="65">
        <f t="shared" si="31"/>
        <v>0</v>
      </c>
      <c r="E339" s="65">
        <f t="shared" si="32"/>
        <v>0</v>
      </c>
      <c r="F339" s="65">
        <f t="shared" si="33"/>
        <v>0</v>
      </c>
    </row>
    <row r="340" spans="2:6">
      <c r="B340" s="64">
        <v>329</v>
      </c>
      <c r="C340" s="70">
        <f t="shared" si="30"/>
        <v>0</v>
      </c>
      <c r="D340" s="65">
        <f t="shared" si="31"/>
        <v>0</v>
      </c>
      <c r="E340" s="65">
        <f t="shared" si="32"/>
        <v>0</v>
      </c>
      <c r="F340" s="65">
        <f t="shared" si="33"/>
        <v>0</v>
      </c>
    </row>
    <row r="341" spans="2:6">
      <c r="B341" s="64">
        <v>330</v>
      </c>
      <c r="C341" s="70">
        <f t="shared" si="30"/>
        <v>0</v>
      </c>
      <c r="D341" s="65">
        <f t="shared" si="31"/>
        <v>0</v>
      </c>
      <c r="E341" s="65">
        <f t="shared" si="32"/>
        <v>0</v>
      </c>
      <c r="F341" s="65">
        <f t="shared" si="33"/>
        <v>0</v>
      </c>
    </row>
    <row r="342" spans="2:6">
      <c r="B342" s="64">
        <v>331</v>
      </c>
      <c r="C342" s="70">
        <f t="shared" si="30"/>
        <v>0</v>
      </c>
      <c r="D342" s="65">
        <f t="shared" si="31"/>
        <v>0</v>
      </c>
      <c r="E342" s="65">
        <f t="shared" si="32"/>
        <v>0</v>
      </c>
      <c r="F342" s="65">
        <f t="shared" si="33"/>
        <v>0</v>
      </c>
    </row>
    <row r="343" spans="2:6">
      <c r="B343" s="64">
        <v>332</v>
      </c>
      <c r="C343" s="70">
        <f t="shared" si="30"/>
        <v>0</v>
      </c>
      <c r="D343" s="65">
        <f t="shared" si="31"/>
        <v>0</v>
      </c>
      <c r="E343" s="65">
        <f t="shared" si="32"/>
        <v>0</v>
      </c>
      <c r="F343" s="65">
        <f t="shared" si="33"/>
        <v>0</v>
      </c>
    </row>
    <row r="344" spans="2:6">
      <c r="B344" s="64">
        <v>333</v>
      </c>
      <c r="C344" s="70">
        <f t="shared" si="30"/>
        <v>0</v>
      </c>
      <c r="D344" s="65">
        <f t="shared" si="31"/>
        <v>0</v>
      </c>
      <c r="E344" s="65">
        <f t="shared" si="32"/>
        <v>0</v>
      </c>
      <c r="F344" s="65">
        <f t="shared" si="33"/>
        <v>0</v>
      </c>
    </row>
    <row r="345" spans="2:6">
      <c r="B345" s="64">
        <v>334</v>
      </c>
      <c r="C345" s="70">
        <f t="shared" si="30"/>
        <v>0</v>
      </c>
      <c r="D345" s="65">
        <f t="shared" si="31"/>
        <v>0</v>
      </c>
      <c r="E345" s="65">
        <f t="shared" si="32"/>
        <v>0</v>
      </c>
      <c r="F345" s="65">
        <f t="shared" si="33"/>
        <v>0</v>
      </c>
    </row>
    <row r="346" spans="2:6">
      <c r="B346" s="64">
        <v>335</v>
      </c>
      <c r="C346" s="70">
        <f t="shared" si="30"/>
        <v>0</v>
      </c>
      <c r="D346" s="65">
        <f t="shared" si="31"/>
        <v>0</v>
      </c>
      <c r="E346" s="65">
        <f t="shared" si="32"/>
        <v>0</v>
      </c>
      <c r="F346" s="65">
        <f t="shared" si="33"/>
        <v>0</v>
      </c>
    </row>
    <row r="347" spans="2:6">
      <c r="B347" s="64">
        <v>336</v>
      </c>
      <c r="C347" s="70">
        <f t="shared" si="30"/>
        <v>0</v>
      </c>
      <c r="D347" s="65">
        <f t="shared" si="31"/>
        <v>0</v>
      </c>
      <c r="E347" s="65">
        <f t="shared" si="32"/>
        <v>0</v>
      </c>
      <c r="F347" s="65">
        <f t="shared" si="33"/>
        <v>0</v>
      </c>
    </row>
    <row r="348" spans="2:6">
      <c r="B348" s="64">
        <v>337</v>
      </c>
      <c r="C348" s="70">
        <f t="shared" si="30"/>
        <v>0</v>
      </c>
      <c r="D348" s="65">
        <f t="shared" si="31"/>
        <v>0</v>
      </c>
      <c r="E348" s="65">
        <f t="shared" si="32"/>
        <v>0</v>
      </c>
      <c r="F348" s="65">
        <f t="shared" si="33"/>
        <v>0</v>
      </c>
    </row>
    <row r="349" spans="2:6">
      <c r="B349" s="64">
        <v>338</v>
      </c>
      <c r="C349" s="70">
        <f t="shared" si="30"/>
        <v>0</v>
      </c>
      <c r="D349" s="65">
        <f t="shared" si="31"/>
        <v>0</v>
      </c>
      <c r="E349" s="65">
        <f t="shared" si="32"/>
        <v>0</v>
      </c>
      <c r="F349" s="65">
        <f t="shared" si="33"/>
        <v>0</v>
      </c>
    </row>
    <row r="350" spans="2:6">
      <c r="B350" s="64">
        <v>339</v>
      </c>
      <c r="C350" s="70">
        <f t="shared" ref="C350:C413" si="34">IF(F349&gt;$C$6,$C$6,F349+D350)</f>
        <v>0</v>
      </c>
      <c r="D350" s="65">
        <f t="shared" ref="D350:D413" si="35">+$C$4*F349/12</f>
        <v>0</v>
      </c>
      <c r="E350" s="65">
        <f t="shared" ref="E350:E413" si="36">+C350-D350</f>
        <v>0</v>
      </c>
      <c r="F350" s="65">
        <f t="shared" ref="F350:F413" si="37">+F349-E350</f>
        <v>0</v>
      </c>
    </row>
    <row r="351" spans="2:6">
      <c r="B351" s="64">
        <v>340</v>
      </c>
      <c r="C351" s="70">
        <f t="shared" si="34"/>
        <v>0</v>
      </c>
      <c r="D351" s="65">
        <f t="shared" si="35"/>
        <v>0</v>
      </c>
      <c r="E351" s="65">
        <f t="shared" si="36"/>
        <v>0</v>
      </c>
      <c r="F351" s="65">
        <f t="shared" si="37"/>
        <v>0</v>
      </c>
    </row>
    <row r="352" spans="2:6">
      <c r="B352" s="64">
        <v>341</v>
      </c>
      <c r="C352" s="70">
        <f t="shared" si="34"/>
        <v>0</v>
      </c>
      <c r="D352" s="65">
        <f t="shared" si="35"/>
        <v>0</v>
      </c>
      <c r="E352" s="65">
        <f t="shared" si="36"/>
        <v>0</v>
      </c>
      <c r="F352" s="65">
        <f t="shared" si="37"/>
        <v>0</v>
      </c>
    </row>
    <row r="353" spans="2:6">
      <c r="B353" s="64">
        <v>342</v>
      </c>
      <c r="C353" s="70">
        <f t="shared" si="34"/>
        <v>0</v>
      </c>
      <c r="D353" s="65">
        <f t="shared" si="35"/>
        <v>0</v>
      </c>
      <c r="E353" s="65">
        <f t="shared" si="36"/>
        <v>0</v>
      </c>
      <c r="F353" s="65">
        <f t="shared" si="37"/>
        <v>0</v>
      </c>
    </row>
    <row r="354" spans="2:6">
      <c r="B354" s="64">
        <v>343</v>
      </c>
      <c r="C354" s="70">
        <f t="shared" si="34"/>
        <v>0</v>
      </c>
      <c r="D354" s="65">
        <f t="shared" si="35"/>
        <v>0</v>
      </c>
      <c r="E354" s="65">
        <f t="shared" si="36"/>
        <v>0</v>
      </c>
      <c r="F354" s="65">
        <f t="shared" si="37"/>
        <v>0</v>
      </c>
    </row>
    <row r="355" spans="2:6">
      <c r="B355" s="64">
        <v>344</v>
      </c>
      <c r="C355" s="70">
        <f t="shared" si="34"/>
        <v>0</v>
      </c>
      <c r="D355" s="65">
        <f t="shared" si="35"/>
        <v>0</v>
      </c>
      <c r="E355" s="65">
        <f t="shared" si="36"/>
        <v>0</v>
      </c>
      <c r="F355" s="65">
        <f t="shared" si="37"/>
        <v>0</v>
      </c>
    </row>
    <row r="356" spans="2:6">
      <c r="B356" s="64">
        <v>345</v>
      </c>
      <c r="C356" s="70">
        <f t="shared" si="34"/>
        <v>0</v>
      </c>
      <c r="D356" s="65">
        <f t="shared" si="35"/>
        <v>0</v>
      </c>
      <c r="E356" s="65">
        <f t="shared" si="36"/>
        <v>0</v>
      </c>
      <c r="F356" s="65">
        <f t="shared" si="37"/>
        <v>0</v>
      </c>
    </row>
    <row r="357" spans="2:6">
      <c r="B357" s="64">
        <v>346</v>
      </c>
      <c r="C357" s="70">
        <f t="shared" si="34"/>
        <v>0</v>
      </c>
      <c r="D357" s="65">
        <f t="shared" si="35"/>
        <v>0</v>
      </c>
      <c r="E357" s="65">
        <f t="shared" si="36"/>
        <v>0</v>
      </c>
      <c r="F357" s="65">
        <f t="shared" si="37"/>
        <v>0</v>
      </c>
    </row>
    <row r="358" spans="2:6">
      <c r="B358" s="64">
        <v>347</v>
      </c>
      <c r="C358" s="70">
        <f t="shared" si="34"/>
        <v>0</v>
      </c>
      <c r="D358" s="65">
        <f t="shared" si="35"/>
        <v>0</v>
      </c>
      <c r="E358" s="65">
        <f t="shared" si="36"/>
        <v>0</v>
      </c>
      <c r="F358" s="65">
        <f t="shared" si="37"/>
        <v>0</v>
      </c>
    </row>
    <row r="359" spans="2:6">
      <c r="B359" s="64">
        <v>348</v>
      </c>
      <c r="C359" s="70">
        <f t="shared" si="34"/>
        <v>0</v>
      </c>
      <c r="D359" s="65">
        <f t="shared" si="35"/>
        <v>0</v>
      </c>
      <c r="E359" s="65">
        <f t="shared" si="36"/>
        <v>0</v>
      </c>
      <c r="F359" s="65">
        <f t="shared" si="37"/>
        <v>0</v>
      </c>
    </row>
    <row r="360" spans="2:6">
      <c r="B360" s="64">
        <v>349</v>
      </c>
      <c r="C360" s="70">
        <f t="shared" si="34"/>
        <v>0</v>
      </c>
      <c r="D360" s="65">
        <f t="shared" si="35"/>
        <v>0</v>
      </c>
      <c r="E360" s="65">
        <f t="shared" si="36"/>
        <v>0</v>
      </c>
      <c r="F360" s="65">
        <f t="shared" si="37"/>
        <v>0</v>
      </c>
    </row>
    <row r="361" spans="2:6">
      <c r="B361" s="64">
        <v>350</v>
      </c>
      <c r="C361" s="70">
        <f t="shared" si="34"/>
        <v>0</v>
      </c>
      <c r="D361" s="65">
        <f t="shared" si="35"/>
        <v>0</v>
      </c>
      <c r="E361" s="65">
        <f t="shared" si="36"/>
        <v>0</v>
      </c>
      <c r="F361" s="65">
        <f t="shared" si="37"/>
        <v>0</v>
      </c>
    </row>
    <row r="362" spans="2:6">
      <c r="B362" s="64">
        <v>351</v>
      </c>
      <c r="C362" s="70">
        <f t="shared" si="34"/>
        <v>0</v>
      </c>
      <c r="D362" s="65">
        <f t="shared" si="35"/>
        <v>0</v>
      </c>
      <c r="E362" s="65">
        <f t="shared" si="36"/>
        <v>0</v>
      </c>
      <c r="F362" s="65">
        <f t="shared" si="37"/>
        <v>0</v>
      </c>
    </row>
    <row r="363" spans="2:6">
      <c r="B363" s="64">
        <v>352</v>
      </c>
      <c r="C363" s="70">
        <f t="shared" si="34"/>
        <v>0</v>
      </c>
      <c r="D363" s="65">
        <f t="shared" si="35"/>
        <v>0</v>
      </c>
      <c r="E363" s="65">
        <f t="shared" si="36"/>
        <v>0</v>
      </c>
      <c r="F363" s="65">
        <f t="shared" si="37"/>
        <v>0</v>
      </c>
    </row>
    <row r="364" spans="2:6">
      <c r="B364" s="64">
        <v>353</v>
      </c>
      <c r="C364" s="70">
        <f t="shared" si="34"/>
        <v>0</v>
      </c>
      <c r="D364" s="65">
        <f t="shared" si="35"/>
        <v>0</v>
      </c>
      <c r="E364" s="65">
        <f t="shared" si="36"/>
        <v>0</v>
      </c>
      <c r="F364" s="65">
        <f t="shared" si="37"/>
        <v>0</v>
      </c>
    </row>
    <row r="365" spans="2:6">
      <c r="B365" s="64">
        <v>354</v>
      </c>
      <c r="C365" s="70">
        <f t="shared" si="34"/>
        <v>0</v>
      </c>
      <c r="D365" s="65">
        <f t="shared" si="35"/>
        <v>0</v>
      </c>
      <c r="E365" s="65">
        <f t="shared" si="36"/>
        <v>0</v>
      </c>
      <c r="F365" s="65">
        <f t="shared" si="37"/>
        <v>0</v>
      </c>
    </row>
    <row r="366" spans="2:6">
      <c r="B366" s="64">
        <v>355</v>
      </c>
      <c r="C366" s="70">
        <f t="shared" si="34"/>
        <v>0</v>
      </c>
      <c r="D366" s="65">
        <f t="shared" si="35"/>
        <v>0</v>
      </c>
      <c r="E366" s="65">
        <f t="shared" si="36"/>
        <v>0</v>
      </c>
      <c r="F366" s="65">
        <f t="shared" si="37"/>
        <v>0</v>
      </c>
    </row>
    <row r="367" spans="2:6">
      <c r="B367" s="64">
        <v>356</v>
      </c>
      <c r="C367" s="70">
        <f t="shared" si="34"/>
        <v>0</v>
      </c>
      <c r="D367" s="65">
        <f t="shared" si="35"/>
        <v>0</v>
      </c>
      <c r="E367" s="65">
        <f t="shared" si="36"/>
        <v>0</v>
      </c>
      <c r="F367" s="65">
        <f t="shared" si="37"/>
        <v>0</v>
      </c>
    </row>
    <row r="368" spans="2:6">
      <c r="B368" s="64">
        <v>357</v>
      </c>
      <c r="C368" s="70">
        <f t="shared" si="34"/>
        <v>0</v>
      </c>
      <c r="D368" s="65">
        <f t="shared" si="35"/>
        <v>0</v>
      </c>
      <c r="E368" s="65">
        <f t="shared" si="36"/>
        <v>0</v>
      </c>
      <c r="F368" s="65">
        <f t="shared" si="37"/>
        <v>0</v>
      </c>
    </row>
    <row r="369" spans="2:6">
      <c r="B369" s="64">
        <v>358</v>
      </c>
      <c r="C369" s="70">
        <f t="shared" si="34"/>
        <v>0</v>
      </c>
      <c r="D369" s="65">
        <f t="shared" si="35"/>
        <v>0</v>
      </c>
      <c r="E369" s="65">
        <f t="shared" si="36"/>
        <v>0</v>
      </c>
      <c r="F369" s="65">
        <f t="shared" si="37"/>
        <v>0</v>
      </c>
    </row>
    <row r="370" spans="2:6">
      <c r="B370" s="64">
        <v>359</v>
      </c>
      <c r="C370" s="70">
        <f t="shared" si="34"/>
        <v>0</v>
      </c>
      <c r="D370" s="65">
        <f t="shared" si="35"/>
        <v>0</v>
      </c>
      <c r="E370" s="65">
        <f t="shared" si="36"/>
        <v>0</v>
      </c>
      <c r="F370" s="65">
        <f t="shared" si="37"/>
        <v>0</v>
      </c>
    </row>
    <row r="371" spans="2:6">
      <c r="B371" s="64">
        <v>360</v>
      </c>
      <c r="C371" s="70">
        <f t="shared" si="34"/>
        <v>0</v>
      </c>
      <c r="D371" s="65">
        <f t="shared" si="35"/>
        <v>0</v>
      </c>
      <c r="E371" s="65">
        <f t="shared" si="36"/>
        <v>0</v>
      </c>
      <c r="F371" s="65">
        <f t="shared" si="37"/>
        <v>0</v>
      </c>
    </row>
    <row r="372" spans="2:6">
      <c r="B372" s="64">
        <v>361</v>
      </c>
      <c r="C372" s="70">
        <f t="shared" si="34"/>
        <v>0</v>
      </c>
      <c r="D372" s="65">
        <f t="shared" si="35"/>
        <v>0</v>
      </c>
      <c r="E372" s="65">
        <f t="shared" si="36"/>
        <v>0</v>
      </c>
      <c r="F372" s="65">
        <f t="shared" si="37"/>
        <v>0</v>
      </c>
    </row>
    <row r="373" spans="2:6">
      <c r="B373" s="64">
        <v>362</v>
      </c>
      <c r="C373" s="70">
        <f t="shared" si="34"/>
        <v>0</v>
      </c>
      <c r="D373" s="65">
        <f t="shared" si="35"/>
        <v>0</v>
      </c>
      <c r="E373" s="65">
        <f t="shared" si="36"/>
        <v>0</v>
      </c>
      <c r="F373" s="65">
        <f t="shared" si="37"/>
        <v>0</v>
      </c>
    </row>
    <row r="374" spans="2:6">
      <c r="B374" s="64">
        <v>363</v>
      </c>
      <c r="C374" s="70">
        <f t="shared" si="34"/>
        <v>0</v>
      </c>
      <c r="D374" s="65">
        <f t="shared" si="35"/>
        <v>0</v>
      </c>
      <c r="E374" s="65">
        <f t="shared" si="36"/>
        <v>0</v>
      </c>
      <c r="F374" s="65">
        <f t="shared" si="37"/>
        <v>0</v>
      </c>
    </row>
    <row r="375" spans="2:6">
      <c r="B375" s="64">
        <v>364</v>
      </c>
      <c r="C375" s="70">
        <f t="shared" si="34"/>
        <v>0</v>
      </c>
      <c r="D375" s="65">
        <f t="shared" si="35"/>
        <v>0</v>
      </c>
      <c r="E375" s="65">
        <f t="shared" si="36"/>
        <v>0</v>
      </c>
      <c r="F375" s="65">
        <f t="shared" si="37"/>
        <v>0</v>
      </c>
    </row>
    <row r="376" spans="2:6">
      <c r="B376" s="64">
        <v>365</v>
      </c>
      <c r="C376" s="70">
        <f t="shared" si="34"/>
        <v>0</v>
      </c>
      <c r="D376" s="65">
        <f t="shared" si="35"/>
        <v>0</v>
      </c>
      <c r="E376" s="65">
        <f t="shared" si="36"/>
        <v>0</v>
      </c>
      <c r="F376" s="65">
        <f t="shared" si="37"/>
        <v>0</v>
      </c>
    </row>
    <row r="377" spans="2:6">
      <c r="B377" s="64">
        <v>366</v>
      </c>
      <c r="C377" s="70">
        <f t="shared" si="34"/>
        <v>0</v>
      </c>
      <c r="D377" s="65">
        <f t="shared" si="35"/>
        <v>0</v>
      </c>
      <c r="E377" s="65">
        <f t="shared" si="36"/>
        <v>0</v>
      </c>
      <c r="F377" s="65">
        <f t="shared" si="37"/>
        <v>0</v>
      </c>
    </row>
    <row r="378" spans="2:6">
      <c r="B378" s="64">
        <v>367</v>
      </c>
      <c r="C378" s="70">
        <f t="shared" si="34"/>
        <v>0</v>
      </c>
      <c r="D378" s="65">
        <f t="shared" si="35"/>
        <v>0</v>
      </c>
      <c r="E378" s="65">
        <f t="shared" si="36"/>
        <v>0</v>
      </c>
      <c r="F378" s="65">
        <f t="shared" si="37"/>
        <v>0</v>
      </c>
    </row>
    <row r="379" spans="2:6">
      <c r="B379" s="64">
        <v>368</v>
      </c>
      <c r="C379" s="70">
        <f t="shared" si="34"/>
        <v>0</v>
      </c>
      <c r="D379" s="65">
        <f t="shared" si="35"/>
        <v>0</v>
      </c>
      <c r="E379" s="65">
        <f t="shared" si="36"/>
        <v>0</v>
      </c>
      <c r="F379" s="65">
        <f t="shared" si="37"/>
        <v>0</v>
      </c>
    </row>
    <row r="380" spans="2:6">
      <c r="B380" s="64">
        <v>369</v>
      </c>
      <c r="C380" s="70">
        <f t="shared" si="34"/>
        <v>0</v>
      </c>
      <c r="D380" s="65">
        <f t="shared" si="35"/>
        <v>0</v>
      </c>
      <c r="E380" s="65">
        <f t="shared" si="36"/>
        <v>0</v>
      </c>
      <c r="F380" s="65">
        <f t="shared" si="37"/>
        <v>0</v>
      </c>
    </row>
    <row r="381" spans="2:6">
      <c r="B381" s="64">
        <v>370</v>
      </c>
      <c r="C381" s="70">
        <f t="shared" si="34"/>
        <v>0</v>
      </c>
      <c r="D381" s="65">
        <f t="shared" si="35"/>
        <v>0</v>
      </c>
      <c r="E381" s="65">
        <f t="shared" si="36"/>
        <v>0</v>
      </c>
      <c r="F381" s="65">
        <f t="shared" si="37"/>
        <v>0</v>
      </c>
    </row>
    <row r="382" spans="2:6">
      <c r="B382" s="64">
        <v>371</v>
      </c>
      <c r="C382" s="70">
        <f t="shared" si="34"/>
        <v>0</v>
      </c>
      <c r="D382" s="65">
        <f t="shared" si="35"/>
        <v>0</v>
      </c>
      <c r="E382" s="65">
        <f t="shared" si="36"/>
        <v>0</v>
      </c>
      <c r="F382" s="65">
        <f t="shared" si="37"/>
        <v>0</v>
      </c>
    </row>
    <row r="383" spans="2:6">
      <c r="B383" s="64">
        <v>372</v>
      </c>
      <c r="C383" s="70">
        <f t="shared" si="34"/>
        <v>0</v>
      </c>
      <c r="D383" s="65">
        <f t="shared" si="35"/>
        <v>0</v>
      </c>
      <c r="E383" s="65">
        <f t="shared" si="36"/>
        <v>0</v>
      </c>
      <c r="F383" s="65">
        <f t="shared" si="37"/>
        <v>0</v>
      </c>
    </row>
    <row r="384" spans="2:6">
      <c r="B384" s="64">
        <v>373</v>
      </c>
      <c r="C384" s="70">
        <f t="shared" si="34"/>
        <v>0</v>
      </c>
      <c r="D384" s="65">
        <f t="shared" si="35"/>
        <v>0</v>
      </c>
      <c r="E384" s="65">
        <f t="shared" si="36"/>
        <v>0</v>
      </c>
      <c r="F384" s="65">
        <f t="shared" si="37"/>
        <v>0</v>
      </c>
    </row>
    <row r="385" spans="2:6">
      <c r="B385" s="64">
        <v>374</v>
      </c>
      <c r="C385" s="70">
        <f t="shared" si="34"/>
        <v>0</v>
      </c>
      <c r="D385" s="65">
        <f t="shared" si="35"/>
        <v>0</v>
      </c>
      <c r="E385" s="65">
        <f t="shared" si="36"/>
        <v>0</v>
      </c>
      <c r="F385" s="65">
        <f t="shared" si="37"/>
        <v>0</v>
      </c>
    </row>
    <row r="386" spans="2:6">
      <c r="B386" s="64">
        <v>375</v>
      </c>
      <c r="C386" s="70">
        <f t="shared" si="34"/>
        <v>0</v>
      </c>
      <c r="D386" s="65">
        <f t="shared" si="35"/>
        <v>0</v>
      </c>
      <c r="E386" s="65">
        <f t="shared" si="36"/>
        <v>0</v>
      </c>
      <c r="F386" s="65">
        <f t="shared" si="37"/>
        <v>0</v>
      </c>
    </row>
    <row r="387" spans="2:6">
      <c r="B387" s="64">
        <v>376</v>
      </c>
      <c r="C387" s="70">
        <f t="shared" si="34"/>
        <v>0</v>
      </c>
      <c r="D387" s="65">
        <f t="shared" si="35"/>
        <v>0</v>
      </c>
      <c r="E387" s="65">
        <f t="shared" si="36"/>
        <v>0</v>
      </c>
      <c r="F387" s="65">
        <f t="shared" si="37"/>
        <v>0</v>
      </c>
    </row>
    <row r="388" spans="2:6">
      <c r="B388" s="64">
        <v>377</v>
      </c>
      <c r="C388" s="70">
        <f t="shared" si="34"/>
        <v>0</v>
      </c>
      <c r="D388" s="65">
        <f t="shared" si="35"/>
        <v>0</v>
      </c>
      <c r="E388" s="65">
        <f t="shared" si="36"/>
        <v>0</v>
      </c>
      <c r="F388" s="65">
        <f t="shared" si="37"/>
        <v>0</v>
      </c>
    </row>
    <row r="389" spans="2:6">
      <c r="B389" s="64">
        <v>378</v>
      </c>
      <c r="C389" s="70">
        <f t="shared" si="34"/>
        <v>0</v>
      </c>
      <c r="D389" s="65">
        <f t="shared" si="35"/>
        <v>0</v>
      </c>
      <c r="E389" s="65">
        <f t="shared" si="36"/>
        <v>0</v>
      </c>
      <c r="F389" s="65">
        <f t="shared" si="37"/>
        <v>0</v>
      </c>
    </row>
    <row r="390" spans="2:6">
      <c r="B390" s="64">
        <v>379</v>
      </c>
      <c r="C390" s="70">
        <f t="shared" si="34"/>
        <v>0</v>
      </c>
      <c r="D390" s="65">
        <f t="shared" si="35"/>
        <v>0</v>
      </c>
      <c r="E390" s="65">
        <f t="shared" si="36"/>
        <v>0</v>
      </c>
      <c r="F390" s="65">
        <f t="shared" si="37"/>
        <v>0</v>
      </c>
    </row>
    <row r="391" spans="2:6">
      <c r="B391" s="64">
        <v>380</v>
      </c>
      <c r="C391" s="70">
        <f t="shared" si="34"/>
        <v>0</v>
      </c>
      <c r="D391" s="65">
        <f t="shared" si="35"/>
        <v>0</v>
      </c>
      <c r="E391" s="65">
        <f t="shared" si="36"/>
        <v>0</v>
      </c>
      <c r="F391" s="65">
        <f t="shared" si="37"/>
        <v>0</v>
      </c>
    </row>
    <row r="392" spans="2:6">
      <c r="B392" s="64">
        <v>381</v>
      </c>
      <c r="C392" s="70">
        <f t="shared" si="34"/>
        <v>0</v>
      </c>
      <c r="D392" s="65">
        <f t="shared" si="35"/>
        <v>0</v>
      </c>
      <c r="E392" s="65">
        <f t="shared" si="36"/>
        <v>0</v>
      </c>
      <c r="F392" s="65">
        <f t="shared" si="37"/>
        <v>0</v>
      </c>
    </row>
    <row r="393" spans="2:6">
      <c r="B393" s="64">
        <v>382</v>
      </c>
      <c r="C393" s="70">
        <f t="shared" si="34"/>
        <v>0</v>
      </c>
      <c r="D393" s="65">
        <f t="shared" si="35"/>
        <v>0</v>
      </c>
      <c r="E393" s="65">
        <f t="shared" si="36"/>
        <v>0</v>
      </c>
      <c r="F393" s="65">
        <f t="shared" si="37"/>
        <v>0</v>
      </c>
    </row>
    <row r="394" spans="2:6">
      <c r="B394" s="64">
        <v>383</v>
      </c>
      <c r="C394" s="70">
        <f t="shared" si="34"/>
        <v>0</v>
      </c>
      <c r="D394" s="65">
        <f t="shared" si="35"/>
        <v>0</v>
      </c>
      <c r="E394" s="65">
        <f t="shared" si="36"/>
        <v>0</v>
      </c>
      <c r="F394" s="65">
        <f t="shared" si="37"/>
        <v>0</v>
      </c>
    </row>
    <row r="395" spans="2:6">
      <c r="B395" s="64">
        <v>384</v>
      </c>
      <c r="C395" s="70">
        <f t="shared" si="34"/>
        <v>0</v>
      </c>
      <c r="D395" s="65">
        <f t="shared" si="35"/>
        <v>0</v>
      </c>
      <c r="E395" s="65">
        <f t="shared" si="36"/>
        <v>0</v>
      </c>
      <c r="F395" s="65">
        <f t="shared" si="37"/>
        <v>0</v>
      </c>
    </row>
    <row r="396" spans="2:6">
      <c r="B396" s="64">
        <v>385</v>
      </c>
      <c r="C396" s="70">
        <f t="shared" si="34"/>
        <v>0</v>
      </c>
      <c r="D396" s="65">
        <f t="shared" si="35"/>
        <v>0</v>
      </c>
      <c r="E396" s="65">
        <f t="shared" si="36"/>
        <v>0</v>
      </c>
      <c r="F396" s="65">
        <f t="shared" si="37"/>
        <v>0</v>
      </c>
    </row>
    <row r="397" spans="2:6">
      <c r="B397" s="64">
        <v>386</v>
      </c>
      <c r="C397" s="70">
        <f t="shared" si="34"/>
        <v>0</v>
      </c>
      <c r="D397" s="65">
        <f t="shared" si="35"/>
        <v>0</v>
      </c>
      <c r="E397" s="65">
        <f t="shared" si="36"/>
        <v>0</v>
      </c>
      <c r="F397" s="65">
        <f t="shared" si="37"/>
        <v>0</v>
      </c>
    </row>
    <row r="398" spans="2:6">
      <c r="B398" s="64">
        <v>387</v>
      </c>
      <c r="C398" s="70">
        <f t="shared" si="34"/>
        <v>0</v>
      </c>
      <c r="D398" s="65">
        <f t="shared" si="35"/>
        <v>0</v>
      </c>
      <c r="E398" s="65">
        <f t="shared" si="36"/>
        <v>0</v>
      </c>
      <c r="F398" s="65">
        <f t="shared" si="37"/>
        <v>0</v>
      </c>
    </row>
    <row r="399" spans="2:6">
      <c r="B399" s="64">
        <v>388</v>
      </c>
      <c r="C399" s="70">
        <f t="shared" si="34"/>
        <v>0</v>
      </c>
      <c r="D399" s="65">
        <f t="shared" si="35"/>
        <v>0</v>
      </c>
      <c r="E399" s="65">
        <f t="shared" si="36"/>
        <v>0</v>
      </c>
      <c r="F399" s="65">
        <f t="shared" si="37"/>
        <v>0</v>
      </c>
    </row>
    <row r="400" spans="2:6">
      <c r="B400" s="64">
        <v>389</v>
      </c>
      <c r="C400" s="70">
        <f t="shared" si="34"/>
        <v>0</v>
      </c>
      <c r="D400" s="65">
        <f t="shared" si="35"/>
        <v>0</v>
      </c>
      <c r="E400" s="65">
        <f t="shared" si="36"/>
        <v>0</v>
      </c>
      <c r="F400" s="65">
        <f t="shared" si="37"/>
        <v>0</v>
      </c>
    </row>
    <row r="401" spans="2:6">
      <c r="B401" s="64">
        <v>390</v>
      </c>
      <c r="C401" s="70">
        <f t="shared" si="34"/>
        <v>0</v>
      </c>
      <c r="D401" s="65">
        <f t="shared" si="35"/>
        <v>0</v>
      </c>
      <c r="E401" s="65">
        <f t="shared" si="36"/>
        <v>0</v>
      </c>
      <c r="F401" s="65">
        <f t="shared" si="37"/>
        <v>0</v>
      </c>
    </row>
    <row r="402" spans="2:6">
      <c r="B402" s="64">
        <v>391</v>
      </c>
      <c r="C402" s="70">
        <f t="shared" si="34"/>
        <v>0</v>
      </c>
      <c r="D402" s="65">
        <f t="shared" si="35"/>
        <v>0</v>
      </c>
      <c r="E402" s="65">
        <f t="shared" si="36"/>
        <v>0</v>
      </c>
      <c r="F402" s="65">
        <f t="shared" si="37"/>
        <v>0</v>
      </c>
    </row>
    <row r="403" spans="2:6">
      <c r="B403" s="64">
        <v>392</v>
      </c>
      <c r="C403" s="70">
        <f t="shared" si="34"/>
        <v>0</v>
      </c>
      <c r="D403" s="65">
        <f t="shared" si="35"/>
        <v>0</v>
      </c>
      <c r="E403" s="65">
        <f t="shared" si="36"/>
        <v>0</v>
      </c>
      <c r="F403" s="65">
        <f t="shared" si="37"/>
        <v>0</v>
      </c>
    </row>
    <row r="404" spans="2:6">
      <c r="B404" s="64">
        <v>393</v>
      </c>
      <c r="C404" s="70">
        <f t="shared" si="34"/>
        <v>0</v>
      </c>
      <c r="D404" s="65">
        <f t="shared" si="35"/>
        <v>0</v>
      </c>
      <c r="E404" s="65">
        <f t="shared" si="36"/>
        <v>0</v>
      </c>
      <c r="F404" s="65">
        <f t="shared" si="37"/>
        <v>0</v>
      </c>
    </row>
    <row r="405" spans="2:6">
      <c r="B405" s="64">
        <v>394</v>
      </c>
      <c r="C405" s="70">
        <f t="shared" si="34"/>
        <v>0</v>
      </c>
      <c r="D405" s="65">
        <f t="shared" si="35"/>
        <v>0</v>
      </c>
      <c r="E405" s="65">
        <f t="shared" si="36"/>
        <v>0</v>
      </c>
      <c r="F405" s="65">
        <f t="shared" si="37"/>
        <v>0</v>
      </c>
    </row>
    <row r="406" spans="2:6">
      <c r="B406" s="64">
        <v>395</v>
      </c>
      <c r="C406" s="70">
        <f t="shared" si="34"/>
        <v>0</v>
      </c>
      <c r="D406" s="65">
        <f t="shared" si="35"/>
        <v>0</v>
      </c>
      <c r="E406" s="65">
        <f t="shared" si="36"/>
        <v>0</v>
      </c>
      <c r="F406" s="65">
        <f t="shared" si="37"/>
        <v>0</v>
      </c>
    </row>
    <row r="407" spans="2:6">
      <c r="B407" s="64">
        <v>396</v>
      </c>
      <c r="C407" s="70">
        <f t="shared" si="34"/>
        <v>0</v>
      </c>
      <c r="D407" s="65">
        <f t="shared" si="35"/>
        <v>0</v>
      </c>
      <c r="E407" s="65">
        <f t="shared" si="36"/>
        <v>0</v>
      </c>
      <c r="F407" s="65">
        <f t="shared" si="37"/>
        <v>0</v>
      </c>
    </row>
    <row r="408" spans="2:6">
      <c r="B408" s="64">
        <v>397</v>
      </c>
      <c r="C408" s="70">
        <f t="shared" si="34"/>
        <v>0</v>
      </c>
      <c r="D408" s="65">
        <f t="shared" si="35"/>
        <v>0</v>
      </c>
      <c r="E408" s="65">
        <f t="shared" si="36"/>
        <v>0</v>
      </c>
      <c r="F408" s="65">
        <f t="shared" si="37"/>
        <v>0</v>
      </c>
    </row>
    <row r="409" spans="2:6">
      <c r="B409" s="64">
        <v>398</v>
      </c>
      <c r="C409" s="70">
        <f t="shared" si="34"/>
        <v>0</v>
      </c>
      <c r="D409" s="65">
        <f t="shared" si="35"/>
        <v>0</v>
      </c>
      <c r="E409" s="65">
        <f t="shared" si="36"/>
        <v>0</v>
      </c>
      <c r="F409" s="65">
        <f t="shared" si="37"/>
        <v>0</v>
      </c>
    </row>
    <row r="410" spans="2:6">
      <c r="B410" s="64">
        <v>399</v>
      </c>
      <c r="C410" s="70">
        <f t="shared" si="34"/>
        <v>0</v>
      </c>
      <c r="D410" s="65">
        <f t="shared" si="35"/>
        <v>0</v>
      </c>
      <c r="E410" s="65">
        <f t="shared" si="36"/>
        <v>0</v>
      </c>
      <c r="F410" s="65">
        <f t="shared" si="37"/>
        <v>0</v>
      </c>
    </row>
    <row r="411" spans="2:6">
      <c r="B411" s="64">
        <v>400</v>
      </c>
      <c r="C411" s="70">
        <f t="shared" si="34"/>
        <v>0</v>
      </c>
      <c r="D411" s="65">
        <f t="shared" si="35"/>
        <v>0</v>
      </c>
      <c r="E411" s="65">
        <f t="shared" si="36"/>
        <v>0</v>
      </c>
      <c r="F411" s="65">
        <f t="shared" si="37"/>
        <v>0</v>
      </c>
    </row>
    <row r="412" spans="2:6">
      <c r="B412" s="64">
        <v>401</v>
      </c>
      <c r="C412" s="70">
        <f t="shared" si="34"/>
        <v>0</v>
      </c>
      <c r="D412" s="65">
        <f t="shared" si="35"/>
        <v>0</v>
      </c>
      <c r="E412" s="65">
        <f t="shared" si="36"/>
        <v>0</v>
      </c>
      <c r="F412" s="65">
        <f t="shared" si="37"/>
        <v>0</v>
      </c>
    </row>
    <row r="413" spans="2:6">
      <c r="B413" s="64">
        <v>402</v>
      </c>
      <c r="C413" s="70">
        <f t="shared" si="34"/>
        <v>0</v>
      </c>
      <c r="D413" s="65">
        <f t="shared" si="35"/>
        <v>0</v>
      </c>
      <c r="E413" s="65">
        <f t="shared" si="36"/>
        <v>0</v>
      </c>
      <c r="F413" s="65">
        <f t="shared" si="37"/>
        <v>0</v>
      </c>
    </row>
    <row r="414" spans="2:6">
      <c r="B414" s="64">
        <v>403</v>
      </c>
      <c r="C414" s="70">
        <f t="shared" ref="C414:C477" si="38">IF(F413&gt;$C$6,$C$6,F413+D414)</f>
        <v>0</v>
      </c>
      <c r="D414" s="65">
        <f t="shared" ref="D414:D477" si="39">+$C$4*F413/12</f>
        <v>0</v>
      </c>
      <c r="E414" s="65">
        <f t="shared" ref="E414:E477" si="40">+C414-D414</f>
        <v>0</v>
      </c>
      <c r="F414" s="65">
        <f t="shared" ref="F414:F477" si="41">+F413-E414</f>
        <v>0</v>
      </c>
    </row>
    <row r="415" spans="2:6">
      <c r="B415" s="64">
        <v>404</v>
      </c>
      <c r="C415" s="70">
        <f t="shared" si="38"/>
        <v>0</v>
      </c>
      <c r="D415" s="65">
        <f t="shared" si="39"/>
        <v>0</v>
      </c>
      <c r="E415" s="65">
        <f t="shared" si="40"/>
        <v>0</v>
      </c>
      <c r="F415" s="65">
        <f t="shared" si="41"/>
        <v>0</v>
      </c>
    </row>
    <row r="416" spans="2:6">
      <c r="B416" s="64">
        <v>405</v>
      </c>
      <c r="C416" s="70">
        <f t="shared" si="38"/>
        <v>0</v>
      </c>
      <c r="D416" s="65">
        <f t="shared" si="39"/>
        <v>0</v>
      </c>
      <c r="E416" s="65">
        <f t="shared" si="40"/>
        <v>0</v>
      </c>
      <c r="F416" s="65">
        <f t="shared" si="41"/>
        <v>0</v>
      </c>
    </row>
    <row r="417" spans="2:6">
      <c r="B417" s="64">
        <v>406</v>
      </c>
      <c r="C417" s="70">
        <f t="shared" si="38"/>
        <v>0</v>
      </c>
      <c r="D417" s="65">
        <f t="shared" si="39"/>
        <v>0</v>
      </c>
      <c r="E417" s="65">
        <f t="shared" si="40"/>
        <v>0</v>
      </c>
      <c r="F417" s="65">
        <f t="shared" si="41"/>
        <v>0</v>
      </c>
    </row>
    <row r="418" spans="2:6">
      <c r="B418" s="64">
        <v>407</v>
      </c>
      <c r="C418" s="70">
        <f t="shared" si="38"/>
        <v>0</v>
      </c>
      <c r="D418" s="65">
        <f t="shared" si="39"/>
        <v>0</v>
      </c>
      <c r="E418" s="65">
        <f t="shared" si="40"/>
        <v>0</v>
      </c>
      <c r="F418" s="65">
        <f t="shared" si="41"/>
        <v>0</v>
      </c>
    </row>
    <row r="419" spans="2:6">
      <c r="B419" s="64">
        <v>408</v>
      </c>
      <c r="C419" s="70">
        <f t="shared" si="38"/>
        <v>0</v>
      </c>
      <c r="D419" s="65">
        <f t="shared" si="39"/>
        <v>0</v>
      </c>
      <c r="E419" s="65">
        <f t="shared" si="40"/>
        <v>0</v>
      </c>
      <c r="F419" s="65">
        <f t="shared" si="41"/>
        <v>0</v>
      </c>
    </row>
    <row r="420" spans="2:6">
      <c r="B420" s="64">
        <v>409</v>
      </c>
      <c r="C420" s="70">
        <f t="shared" si="38"/>
        <v>0</v>
      </c>
      <c r="D420" s="65">
        <f t="shared" si="39"/>
        <v>0</v>
      </c>
      <c r="E420" s="65">
        <f t="shared" si="40"/>
        <v>0</v>
      </c>
      <c r="F420" s="65">
        <f t="shared" si="41"/>
        <v>0</v>
      </c>
    </row>
    <row r="421" spans="2:6">
      <c r="B421" s="64">
        <v>410</v>
      </c>
      <c r="C421" s="70">
        <f t="shared" si="38"/>
        <v>0</v>
      </c>
      <c r="D421" s="65">
        <f t="shared" si="39"/>
        <v>0</v>
      </c>
      <c r="E421" s="65">
        <f t="shared" si="40"/>
        <v>0</v>
      </c>
      <c r="F421" s="65">
        <f t="shared" si="41"/>
        <v>0</v>
      </c>
    </row>
    <row r="422" spans="2:6">
      <c r="B422" s="64">
        <v>411</v>
      </c>
      <c r="C422" s="70">
        <f t="shared" si="38"/>
        <v>0</v>
      </c>
      <c r="D422" s="65">
        <f t="shared" si="39"/>
        <v>0</v>
      </c>
      <c r="E422" s="65">
        <f t="shared" si="40"/>
        <v>0</v>
      </c>
      <c r="F422" s="65">
        <f t="shared" si="41"/>
        <v>0</v>
      </c>
    </row>
    <row r="423" spans="2:6">
      <c r="B423" s="64">
        <v>412</v>
      </c>
      <c r="C423" s="70">
        <f t="shared" si="38"/>
        <v>0</v>
      </c>
      <c r="D423" s="65">
        <f t="shared" si="39"/>
        <v>0</v>
      </c>
      <c r="E423" s="65">
        <f t="shared" si="40"/>
        <v>0</v>
      </c>
      <c r="F423" s="65">
        <f t="shared" si="41"/>
        <v>0</v>
      </c>
    </row>
    <row r="424" spans="2:6">
      <c r="B424" s="64">
        <v>413</v>
      </c>
      <c r="C424" s="70">
        <f t="shared" si="38"/>
        <v>0</v>
      </c>
      <c r="D424" s="65">
        <f t="shared" si="39"/>
        <v>0</v>
      </c>
      <c r="E424" s="65">
        <f t="shared" si="40"/>
        <v>0</v>
      </c>
      <c r="F424" s="65">
        <f t="shared" si="41"/>
        <v>0</v>
      </c>
    </row>
    <row r="425" spans="2:6">
      <c r="B425" s="64">
        <v>414</v>
      </c>
      <c r="C425" s="70">
        <f t="shared" si="38"/>
        <v>0</v>
      </c>
      <c r="D425" s="65">
        <f t="shared" si="39"/>
        <v>0</v>
      </c>
      <c r="E425" s="65">
        <f t="shared" si="40"/>
        <v>0</v>
      </c>
      <c r="F425" s="65">
        <f t="shared" si="41"/>
        <v>0</v>
      </c>
    </row>
    <row r="426" spans="2:6">
      <c r="B426" s="64">
        <v>415</v>
      </c>
      <c r="C426" s="70">
        <f t="shared" si="38"/>
        <v>0</v>
      </c>
      <c r="D426" s="65">
        <f t="shared" si="39"/>
        <v>0</v>
      </c>
      <c r="E426" s="65">
        <f t="shared" si="40"/>
        <v>0</v>
      </c>
      <c r="F426" s="65">
        <f t="shared" si="41"/>
        <v>0</v>
      </c>
    </row>
    <row r="427" spans="2:6">
      <c r="B427" s="64">
        <v>416</v>
      </c>
      <c r="C427" s="70">
        <f t="shared" si="38"/>
        <v>0</v>
      </c>
      <c r="D427" s="65">
        <f t="shared" si="39"/>
        <v>0</v>
      </c>
      <c r="E427" s="65">
        <f t="shared" si="40"/>
        <v>0</v>
      </c>
      <c r="F427" s="65">
        <f t="shared" si="41"/>
        <v>0</v>
      </c>
    </row>
    <row r="428" spans="2:6">
      <c r="B428" s="64">
        <v>417</v>
      </c>
      <c r="C428" s="70">
        <f t="shared" si="38"/>
        <v>0</v>
      </c>
      <c r="D428" s="65">
        <f t="shared" si="39"/>
        <v>0</v>
      </c>
      <c r="E428" s="65">
        <f t="shared" si="40"/>
        <v>0</v>
      </c>
      <c r="F428" s="65">
        <f t="shared" si="41"/>
        <v>0</v>
      </c>
    </row>
    <row r="429" spans="2:6">
      <c r="B429" s="64">
        <v>418</v>
      </c>
      <c r="C429" s="70">
        <f t="shared" si="38"/>
        <v>0</v>
      </c>
      <c r="D429" s="65">
        <f t="shared" si="39"/>
        <v>0</v>
      </c>
      <c r="E429" s="65">
        <f t="shared" si="40"/>
        <v>0</v>
      </c>
      <c r="F429" s="65">
        <f t="shared" si="41"/>
        <v>0</v>
      </c>
    </row>
    <row r="430" spans="2:6">
      <c r="B430" s="64">
        <v>419</v>
      </c>
      <c r="C430" s="70">
        <f t="shared" si="38"/>
        <v>0</v>
      </c>
      <c r="D430" s="65">
        <f t="shared" si="39"/>
        <v>0</v>
      </c>
      <c r="E430" s="65">
        <f t="shared" si="40"/>
        <v>0</v>
      </c>
      <c r="F430" s="65">
        <f t="shared" si="41"/>
        <v>0</v>
      </c>
    </row>
    <row r="431" spans="2:6">
      <c r="B431" s="64">
        <v>420</v>
      </c>
      <c r="C431" s="70">
        <f t="shared" si="38"/>
        <v>0</v>
      </c>
      <c r="D431" s="65">
        <f t="shared" si="39"/>
        <v>0</v>
      </c>
      <c r="E431" s="65">
        <f t="shared" si="40"/>
        <v>0</v>
      </c>
      <c r="F431" s="65">
        <f t="shared" si="41"/>
        <v>0</v>
      </c>
    </row>
    <row r="432" spans="2:6">
      <c r="B432" s="64">
        <v>421</v>
      </c>
      <c r="C432" s="70">
        <f t="shared" si="38"/>
        <v>0</v>
      </c>
      <c r="D432" s="65">
        <f t="shared" si="39"/>
        <v>0</v>
      </c>
      <c r="E432" s="65">
        <f t="shared" si="40"/>
        <v>0</v>
      </c>
      <c r="F432" s="65">
        <f t="shared" si="41"/>
        <v>0</v>
      </c>
    </row>
    <row r="433" spans="2:6">
      <c r="B433" s="64">
        <v>422</v>
      </c>
      <c r="C433" s="70">
        <f t="shared" si="38"/>
        <v>0</v>
      </c>
      <c r="D433" s="65">
        <f t="shared" si="39"/>
        <v>0</v>
      </c>
      <c r="E433" s="65">
        <f t="shared" si="40"/>
        <v>0</v>
      </c>
      <c r="F433" s="65">
        <f t="shared" si="41"/>
        <v>0</v>
      </c>
    </row>
    <row r="434" spans="2:6">
      <c r="B434" s="64">
        <v>423</v>
      </c>
      <c r="C434" s="70">
        <f t="shared" si="38"/>
        <v>0</v>
      </c>
      <c r="D434" s="65">
        <f t="shared" si="39"/>
        <v>0</v>
      </c>
      <c r="E434" s="65">
        <f t="shared" si="40"/>
        <v>0</v>
      </c>
      <c r="F434" s="65">
        <f t="shared" si="41"/>
        <v>0</v>
      </c>
    </row>
    <row r="435" spans="2:6">
      <c r="B435" s="64">
        <v>424</v>
      </c>
      <c r="C435" s="70">
        <f t="shared" si="38"/>
        <v>0</v>
      </c>
      <c r="D435" s="65">
        <f t="shared" si="39"/>
        <v>0</v>
      </c>
      <c r="E435" s="65">
        <f t="shared" si="40"/>
        <v>0</v>
      </c>
      <c r="F435" s="65">
        <f t="shared" si="41"/>
        <v>0</v>
      </c>
    </row>
    <row r="436" spans="2:6">
      <c r="B436" s="64">
        <v>425</v>
      </c>
      <c r="C436" s="70">
        <f t="shared" si="38"/>
        <v>0</v>
      </c>
      <c r="D436" s="65">
        <f t="shared" si="39"/>
        <v>0</v>
      </c>
      <c r="E436" s="65">
        <f t="shared" si="40"/>
        <v>0</v>
      </c>
      <c r="F436" s="65">
        <f t="shared" si="41"/>
        <v>0</v>
      </c>
    </row>
    <row r="437" spans="2:6">
      <c r="B437" s="64">
        <v>426</v>
      </c>
      <c r="C437" s="70">
        <f t="shared" si="38"/>
        <v>0</v>
      </c>
      <c r="D437" s="65">
        <f t="shared" si="39"/>
        <v>0</v>
      </c>
      <c r="E437" s="65">
        <f t="shared" si="40"/>
        <v>0</v>
      </c>
      <c r="F437" s="65">
        <f t="shared" si="41"/>
        <v>0</v>
      </c>
    </row>
    <row r="438" spans="2:6">
      <c r="B438" s="64">
        <v>427</v>
      </c>
      <c r="C438" s="70">
        <f t="shared" si="38"/>
        <v>0</v>
      </c>
      <c r="D438" s="65">
        <f t="shared" si="39"/>
        <v>0</v>
      </c>
      <c r="E438" s="65">
        <f t="shared" si="40"/>
        <v>0</v>
      </c>
      <c r="F438" s="65">
        <f t="shared" si="41"/>
        <v>0</v>
      </c>
    </row>
    <row r="439" spans="2:6">
      <c r="B439" s="64">
        <v>428</v>
      </c>
      <c r="C439" s="70">
        <f t="shared" si="38"/>
        <v>0</v>
      </c>
      <c r="D439" s="65">
        <f t="shared" si="39"/>
        <v>0</v>
      </c>
      <c r="E439" s="65">
        <f t="shared" si="40"/>
        <v>0</v>
      </c>
      <c r="F439" s="65">
        <f t="shared" si="41"/>
        <v>0</v>
      </c>
    </row>
    <row r="440" spans="2:6">
      <c r="B440" s="64">
        <v>429</v>
      </c>
      <c r="C440" s="70">
        <f t="shared" si="38"/>
        <v>0</v>
      </c>
      <c r="D440" s="65">
        <f t="shared" si="39"/>
        <v>0</v>
      </c>
      <c r="E440" s="65">
        <f t="shared" si="40"/>
        <v>0</v>
      </c>
      <c r="F440" s="65">
        <f t="shared" si="41"/>
        <v>0</v>
      </c>
    </row>
    <row r="441" spans="2:6">
      <c r="B441" s="64">
        <v>430</v>
      </c>
      <c r="C441" s="70">
        <f t="shared" si="38"/>
        <v>0</v>
      </c>
      <c r="D441" s="65">
        <f t="shared" si="39"/>
        <v>0</v>
      </c>
      <c r="E441" s="65">
        <f t="shared" si="40"/>
        <v>0</v>
      </c>
      <c r="F441" s="65">
        <f t="shared" si="41"/>
        <v>0</v>
      </c>
    </row>
    <row r="442" spans="2:6">
      <c r="B442" s="64">
        <v>431</v>
      </c>
      <c r="C442" s="70">
        <f t="shared" si="38"/>
        <v>0</v>
      </c>
      <c r="D442" s="65">
        <f t="shared" si="39"/>
        <v>0</v>
      </c>
      <c r="E442" s="65">
        <f t="shared" si="40"/>
        <v>0</v>
      </c>
      <c r="F442" s="65">
        <f t="shared" si="41"/>
        <v>0</v>
      </c>
    </row>
    <row r="443" spans="2:6">
      <c r="B443" s="64">
        <v>432</v>
      </c>
      <c r="C443" s="70">
        <f t="shared" si="38"/>
        <v>0</v>
      </c>
      <c r="D443" s="65">
        <f t="shared" si="39"/>
        <v>0</v>
      </c>
      <c r="E443" s="65">
        <f t="shared" si="40"/>
        <v>0</v>
      </c>
      <c r="F443" s="65">
        <f t="shared" si="41"/>
        <v>0</v>
      </c>
    </row>
    <row r="444" spans="2:6">
      <c r="B444" s="64">
        <v>433</v>
      </c>
      <c r="C444" s="70">
        <f t="shared" si="38"/>
        <v>0</v>
      </c>
      <c r="D444" s="65">
        <f t="shared" si="39"/>
        <v>0</v>
      </c>
      <c r="E444" s="65">
        <f t="shared" si="40"/>
        <v>0</v>
      </c>
      <c r="F444" s="65">
        <f t="shared" si="41"/>
        <v>0</v>
      </c>
    </row>
    <row r="445" spans="2:6">
      <c r="B445" s="64">
        <v>434</v>
      </c>
      <c r="C445" s="70">
        <f t="shared" si="38"/>
        <v>0</v>
      </c>
      <c r="D445" s="65">
        <f t="shared" si="39"/>
        <v>0</v>
      </c>
      <c r="E445" s="65">
        <f t="shared" si="40"/>
        <v>0</v>
      </c>
      <c r="F445" s="65">
        <f t="shared" si="41"/>
        <v>0</v>
      </c>
    </row>
    <row r="446" spans="2:6">
      <c r="B446" s="64">
        <v>435</v>
      </c>
      <c r="C446" s="70">
        <f t="shared" si="38"/>
        <v>0</v>
      </c>
      <c r="D446" s="65">
        <f t="shared" si="39"/>
        <v>0</v>
      </c>
      <c r="E446" s="65">
        <f t="shared" si="40"/>
        <v>0</v>
      </c>
      <c r="F446" s="65">
        <f t="shared" si="41"/>
        <v>0</v>
      </c>
    </row>
    <row r="447" spans="2:6">
      <c r="B447" s="64">
        <v>436</v>
      </c>
      <c r="C447" s="70">
        <f t="shared" si="38"/>
        <v>0</v>
      </c>
      <c r="D447" s="65">
        <f t="shared" si="39"/>
        <v>0</v>
      </c>
      <c r="E447" s="65">
        <f t="shared" si="40"/>
        <v>0</v>
      </c>
      <c r="F447" s="65">
        <f t="shared" si="41"/>
        <v>0</v>
      </c>
    </row>
    <row r="448" spans="2:6">
      <c r="B448" s="64">
        <v>437</v>
      </c>
      <c r="C448" s="70">
        <f t="shared" si="38"/>
        <v>0</v>
      </c>
      <c r="D448" s="65">
        <f t="shared" si="39"/>
        <v>0</v>
      </c>
      <c r="E448" s="65">
        <f t="shared" si="40"/>
        <v>0</v>
      </c>
      <c r="F448" s="65">
        <f t="shared" si="41"/>
        <v>0</v>
      </c>
    </row>
    <row r="449" spans="2:6">
      <c r="B449" s="64">
        <v>438</v>
      </c>
      <c r="C449" s="70">
        <f t="shared" si="38"/>
        <v>0</v>
      </c>
      <c r="D449" s="65">
        <f t="shared" si="39"/>
        <v>0</v>
      </c>
      <c r="E449" s="65">
        <f t="shared" si="40"/>
        <v>0</v>
      </c>
      <c r="F449" s="65">
        <f t="shared" si="41"/>
        <v>0</v>
      </c>
    </row>
    <row r="450" spans="2:6">
      <c r="B450" s="64">
        <v>439</v>
      </c>
      <c r="C450" s="70">
        <f t="shared" si="38"/>
        <v>0</v>
      </c>
      <c r="D450" s="65">
        <f t="shared" si="39"/>
        <v>0</v>
      </c>
      <c r="E450" s="65">
        <f t="shared" si="40"/>
        <v>0</v>
      </c>
      <c r="F450" s="65">
        <f t="shared" si="41"/>
        <v>0</v>
      </c>
    </row>
    <row r="451" spans="2:6">
      <c r="B451" s="64">
        <v>440</v>
      </c>
      <c r="C451" s="70">
        <f t="shared" si="38"/>
        <v>0</v>
      </c>
      <c r="D451" s="65">
        <f t="shared" si="39"/>
        <v>0</v>
      </c>
      <c r="E451" s="65">
        <f t="shared" si="40"/>
        <v>0</v>
      </c>
      <c r="F451" s="65">
        <f t="shared" si="41"/>
        <v>0</v>
      </c>
    </row>
    <row r="452" spans="2:6">
      <c r="B452" s="64">
        <v>441</v>
      </c>
      <c r="C452" s="70">
        <f t="shared" si="38"/>
        <v>0</v>
      </c>
      <c r="D452" s="65">
        <f t="shared" si="39"/>
        <v>0</v>
      </c>
      <c r="E452" s="65">
        <f t="shared" si="40"/>
        <v>0</v>
      </c>
      <c r="F452" s="65">
        <f t="shared" si="41"/>
        <v>0</v>
      </c>
    </row>
    <row r="453" spans="2:6">
      <c r="B453" s="64">
        <v>442</v>
      </c>
      <c r="C453" s="70">
        <f t="shared" si="38"/>
        <v>0</v>
      </c>
      <c r="D453" s="65">
        <f t="shared" si="39"/>
        <v>0</v>
      </c>
      <c r="E453" s="65">
        <f t="shared" si="40"/>
        <v>0</v>
      </c>
      <c r="F453" s="65">
        <f t="shared" si="41"/>
        <v>0</v>
      </c>
    </row>
    <row r="454" spans="2:6">
      <c r="B454" s="64">
        <v>443</v>
      </c>
      <c r="C454" s="70">
        <f t="shared" si="38"/>
        <v>0</v>
      </c>
      <c r="D454" s="65">
        <f t="shared" si="39"/>
        <v>0</v>
      </c>
      <c r="E454" s="65">
        <f t="shared" si="40"/>
        <v>0</v>
      </c>
      <c r="F454" s="65">
        <f t="shared" si="41"/>
        <v>0</v>
      </c>
    </row>
    <row r="455" spans="2:6">
      <c r="B455" s="64">
        <v>444</v>
      </c>
      <c r="C455" s="70">
        <f t="shared" si="38"/>
        <v>0</v>
      </c>
      <c r="D455" s="65">
        <f t="shared" si="39"/>
        <v>0</v>
      </c>
      <c r="E455" s="65">
        <f t="shared" si="40"/>
        <v>0</v>
      </c>
      <c r="F455" s="65">
        <f t="shared" si="41"/>
        <v>0</v>
      </c>
    </row>
    <row r="456" spans="2:6">
      <c r="B456" s="64">
        <v>445</v>
      </c>
      <c r="C456" s="70">
        <f t="shared" si="38"/>
        <v>0</v>
      </c>
      <c r="D456" s="65">
        <f t="shared" si="39"/>
        <v>0</v>
      </c>
      <c r="E456" s="65">
        <f t="shared" si="40"/>
        <v>0</v>
      </c>
      <c r="F456" s="65">
        <f t="shared" si="41"/>
        <v>0</v>
      </c>
    </row>
    <row r="457" spans="2:6">
      <c r="B457" s="64">
        <v>446</v>
      </c>
      <c r="C457" s="70">
        <f t="shared" si="38"/>
        <v>0</v>
      </c>
      <c r="D457" s="65">
        <f t="shared" si="39"/>
        <v>0</v>
      </c>
      <c r="E457" s="65">
        <f t="shared" si="40"/>
        <v>0</v>
      </c>
      <c r="F457" s="65">
        <f t="shared" si="41"/>
        <v>0</v>
      </c>
    </row>
    <row r="458" spans="2:6">
      <c r="B458" s="64">
        <v>447</v>
      </c>
      <c r="C458" s="70">
        <f t="shared" si="38"/>
        <v>0</v>
      </c>
      <c r="D458" s="65">
        <f t="shared" si="39"/>
        <v>0</v>
      </c>
      <c r="E458" s="65">
        <f t="shared" si="40"/>
        <v>0</v>
      </c>
      <c r="F458" s="65">
        <f t="shared" si="41"/>
        <v>0</v>
      </c>
    </row>
    <row r="459" spans="2:6">
      <c r="B459" s="64">
        <v>448</v>
      </c>
      <c r="C459" s="70">
        <f t="shared" si="38"/>
        <v>0</v>
      </c>
      <c r="D459" s="65">
        <f t="shared" si="39"/>
        <v>0</v>
      </c>
      <c r="E459" s="65">
        <f t="shared" si="40"/>
        <v>0</v>
      </c>
      <c r="F459" s="65">
        <f t="shared" si="41"/>
        <v>0</v>
      </c>
    </row>
    <row r="460" spans="2:6">
      <c r="B460" s="64">
        <v>449</v>
      </c>
      <c r="C460" s="70">
        <f t="shared" si="38"/>
        <v>0</v>
      </c>
      <c r="D460" s="65">
        <f t="shared" si="39"/>
        <v>0</v>
      </c>
      <c r="E460" s="65">
        <f t="shared" si="40"/>
        <v>0</v>
      </c>
      <c r="F460" s="65">
        <f t="shared" si="41"/>
        <v>0</v>
      </c>
    </row>
    <row r="461" spans="2:6">
      <c r="B461" s="64">
        <v>450</v>
      </c>
      <c r="C461" s="70">
        <f t="shared" si="38"/>
        <v>0</v>
      </c>
      <c r="D461" s="65">
        <f t="shared" si="39"/>
        <v>0</v>
      </c>
      <c r="E461" s="65">
        <f t="shared" si="40"/>
        <v>0</v>
      </c>
      <c r="F461" s="65">
        <f t="shared" si="41"/>
        <v>0</v>
      </c>
    </row>
    <row r="462" spans="2:6">
      <c r="B462" s="64">
        <v>451</v>
      </c>
      <c r="C462" s="70">
        <f t="shared" si="38"/>
        <v>0</v>
      </c>
      <c r="D462" s="65">
        <f t="shared" si="39"/>
        <v>0</v>
      </c>
      <c r="E462" s="65">
        <f t="shared" si="40"/>
        <v>0</v>
      </c>
      <c r="F462" s="65">
        <f t="shared" si="41"/>
        <v>0</v>
      </c>
    </row>
    <row r="463" spans="2:6">
      <c r="B463" s="64">
        <v>452</v>
      </c>
      <c r="C463" s="70">
        <f t="shared" si="38"/>
        <v>0</v>
      </c>
      <c r="D463" s="65">
        <f t="shared" si="39"/>
        <v>0</v>
      </c>
      <c r="E463" s="65">
        <f t="shared" si="40"/>
        <v>0</v>
      </c>
      <c r="F463" s="65">
        <f t="shared" si="41"/>
        <v>0</v>
      </c>
    </row>
    <row r="464" spans="2:6">
      <c r="B464" s="64">
        <v>453</v>
      </c>
      <c r="C464" s="70">
        <f t="shared" si="38"/>
        <v>0</v>
      </c>
      <c r="D464" s="65">
        <f t="shared" si="39"/>
        <v>0</v>
      </c>
      <c r="E464" s="65">
        <f t="shared" si="40"/>
        <v>0</v>
      </c>
      <c r="F464" s="65">
        <f t="shared" si="41"/>
        <v>0</v>
      </c>
    </row>
    <row r="465" spans="2:6">
      <c r="B465" s="64">
        <v>454</v>
      </c>
      <c r="C465" s="70">
        <f t="shared" si="38"/>
        <v>0</v>
      </c>
      <c r="D465" s="65">
        <f t="shared" si="39"/>
        <v>0</v>
      </c>
      <c r="E465" s="65">
        <f t="shared" si="40"/>
        <v>0</v>
      </c>
      <c r="F465" s="65">
        <f t="shared" si="41"/>
        <v>0</v>
      </c>
    </row>
    <row r="466" spans="2:6">
      <c r="B466" s="64">
        <v>455</v>
      </c>
      <c r="C466" s="70">
        <f t="shared" si="38"/>
        <v>0</v>
      </c>
      <c r="D466" s="65">
        <f t="shared" si="39"/>
        <v>0</v>
      </c>
      <c r="E466" s="65">
        <f t="shared" si="40"/>
        <v>0</v>
      </c>
      <c r="F466" s="65">
        <f t="shared" si="41"/>
        <v>0</v>
      </c>
    </row>
    <row r="467" spans="2:6">
      <c r="B467" s="64">
        <v>456</v>
      </c>
      <c r="C467" s="70">
        <f t="shared" si="38"/>
        <v>0</v>
      </c>
      <c r="D467" s="65">
        <f t="shared" si="39"/>
        <v>0</v>
      </c>
      <c r="E467" s="65">
        <f t="shared" si="40"/>
        <v>0</v>
      </c>
      <c r="F467" s="65">
        <f t="shared" si="41"/>
        <v>0</v>
      </c>
    </row>
    <row r="468" spans="2:6">
      <c r="B468" s="64">
        <v>457</v>
      </c>
      <c r="C468" s="70">
        <f t="shared" si="38"/>
        <v>0</v>
      </c>
      <c r="D468" s="65">
        <f t="shared" si="39"/>
        <v>0</v>
      </c>
      <c r="E468" s="65">
        <f t="shared" si="40"/>
        <v>0</v>
      </c>
      <c r="F468" s="65">
        <f t="shared" si="41"/>
        <v>0</v>
      </c>
    </row>
    <row r="469" spans="2:6">
      <c r="B469" s="64">
        <v>458</v>
      </c>
      <c r="C469" s="70">
        <f t="shared" si="38"/>
        <v>0</v>
      </c>
      <c r="D469" s="65">
        <f t="shared" si="39"/>
        <v>0</v>
      </c>
      <c r="E469" s="65">
        <f t="shared" si="40"/>
        <v>0</v>
      </c>
      <c r="F469" s="65">
        <f t="shared" si="41"/>
        <v>0</v>
      </c>
    </row>
    <row r="470" spans="2:6">
      <c r="B470" s="64">
        <v>459</v>
      </c>
      <c r="C470" s="70">
        <f t="shared" si="38"/>
        <v>0</v>
      </c>
      <c r="D470" s="65">
        <f t="shared" si="39"/>
        <v>0</v>
      </c>
      <c r="E470" s="65">
        <f t="shared" si="40"/>
        <v>0</v>
      </c>
      <c r="F470" s="65">
        <f t="shared" si="41"/>
        <v>0</v>
      </c>
    </row>
    <row r="471" spans="2:6">
      <c r="B471" s="64">
        <v>460</v>
      </c>
      <c r="C471" s="70">
        <f t="shared" si="38"/>
        <v>0</v>
      </c>
      <c r="D471" s="65">
        <f t="shared" si="39"/>
        <v>0</v>
      </c>
      <c r="E471" s="65">
        <f t="shared" si="40"/>
        <v>0</v>
      </c>
      <c r="F471" s="65">
        <f t="shared" si="41"/>
        <v>0</v>
      </c>
    </row>
    <row r="472" spans="2:6">
      <c r="B472" s="64">
        <v>461</v>
      </c>
      <c r="C472" s="70">
        <f t="shared" si="38"/>
        <v>0</v>
      </c>
      <c r="D472" s="65">
        <f t="shared" si="39"/>
        <v>0</v>
      </c>
      <c r="E472" s="65">
        <f t="shared" si="40"/>
        <v>0</v>
      </c>
      <c r="F472" s="65">
        <f t="shared" si="41"/>
        <v>0</v>
      </c>
    </row>
    <row r="473" spans="2:6">
      <c r="B473" s="64">
        <v>462</v>
      </c>
      <c r="C473" s="70">
        <f t="shared" si="38"/>
        <v>0</v>
      </c>
      <c r="D473" s="65">
        <f t="shared" si="39"/>
        <v>0</v>
      </c>
      <c r="E473" s="65">
        <f t="shared" si="40"/>
        <v>0</v>
      </c>
      <c r="F473" s="65">
        <f t="shared" si="41"/>
        <v>0</v>
      </c>
    </row>
    <row r="474" spans="2:6">
      <c r="B474" s="64">
        <v>463</v>
      </c>
      <c r="C474" s="70">
        <f t="shared" si="38"/>
        <v>0</v>
      </c>
      <c r="D474" s="65">
        <f t="shared" si="39"/>
        <v>0</v>
      </c>
      <c r="E474" s="65">
        <f t="shared" si="40"/>
        <v>0</v>
      </c>
      <c r="F474" s="65">
        <f t="shared" si="41"/>
        <v>0</v>
      </c>
    </row>
    <row r="475" spans="2:6">
      <c r="B475" s="64">
        <v>464</v>
      </c>
      <c r="C475" s="70">
        <f t="shared" si="38"/>
        <v>0</v>
      </c>
      <c r="D475" s="65">
        <f t="shared" si="39"/>
        <v>0</v>
      </c>
      <c r="E475" s="65">
        <f t="shared" si="40"/>
        <v>0</v>
      </c>
      <c r="F475" s="65">
        <f t="shared" si="41"/>
        <v>0</v>
      </c>
    </row>
    <row r="476" spans="2:6">
      <c r="B476" s="64">
        <v>465</v>
      </c>
      <c r="C476" s="70">
        <f t="shared" si="38"/>
        <v>0</v>
      </c>
      <c r="D476" s="65">
        <f t="shared" si="39"/>
        <v>0</v>
      </c>
      <c r="E476" s="65">
        <f t="shared" si="40"/>
        <v>0</v>
      </c>
      <c r="F476" s="65">
        <f t="shared" si="41"/>
        <v>0</v>
      </c>
    </row>
    <row r="477" spans="2:6">
      <c r="B477" s="64">
        <v>466</v>
      </c>
      <c r="C477" s="70">
        <f t="shared" si="38"/>
        <v>0</v>
      </c>
      <c r="D477" s="65">
        <f t="shared" si="39"/>
        <v>0</v>
      </c>
      <c r="E477" s="65">
        <f t="shared" si="40"/>
        <v>0</v>
      </c>
      <c r="F477" s="65">
        <f t="shared" si="41"/>
        <v>0</v>
      </c>
    </row>
    <row r="478" spans="2:6">
      <c r="B478" s="64">
        <v>467</v>
      </c>
      <c r="C478" s="70">
        <f t="shared" ref="C478:C541" si="42">IF(F477&gt;$C$6,$C$6,F477+D478)</f>
        <v>0</v>
      </c>
      <c r="D478" s="65">
        <f t="shared" ref="D478:D541" si="43">+$C$4*F477/12</f>
        <v>0</v>
      </c>
      <c r="E478" s="65">
        <f t="shared" ref="E478:E541" si="44">+C478-D478</f>
        <v>0</v>
      </c>
      <c r="F478" s="65">
        <f t="shared" ref="F478:F541" si="45">+F477-E478</f>
        <v>0</v>
      </c>
    </row>
    <row r="479" spans="2:6">
      <c r="B479" s="64">
        <v>468</v>
      </c>
      <c r="C479" s="70">
        <f t="shared" si="42"/>
        <v>0</v>
      </c>
      <c r="D479" s="65">
        <f t="shared" si="43"/>
        <v>0</v>
      </c>
      <c r="E479" s="65">
        <f t="shared" si="44"/>
        <v>0</v>
      </c>
      <c r="F479" s="65">
        <f t="shared" si="45"/>
        <v>0</v>
      </c>
    </row>
    <row r="480" spans="2:6">
      <c r="B480" s="64">
        <v>469</v>
      </c>
      <c r="C480" s="70">
        <f t="shared" si="42"/>
        <v>0</v>
      </c>
      <c r="D480" s="65">
        <f t="shared" si="43"/>
        <v>0</v>
      </c>
      <c r="E480" s="65">
        <f t="shared" si="44"/>
        <v>0</v>
      </c>
      <c r="F480" s="65">
        <f t="shared" si="45"/>
        <v>0</v>
      </c>
    </row>
    <row r="481" spans="2:6">
      <c r="B481" s="64">
        <v>470</v>
      </c>
      <c r="C481" s="70">
        <f t="shared" si="42"/>
        <v>0</v>
      </c>
      <c r="D481" s="65">
        <f t="shared" si="43"/>
        <v>0</v>
      </c>
      <c r="E481" s="65">
        <f t="shared" si="44"/>
        <v>0</v>
      </c>
      <c r="F481" s="65">
        <f t="shared" si="45"/>
        <v>0</v>
      </c>
    </row>
    <row r="482" spans="2:6">
      <c r="B482" s="64">
        <v>471</v>
      </c>
      <c r="C482" s="70">
        <f t="shared" si="42"/>
        <v>0</v>
      </c>
      <c r="D482" s="65">
        <f t="shared" si="43"/>
        <v>0</v>
      </c>
      <c r="E482" s="65">
        <f t="shared" si="44"/>
        <v>0</v>
      </c>
      <c r="F482" s="65">
        <f t="shared" si="45"/>
        <v>0</v>
      </c>
    </row>
    <row r="483" spans="2:6">
      <c r="B483" s="64">
        <v>472</v>
      </c>
      <c r="C483" s="70">
        <f t="shared" si="42"/>
        <v>0</v>
      </c>
      <c r="D483" s="65">
        <f t="shared" si="43"/>
        <v>0</v>
      </c>
      <c r="E483" s="65">
        <f t="shared" si="44"/>
        <v>0</v>
      </c>
      <c r="F483" s="65">
        <f t="shared" si="45"/>
        <v>0</v>
      </c>
    </row>
    <row r="484" spans="2:6">
      <c r="B484" s="64">
        <v>473</v>
      </c>
      <c r="C484" s="70">
        <f t="shared" si="42"/>
        <v>0</v>
      </c>
      <c r="D484" s="65">
        <f t="shared" si="43"/>
        <v>0</v>
      </c>
      <c r="E484" s="65">
        <f t="shared" si="44"/>
        <v>0</v>
      </c>
      <c r="F484" s="65">
        <f t="shared" si="45"/>
        <v>0</v>
      </c>
    </row>
    <row r="485" spans="2:6">
      <c r="B485" s="64">
        <v>474</v>
      </c>
      <c r="C485" s="70">
        <f t="shared" si="42"/>
        <v>0</v>
      </c>
      <c r="D485" s="65">
        <f t="shared" si="43"/>
        <v>0</v>
      </c>
      <c r="E485" s="65">
        <f t="shared" si="44"/>
        <v>0</v>
      </c>
      <c r="F485" s="65">
        <f t="shared" si="45"/>
        <v>0</v>
      </c>
    </row>
    <row r="486" spans="2:6">
      <c r="B486" s="64">
        <v>475</v>
      </c>
      <c r="C486" s="70">
        <f t="shared" si="42"/>
        <v>0</v>
      </c>
      <c r="D486" s="65">
        <f t="shared" si="43"/>
        <v>0</v>
      </c>
      <c r="E486" s="65">
        <f t="shared" si="44"/>
        <v>0</v>
      </c>
      <c r="F486" s="65">
        <f t="shared" si="45"/>
        <v>0</v>
      </c>
    </row>
    <row r="487" spans="2:6">
      <c r="B487" s="64">
        <v>476</v>
      </c>
      <c r="C487" s="70">
        <f t="shared" si="42"/>
        <v>0</v>
      </c>
      <c r="D487" s="65">
        <f t="shared" si="43"/>
        <v>0</v>
      </c>
      <c r="E487" s="65">
        <f t="shared" si="44"/>
        <v>0</v>
      </c>
      <c r="F487" s="65">
        <f t="shared" si="45"/>
        <v>0</v>
      </c>
    </row>
    <row r="488" spans="2:6">
      <c r="B488" s="64">
        <v>477</v>
      </c>
      <c r="C488" s="70">
        <f t="shared" si="42"/>
        <v>0</v>
      </c>
      <c r="D488" s="65">
        <f t="shared" si="43"/>
        <v>0</v>
      </c>
      <c r="E488" s="65">
        <f t="shared" si="44"/>
        <v>0</v>
      </c>
      <c r="F488" s="65">
        <f t="shared" si="45"/>
        <v>0</v>
      </c>
    </row>
    <row r="489" spans="2:6">
      <c r="B489" s="64">
        <v>478</v>
      </c>
      <c r="C489" s="70">
        <f t="shared" si="42"/>
        <v>0</v>
      </c>
      <c r="D489" s="65">
        <f t="shared" si="43"/>
        <v>0</v>
      </c>
      <c r="E489" s="65">
        <f t="shared" si="44"/>
        <v>0</v>
      </c>
      <c r="F489" s="65">
        <f t="shared" si="45"/>
        <v>0</v>
      </c>
    </row>
    <row r="490" spans="2:6">
      <c r="B490" s="64">
        <v>479</v>
      </c>
      <c r="C490" s="70">
        <f t="shared" si="42"/>
        <v>0</v>
      </c>
      <c r="D490" s="65">
        <f t="shared" si="43"/>
        <v>0</v>
      </c>
      <c r="E490" s="65">
        <f t="shared" si="44"/>
        <v>0</v>
      </c>
      <c r="F490" s="65">
        <f t="shared" si="45"/>
        <v>0</v>
      </c>
    </row>
    <row r="491" spans="2:6">
      <c r="B491" s="64">
        <v>480</v>
      </c>
      <c r="C491" s="70">
        <f t="shared" si="42"/>
        <v>0</v>
      </c>
      <c r="D491" s="65">
        <f t="shared" si="43"/>
        <v>0</v>
      </c>
      <c r="E491" s="65">
        <f t="shared" si="44"/>
        <v>0</v>
      </c>
      <c r="F491" s="65">
        <f t="shared" si="45"/>
        <v>0</v>
      </c>
    </row>
    <row r="492" spans="2:6">
      <c r="B492" s="64">
        <v>481</v>
      </c>
      <c r="C492" s="70">
        <f t="shared" si="42"/>
        <v>0</v>
      </c>
      <c r="D492" s="65">
        <f t="shared" si="43"/>
        <v>0</v>
      </c>
      <c r="E492" s="65">
        <f t="shared" si="44"/>
        <v>0</v>
      </c>
      <c r="F492" s="65">
        <f t="shared" si="45"/>
        <v>0</v>
      </c>
    </row>
    <row r="493" spans="2:6">
      <c r="B493" s="64">
        <v>482</v>
      </c>
      <c r="C493" s="70">
        <f t="shared" si="42"/>
        <v>0</v>
      </c>
      <c r="D493" s="65">
        <f t="shared" si="43"/>
        <v>0</v>
      </c>
      <c r="E493" s="65">
        <f t="shared" si="44"/>
        <v>0</v>
      </c>
      <c r="F493" s="65">
        <f t="shared" si="45"/>
        <v>0</v>
      </c>
    </row>
    <row r="494" spans="2:6">
      <c r="B494" s="64">
        <v>483</v>
      </c>
      <c r="C494" s="70">
        <f t="shared" si="42"/>
        <v>0</v>
      </c>
      <c r="D494" s="65">
        <f t="shared" si="43"/>
        <v>0</v>
      </c>
      <c r="E494" s="65">
        <f t="shared" si="44"/>
        <v>0</v>
      </c>
      <c r="F494" s="65">
        <f t="shared" si="45"/>
        <v>0</v>
      </c>
    </row>
    <row r="495" spans="2:6">
      <c r="B495" s="64">
        <v>484</v>
      </c>
      <c r="C495" s="70">
        <f t="shared" si="42"/>
        <v>0</v>
      </c>
      <c r="D495" s="65">
        <f t="shared" si="43"/>
        <v>0</v>
      </c>
      <c r="E495" s="65">
        <f t="shared" si="44"/>
        <v>0</v>
      </c>
      <c r="F495" s="65">
        <f t="shared" si="45"/>
        <v>0</v>
      </c>
    </row>
    <row r="496" spans="2:6">
      <c r="B496" s="64">
        <v>485</v>
      </c>
      <c r="C496" s="70">
        <f t="shared" si="42"/>
        <v>0</v>
      </c>
      <c r="D496" s="65">
        <f t="shared" si="43"/>
        <v>0</v>
      </c>
      <c r="E496" s="65">
        <f t="shared" si="44"/>
        <v>0</v>
      </c>
      <c r="F496" s="65">
        <f t="shared" si="45"/>
        <v>0</v>
      </c>
    </row>
    <row r="497" spans="2:6">
      <c r="B497" s="64">
        <v>486</v>
      </c>
      <c r="C497" s="70">
        <f t="shared" si="42"/>
        <v>0</v>
      </c>
      <c r="D497" s="65">
        <f t="shared" si="43"/>
        <v>0</v>
      </c>
      <c r="E497" s="65">
        <f t="shared" si="44"/>
        <v>0</v>
      </c>
      <c r="F497" s="65">
        <f t="shared" si="45"/>
        <v>0</v>
      </c>
    </row>
    <row r="498" spans="2:6">
      <c r="B498" s="64">
        <v>487</v>
      </c>
      <c r="C498" s="70">
        <f t="shared" si="42"/>
        <v>0</v>
      </c>
      <c r="D498" s="65">
        <f t="shared" si="43"/>
        <v>0</v>
      </c>
      <c r="E498" s="65">
        <f t="shared" si="44"/>
        <v>0</v>
      </c>
      <c r="F498" s="65">
        <f t="shared" si="45"/>
        <v>0</v>
      </c>
    </row>
    <row r="499" spans="2:6">
      <c r="B499" s="64">
        <v>488</v>
      </c>
      <c r="C499" s="70">
        <f t="shared" si="42"/>
        <v>0</v>
      </c>
      <c r="D499" s="65">
        <f t="shared" si="43"/>
        <v>0</v>
      </c>
      <c r="E499" s="65">
        <f t="shared" si="44"/>
        <v>0</v>
      </c>
      <c r="F499" s="65">
        <f t="shared" si="45"/>
        <v>0</v>
      </c>
    </row>
    <row r="500" spans="2:6">
      <c r="B500" s="64">
        <v>489</v>
      </c>
      <c r="C500" s="70">
        <f t="shared" si="42"/>
        <v>0</v>
      </c>
      <c r="D500" s="65">
        <f t="shared" si="43"/>
        <v>0</v>
      </c>
      <c r="E500" s="65">
        <f t="shared" si="44"/>
        <v>0</v>
      </c>
      <c r="F500" s="65">
        <f t="shared" si="45"/>
        <v>0</v>
      </c>
    </row>
    <row r="501" spans="2:6">
      <c r="B501" s="64">
        <v>490</v>
      </c>
      <c r="C501" s="70">
        <f t="shared" si="42"/>
        <v>0</v>
      </c>
      <c r="D501" s="65">
        <f t="shared" si="43"/>
        <v>0</v>
      </c>
      <c r="E501" s="65">
        <f t="shared" si="44"/>
        <v>0</v>
      </c>
      <c r="F501" s="65">
        <f t="shared" si="45"/>
        <v>0</v>
      </c>
    </row>
    <row r="502" spans="2:6">
      <c r="B502" s="64">
        <v>491</v>
      </c>
      <c r="C502" s="70">
        <f t="shared" si="42"/>
        <v>0</v>
      </c>
      <c r="D502" s="65">
        <f t="shared" si="43"/>
        <v>0</v>
      </c>
      <c r="E502" s="65">
        <f t="shared" si="44"/>
        <v>0</v>
      </c>
      <c r="F502" s="65">
        <f t="shared" si="45"/>
        <v>0</v>
      </c>
    </row>
    <row r="503" spans="2:6">
      <c r="B503" s="64">
        <v>492</v>
      </c>
      <c r="C503" s="70">
        <f t="shared" si="42"/>
        <v>0</v>
      </c>
      <c r="D503" s="65">
        <f t="shared" si="43"/>
        <v>0</v>
      </c>
      <c r="E503" s="65">
        <f t="shared" si="44"/>
        <v>0</v>
      </c>
      <c r="F503" s="65">
        <f t="shared" si="45"/>
        <v>0</v>
      </c>
    </row>
    <row r="504" spans="2:6">
      <c r="B504" s="64">
        <v>493</v>
      </c>
      <c r="C504" s="70">
        <f t="shared" si="42"/>
        <v>0</v>
      </c>
      <c r="D504" s="65">
        <f t="shared" si="43"/>
        <v>0</v>
      </c>
      <c r="E504" s="65">
        <f t="shared" si="44"/>
        <v>0</v>
      </c>
      <c r="F504" s="65">
        <f t="shared" si="45"/>
        <v>0</v>
      </c>
    </row>
    <row r="505" spans="2:6">
      <c r="B505" s="64">
        <v>494</v>
      </c>
      <c r="C505" s="70">
        <f t="shared" si="42"/>
        <v>0</v>
      </c>
      <c r="D505" s="65">
        <f t="shared" si="43"/>
        <v>0</v>
      </c>
      <c r="E505" s="65">
        <f t="shared" si="44"/>
        <v>0</v>
      </c>
      <c r="F505" s="65">
        <f t="shared" si="45"/>
        <v>0</v>
      </c>
    </row>
    <row r="506" spans="2:6">
      <c r="B506" s="64">
        <v>495</v>
      </c>
      <c r="C506" s="70">
        <f t="shared" si="42"/>
        <v>0</v>
      </c>
      <c r="D506" s="65">
        <f t="shared" si="43"/>
        <v>0</v>
      </c>
      <c r="E506" s="65">
        <f t="shared" si="44"/>
        <v>0</v>
      </c>
      <c r="F506" s="65">
        <f t="shared" si="45"/>
        <v>0</v>
      </c>
    </row>
    <row r="507" spans="2:6">
      <c r="B507" s="64">
        <v>496</v>
      </c>
      <c r="C507" s="70">
        <f t="shared" si="42"/>
        <v>0</v>
      </c>
      <c r="D507" s="65">
        <f t="shared" si="43"/>
        <v>0</v>
      </c>
      <c r="E507" s="65">
        <f t="shared" si="44"/>
        <v>0</v>
      </c>
      <c r="F507" s="65">
        <f t="shared" si="45"/>
        <v>0</v>
      </c>
    </row>
    <row r="508" spans="2:6">
      <c r="B508" s="64">
        <v>497</v>
      </c>
      <c r="C508" s="70">
        <f t="shared" si="42"/>
        <v>0</v>
      </c>
      <c r="D508" s="65">
        <f t="shared" si="43"/>
        <v>0</v>
      </c>
      <c r="E508" s="65">
        <f t="shared" si="44"/>
        <v>0</v>
      </c>
      <c r="F508" s="65">
        <f t="shared" si="45"/>
        <v>0</v>
      </c>
    </row>
    <row r="509" spans="2:6">
      <c r="B509" s="64">
        <v>498</v>
      </c>
      <c r="C509" s="70">
        <f t="shared" si="42"/>
        <v>0</v>
      </c>
      <c r="D509" s="65">
        <f t="shared" si="43"/>
        <v>0</v>
      </c>
      <c r="E509" s="65">
        <f t="shared" si="44"/>
        <v>0</v>
      </c>
      <c r="F509" s="65">
        <f t="shared" si="45"/>
        <v>0</v>
      </c>
    </row>
    <row r="510" spans="2:6">
      <c r="B510" s="64">
        <v>499</v>
      </c>
      <c r="C510" s="70">
        <f t="shared" si="42"/>
        <v>0</v>
      </c>
      <c r="D510" s="65">
        <f t="shared" si="43"/>
        <v>0</v>
      </c>
      <c r="E510" s="65">
        <f t="shared" si="44"/>
        <v>0</v>
      </c>
      <c r="F510" s="65">
        <f t="shared" si="45"/>
        <v>0</v>
      </c>
    </row>
    <row r="511" spans="2:6">
      <c r="B511" s="64">
        <v>500</v>
      </c>
      <c r="C511" s="70">
        <f t="shared" si="42"/>
        <v>0</v>
      </c>
      <c r="D511" s="65">
        <f t="shared" si="43"/>
        <v>0</v>
      </c>
      <c r="E511" s="65">
        <f t="shared" si="44"/>
        <v>0</v>
      </c>
      <c r="F511" s="65">
        <f t="shared" si="45"/>
        <v>0</v>
      </c>
    </row>
    <row r="512" spans="2:6">
      <c r="B512" s="64">
        <v>501</v>
      </c>
      <c r="C512" s="70">
        <f t="shared" si="42"/>
        <v>0</v>
      </c>
      <c r="D512" s="65">
        <f t="shared" si="43"/>
        <v>0</v>
      </c>
      <c r="E512" s="65">
        <f t="shared" si="44"/>
        <v>0</v>
      </c>
      <c r="F512" s="65">
        <f t="shared" si="45"/>
        <v>0</v>
      </c>
    </row>
    <row r="513" spans="2:6">
      <c r="B513" s="64">
        <v>502</v>
      </c>
      <c r="C513" s="70">
        <f t="shared" si="42"/>
        <v>0</v>
      </c>
      <c r="D513" s="65">
        <f t="shared" si="43"/>
        <v>0</v>
      </c>
      <c r="E513" s="65">
        <f t="shared" si="44"/>
        <v>0</v>
      </c>
      <c r="F513" s="65">
        <f t="shared" si="45"/>
        <v>0</v>
      </c>
    </row>
    <row r="514" spans="2:6">
      <c r="B514" s="64">
        <v>503</v>
      </c>
      <c r="C514" s="70">
        <f t="shared" si="42"/>
        <v>0</v>
      </c>
      <c r="D514" s="65">
        <f t="shared" si="43"/>
        <v>0</v>
      </c>
      <c r="E514" s="65">
        <f t="shared" si="44"/>
        <v>0</v>
      </c>
      <c r="F514" s="65">
        <f t="shared" si="45"/>
        <v>0</v>
      </c>
    </row>
    <row r="515" spans="2:6">
      <c r="B515" s="64">
        <v>504</v>
      </c>
      <c r="C515" s="70">
        <f t="shared" si="42"/>
        <v>0</v>
      </c>
      <c r="D515" s="65">
        <f t="shared" si="43"/>
        <v>0</v>
      </c>
      <c r="E515" s="65">
        <f t="shared" si="44"/>
        <v>0</v>
      </c>
      <c r="F515" s="65">
        <f t="shared" si="45"/>
        <v>0</v>
      </c>
    </row>
    <row r="516" spans="2:6">
      <c r="B516" s="64">
        <v>505</v>
      </c>
      <c r="C516" s="70">
        <f t="shared" si="42"/>
        <v>0</v>
      </c>
      <c r="D516" s="65">
        <f t="shared" si="43"/>
        <v>0</v>
      </c>
      <c r="E516" s="65">
        <f t="shared" si="44"/>
        <v>0</v>
      </c>
      <c r="F516" s="65">
        <f t="shared" si="45"/>
        <v>0</v>
      </c>
    </row>
    <row r="517" spans="2:6">
      <c r="B517" s="64">
        <v>506</v>
      </c>
      <c r="C517" s="70">
        <f t="shared" si="42"/>
        <v>0</v>
      </c>
      <c r="D517" s="65">
        <f t="shared" si="43"/>
        <v>0</v>
      </c>
      <c r="E517" s="65">
        <f t="shared" si="44"/>
        <v>0</v>
      </c>
      <c r="F517" s="65">
        <f t="shared" si="45"/>
        <v>0</v>
      </c>
    </row>
    <row r="518" spans="2:6">
      <c r="B518" s="64">
        <v>507</v>
      </c>
      <c r="C518" s="70">
        <f t="shared" si="42"/>
        <v>0</v>
      </c>
      <c r="D518" s="65">
        <f t="shared" si="43"/>
        <v>0</v>
      </c>
      <c r="E518" s="65">
        <f t="shared" si="44"/>
        <v>0</v>
      </c>
      <c r="F518" s="65">
        <f t="shared" si="45"/>
        <v>0</v>
      </c>
    </row>
    <row r="519" spans="2:6">
      <c r="B519" s="64">
        <v>508</v>
      </c>
      <c r="C519" s="70">
        <f t="shared" si="42"/>
        <v>0</v>
      </c>
      <c r="D519" s="65">
        <f t="shared" si="43"/>
        <v>0</v>
      </c>
      <c r="E519" s="65">
        <f t="shared" si="44"/>
        <v>0</v>
      </c>
      <c r="F519" s="65">
        <f t="shared" si="45"/>
        <v>0</v>
      </c>
    </row>
    <row r="520" spans="2:6">
      <c r="B520" s="64">
        <v>509</v>
      </c>
      <c r="C520" s="70">
        <f t="shared" si="42"/>
        <v>0</v>
      </c>
      <c r="D520" s="65">
        <f t="shared" si="43"/>
        <v>0</v>
      </c>
      <c r="E520" s="65">
        <f t="shared" si="44"/>
        <v>0</v>
      </c>
      <c r="F520" s="65">
        <f t="shared" si="45"/>
        <v>0</v>
      </c>
    </row>
    <row r="521" spans="2:6">
      <c r="B521" s="64">
        <v>510</v>
      </c>
      <c r="C521" s="70">
        <f t="shared" si="42"/>
        <v>0</v>
      </c>
      <c r="D521" s="65">
        <f t="shared" si="43"/>
        <v>0</v>
      </c>
      <c r="E521" s="65">
        <f t="shared" si="44"/>
        <v>0</v>
      </c>
      <c r="F521" s="65">
        <f t="shared" si="45"/>
        <v>0</v>
      </c>
    </row>
    <row r="522" spans="2:6">
      <c r="B522" s="64">
        <v>511</v>
      </c>
      <c r="C522" s="70">
        <f t="shared" si="42"/>
        <v>0</v>
      </c>
      <c r="D522" s="65">
        <f t="shared" si="43"/>
        <v>0</v>
      </c>
      <c r="E522" s="65">
        <f t="shared" si="44"/>
        <v>0</v>
      </c>
      <c r="F522" s="65">
        <f t="shared" si="45"/>
        <v>0</v>
      </c>
    </row>
    <row r="523" spans="2:6">
      <c r="B523" s="64">
        <v>512</v>
      </c>
      <c r="C523" s="70">
        <f t="shared" si="42"/>
        <v>0</v>
      </c>
      <c r="D523" s="65">
        <f t="shared" si="43"/>
        <v>0</v>
      </c>
      <c r="E523" s="65">
        <f t="shared" si="44"/>
        <v>0</v>
      </c>
      <c r="F523" s="65">
        <f t="shared" si="45"/>
        <v>0</v>
      </c>
    </row>
    <row r="524" spans="2:6">
      <c r="B524" s="64">
        <v>513</v>
      </c>
      <c r="C524" s="70">
        <f t="shared" si="42"/>
        <v>0</v>
      </c>
      <c r="D524" s="65">
        <f t="shared" si="43"/>
        <v>0</v>
      </c>
      <c r="E524" s="65">
        <f t="shared" si="44"/>
        <v>0</v>
      </c>
      <c r="F524" s="65">
        <f t="shared" si="45"/>
        <v>0</v>
      </c>
    </row>
    <row r="525" spans="2:6">
      <c r="B525" s="64">
        <v>514</v>
      </c>
      <c r="C525" s="70">
        <f t="shared" si="42"/>
        <v>0</v>
      </c>
      <c r="D525" s="65">
        <f t="shared" si="43"/>
        <v>0</v>
      </c>
      <c r="E525" s="65">
        <f t="shared" si="44"/>
        <v>0</v>
      </c>
      <c r="F525" s="65">
        <f t="shared" si="45"/>
        <v>0</v>
      </c>
    </row>
    <row r="526" spans="2:6">
      <c r="B526" s="64">
        <v>515</v>
      </c>
      <c r="C526" s="70">
        <f t="shared" si="42"/>
        <v>0</v>
      </c>
      <c r="D526" s="65">
        <f t="shared" si="43"/>
        <v>0</v>
      </c>
      <c r="E526" s="65">
        <f t="shared" si="44"/>
        <v>0</v>
      </c>
      <c r="F526" s="65">
        <f t="shared" si="45"/>
        <v>0</v>
      </c>
    </row>
    <row r="527" spans="2:6">
      <c r="B527" s="64">
        <v>516</v>
      </c>
      <c r="C527" s="70">
        <f t="shared" si="42"/>
        <v>0</v>
      </c>
      <c r="D527" s="65">
        <f t="shared" si="43"/>
        <v>0</v>
      </c>
      <c r="E527" s="65">
        <f t="shared" si="44"/>
        <v>0</v>
      </c>
      <c r="F527" s="65">
        <f t="shared" si="45"/>
        <v>0</v>
      </c>
    </row>
    <row r="528" spans="2:6">
      <c r="B528" s="64">
        <v>517</v>
      </c>
      <c r="C528" s="70">
        <f t="shared" si="42"/>
        <v>0</v>
      </c>
      <c r="D528" s="65">
        <f t="shared" si="43"/>
        <v>0</v>
      </c>
      <c r="E528" s="65">
        <f t="shared" si="44"/>
        <v>0</v>
      </c>
      <c r="F528" s="65">
        <f t="shared" si="45"/>
        <v>0</v>
      </c>
    </row>
    <row r="529" spans="2:6">
      <c r="B529" s="64">
        <v>518</v>
      </c>
      <c r="C529" s="70">
        <f t="shared" si="42"/>
        <v>0</v>
      </c>
      <c r="D529" s="65">
        <f t="shared" si="43"/>
        <v>0</v>
      </c>
      <c r="E529" s="65">
        <f t="shared" si="44"/>
        <v>0</v>
      </c>
      <c r="F529" s="65">
        <f t="shared" si="45"/>
        <v>0</v>
      </c>
    </row>
    <row r="530" spans="2:6">
      <c r="B530" s="64">
        <v>519</v>
      </c>
      <c r="C530" s="70">
        <f t="shared" si="42"/>
        <v>0</v>
      </c>
      <c r="D530" s="65">
        <f t="shared" si="43"/>
        <v>0</v>
      </c>
      <c r="E530" s="65">
        <f t="shared" si="44"/>
        <v>0</v>
      </c>
      <c r="F530" s="65">
        <f t="shared" si="45"/>
        <v>0</v>
      </c>
    </row>
    <row r="531" spans="2:6">
      <c r="B531" s="64">
        <v>520</v>
      </c>
      <c r="C531" s="70">
        <f t="shared" si="42"/>
        <v>0</v>
      </c>
      <c r="D531" s="65">
        <f t="shared" si="43"/>
        <v>0</v>
      </c>
      <c r="E531" s="65">
        <f t="shared" si="44"/>
        <v>0</v>
      </c>
      <c r="F531" s="65">
        <f t="shared" si="45"/>
        <v>0</v>
      </c>
    </row>
    <row r="532" spans="2:6">
      <c r="B532" s="64">
        <v>521</v>
      </c>
      <c r="C532" s="70">
        <f t="shared" si="42"/>
        <v>0</v>
      </c>
      <c r="D532" s="65">
        <f t="shared" si="43"/>
        <v>0</v>
      </c>
      <c r="E532" s="65">
        <f t="shared" si="44"/>
        <v>0</v>
      </c>
      <c r="F532" s="65">
        <f t="shared" si="45"/>
        <v>0</v>
      </c>
    </row>
    <row r="533" spans="2:6">
      <c r="B533" s="64">
        <v>522</v>
      </c>
      <c r="C533" s="70">
        <f t="shared" si="42"/>
        <v>0</v>
      </c>
      <c r="D533" s="65">
        <f t="shared" si="43"/>
        <v>0</v>
      </c>
      <c r="E533" s="65">
        <f t="shared" si="44"/>
        <v>0</v>
      </c>
      <c r="F533" s="65">
        <f t="shared" si="45"/>
        <v>0</v>
      </c>
    </row>
    <row r="534" spans="2:6">
      <c r="B534" s="64">
        <v>523</v>
      </c>
      <c r="C534" s="70">
        <f t="shared" si="42"/>
        <v>0</v>
      </c>
      <c r="D534" s="65">
        <f t="shared" si="43"/>
        <v>0</v>
      </c>
      <c r="E534" s="65">
        <f t="shared" si="44"/>
        <v>0</v>
      </c>
      <c r="F534" s="65">
        <f t="shared" si="45"/>
        <v>0</v>
      </c>
    </row>
    <row r="535" spans="2:6">
      <c r="B535" s="64">
        <v>524</v>
      </c>
      <c r="C535" s="70">
        <f t="shared" si="42"/>
        <v>0</v>
      </c>
      <c r="D535" s="65">
        <f t="shared" si="43"/>
        <v>0</v>
      </c>
      <c r="E535" s="65">
        <f t="shared" si="44"/>
        <v>0</v>
      </c>
      <c r="F535" s="65">
        <f t="shared" si="45"/>
        <v>0</v>
      </c>
    </row>
    <row r="536" spans="2:6">
      <c r="B536" s="64">
        <v>525</v>
      </c>
      <c r="C536" s="70">
        <f t="shared" si="42"/>
        <v>0</v>
      </c>
      <c r="D536" s="65">
        <f t="shared" si="43"/>
        <v>0</v>
      </c>
      <c r="E536" s="65">
        <f t="shared" si="44"/>
        <v>0</v>
      </c>
      <c r="F536" s="65">
        <f t="shared" si="45"/>
        <v>0</v>
      </c>
    </row>
    <row r="537" spans="2:6">
      <c r="B537" s="64">
        <v>526</v>
      </c>
      <c r="C537" s="70">
        <f t="shared" si="42"/>
        <v>0</v>
      </c>
      <c r="D537" s="65">
        <f t="shared" si="43"/>
        <v>0</v>
      </c>
      <c r="E537" s="65">
        <f t="shared" si="44"/>
        <v>0</v>
      </c>
      <c r="F537" s="65">
        <f t="shared" si="45"/>
        <v>0</v>
      </c>
    </row>
    <row r="538" spans="2:6">
      <c r="B538" s="64">
        <v>527</v>
      </c>
      <c r="C538" s="70">
        <f t="shared" si="42"/>
        <v>0</v>
      </c>
      <c r="D538" s="65">
        <f t="shared" si="43"/>
        <v>0</v>
      </c>
      <c r="E538" s="65">
        <f t="shared" si="44"/>
        <v>0</v>
      </c>
      <c r="F538" s="65">
        <f t="shared" si="45"/>
        <v>0</v>
      </c>
    </row>
    <row r="539" spans="2:6">
      <c r="B539" s="64">
        <v>528</v>
      </c>
      <c r="C539" s="70">
        <f t="shared" si="42"/>
        <v>0</v>
      </c>
      <c r="D539" s="65">
        <f t="shared" si="43"/>
        <v>0</v>
      </c>
      <c r="E539" s="65">
        <f t="shared" si="44"/>
        <v>0</v>
      </c>
      <c r="F539" s="65">
        <f t="shared" si="45"/>
        <v>0</v>
      </c>
    </row>
    <row r="540" spans="2:6">
      <c r="B540" s="64">
        <v>529</v>
      </c>
      <c r="C540" s="70">
        <f t="shared" si="42"/>
        <v>0</v>
      </c>
      <c r="D540" s="65">
        <f t="shared" si="43"/>
        <v>0</v>
      </c>
      <c r="E540" s="65">
        <f t="shared" si="44"/>
        <v>0</v>
      </c>
      <c r="F540" s="65">
        <f t="shared" si="45"/>
        <v>0</v>
      </c>
    </row>
    <row r="541" spans="2:6">
      <c r="B541" s="64">
        <v>530</v>
      </c>
      <c r="C541" s="70">
        <f t="shared" si="42"/>
        <v>0</v>
      </c>
      <c r="D541" s="65">
        <f t="shared" si="43"/>
        <v>0</v>
      </c>
      <c r="E541" s="65">
        <f t="shared" si="44"/>
        <v>0</v>
      </c>
      <c r="F541" s="65">
        <f t="shared" si="45"/>
        <v>0</v>
      </c>
    </row>
    <row r="542" spans="2:6">
      <c r="B542" s="64">
        <v>531</v>
      </c>
      <c r="C542" s="70">
        <f t="shared" ref="C542:C605" si="46">IF(F541&gt;$C$6,$C$6,F541+D542)</f>
        <v>0</v>
      </c>
      <c r="D542" s="65">
        <f t="shared" ref="D542:D605" si="47">+$C$4*F541/12</f>
        <v>0</v>
      </c>
      <c r="E542" s="65">
        <f t="shared" ref="E542:E605" si="48">+C542-D542</f>
        <v>0</v>
      </c>
      <c r="F542" s="65">
        <f t="shared" ref="F542:F605" si="49">+F541-E542</f>
        <v>0</v>
      </c>
    </row>
    <row r="543" spans="2:6">
      <c r="B543" s="64">
        <v>532</v>
      </c>
      <c r="C543" s="70">
        <f t="shared" si="46"/>
        <v>0</v>
      </c>
      <c r="D543" s="65">
        <f t="shared" si="47"/>
        <v>0</v>
      </c>
      <c r="E543" s="65">
        <f t="shared" si="48"/>
        <v>0</v>
      </c>
      <c r="F543" s="65">
        <f t="shared" si="49"/>
        <v>0</v>
      </c>
    </row>
    <row r="544" spans="2:6">
      <c r="B544" s="64">
        <v>533</v>
      </c>
      <c r="C544" s="70">
        <f t="shared" si="46"/>
        <v>0</v>
      </c>
      <c r="D544" s="65">
        <f t="shared" si="47"/>
        <v>0</v>
      </c>
      <c r="E544" s="65">
        <f t="shared" si="48"/>
        <v>0</v>
      </c>
      <c r="F544" s="65">
        <f t="shared" si="49"/>
        <v>0</v>
      </c>
    </row>
    <row r="545" spans="2:6">
      <c r="B545" s="64">
        <v>534</v>
      </c>
      <c r="C545" s="70">
        <f t="shared" si="46"/>
        <v>0</v>
      </c>
      <c r="D545" s="65">
        <f t="shared" si="47"/>
        <v>0</v>
      </c>
      <c r="E545" s="65">
        <f t="shared" si="48"/>
        <v>0</v>
      </c>
      <c r="F545" s="65">
        <f t="shared" si="49"/>
        <v>0</v>
      </c>
    </row>
    <row r="546" spans="2:6">
      <c r="B546" s="64">
        <v>535</v>
      </c>
      <c r="C546" s="70">
        <f t="shared" si="46"/>
        <v>0</v>
      </c>
      <c r="D546" s="65">
        <f t="shared" si="47"/>
        <v>0</v>
      </c>
      <c r="E546" s="65">
        <f t="shared" si="48"/>
        <v>0</v>
      </c>
      <c r="F546" s="65">
        <f t="shared" si="49"/>
        <v>0</v>
      </c>
    </row>
    <row r="547" spans="2:6">
      <c r="B547" s="64">
        <v>536</v>
      </c>
      <c r="C547" s="70">
        <f t="shared" si="46"/>
        <v>0</v>
      </c>
      <c r="D547" s="65">
        <f t="shared" si="47"/>
        <v>0</v>
      </c>
      <c r="E547" s="65">
        <f t="shared" si="48"/>
        <v>0</v>
      </c>
      <c r="F547" s="65">
        <f t="shared" si="49"/>
        <v>0</v>
      </c>
    </row>
    <row r="548" spans="2:6">
      <c r="B548" s="64">
        <v>537</v>
      </c>
      <c r="C548" s="70">
        <f t="shared" si="46"/>
        <v>0</v>
      </c>
      <c r="D548" s="65">
        <f t="shared" si="47"/>
        <v>0</v>
      </c>
      <c r="E548" s="65">
        <f t="shared" si="48"/>
        <v>0</v>
      </c>
      <c r="F548" s="65">
        <f t="shared" si="49"/>
        <v>0</v>
      </c>
    </row>
    <row r="549" spans="2:6">
      <c r="B549" s="64">
        <v>538</v>
      </c>
      <c r="C549" s="70">
        <f t="shared" si="46"/>
        <v>0</v>
      </c>
      <c r="D549" s="65">
        <f t="shared" si="47"/>
        <v>0</v>
      </c>
      <c r="E549" s="65">
        <f t="shared" si="48"/>
        <v>0</v>
      </c>
      <c r="F549" s="65">
        <f t="shared" si="49"/>
        <v>0</v>
      </c>
    </row>
    <row r="550" spans="2:6">
      <c r="B550" s="64">
        <v>539</v>
      </c>
      <c r="C550" s="70">
        <f t="shared" si="46"/>
        <v>0</v>
      </c>
      <c r="D550" s="65">
        <f t="shared" si="47"/>
        <v>0</v>
      </c>
      <c r="E550" s="65">
        <f t="shared" si="48"/>
        <v>0</v>
      </c>
      <c r="F550" s="65">
        <f t="shared" si="49"/>
        <v>0</v>
      </c>
    </row>
    <row r="551" spans="2:6">
      <c r="B551" s="64">
        <v>540</v>
      </c>
      <c r="C551" s="70">
        <f t="shared" si="46"/>
        <v>0</v>
      </c>
      <c r="D551" s="65">
        <f t="shared" si="47"/>
        <v>0</v>
      </c>
      <c r="E551" s="65">
        <f t="shared" si="48"/>
        <v>0</v>
      </c>
      <c r="F551" s="65">
        <f t="shared" si="49"/>
        <v>0</v>
      </c>
    </row>
    <row r="552" spans="2:6">
      <c r="B552" s="64">
        <v>541</v>
      </c>
      <c r="C552" s="70">
        <f t="shared" si="46"/>
        <v>0</v>
      </c>
      <c r="D552" s="65">
        <f t="shared" si="47"/>
        <v>0</v>
      </c>
      <c r="E552" s="65">
        <f t="shared" si="48"/>
        <v>0</v>
      </c>
      <c r="F552" s="65">
        <f t="shared" si="49"/>
        <v>0</v>
      </c>
    </row>
    <row r="553" spans="2:6">
      <c r="B553" s="64">
        <v>542</v>
      </c>
      <c r="C553" s="70">
        <f t="shared" si="46"/>
        <v>0</v>
      </c>
      <c r="D553" s="65">
        <f t="shared" si="47"/>
        <v>0</v>
      </c>
      <c r="E553" s="65">
        <f t="shared" si="48"/>
        <v>0</v>
      </c>
      <c r="F553" s="65">
        <f t="shared" si="49"/>
        <v>0</v>
      </c>
    </row>
    <row r="554" spans="2:6">
      <c r="B554" s="64">
        <v>543</v>
      </c>
      <c r="C554" s="70">
        <f t="shared" si="46"/>
        <v>0</v>
      </c>
      <c r="D554" s="65">
        <f t="shared" si="47"/>
        <v>0</v>
      </c>
      <c r="E554" s="65">
        <f t="shared" si="48"/>
        <v>0</v>
      </c>
      <c r="F554" s="65">
        <f t="shared" si="49"/>
        <v>0</v>
      </c>
    </row>
    <row r="555" spans="2:6">
      <c r="B555" s="64">
        <v>544</v>
      </c>
      <c r="C555" s="70">
        <f t="shared" si="46"/>
        <v>0</v>
      </c>
      <c r="D555" s="65">
        <f t="shared" si="47"/>
        <v>0</v>
      </c>
      <c r="E555" s="65">
        <f t="shared" si="48"/>
        <v>0</v>
      </c>
      <c r="F555" s="65">
        <f t="shared" si="49"/>
        <v>0</v>
      </c>
    </row>
    <row r="556" spans="2:6">
      <c r="B556" s="64">
        <v>545</v>
      </c>
      <c r="C556" s="70">
        <f t="shared" si="46"/>
        <v>0</v>
      </c>
      <c r="D556" s="65">
        <f t="shared" si="47"/>
        <v>0</v>
      </c>
      <c r="E556" s="65">
        <f t="shared" si="48"/>
        <v>0</v>
      </c>
      <c r="F556" s="65">
        <f t="shared" si="49"/>
        <v>0</v>
      </c>
    </row>
    <row r="557" spans="2:6">
      <c r="B557" s="64">
        <v>546</v>
      </c>
      <c r="C557" s="70">
        <f t="shared" si="46"/>
        <v>0</v>
      </c>
      <c r="D557" s="65">
        <f t="shared" si="47"/>
        <v>0</v>
      </c>
      <c r="E557" s="65">
        <f t="shared" si="48"/>
        <v>0</v>
      </c>
      <c r="F557" s="65">
        <f t="shared" si="49"/>
        <v>0</v>
      </c>
    </row>
    <row r="558" spans="2:6">
      <c r="B558" s="64">
        <v>547</v>
      </c>
      <c r="C558" s="70">
        <f t="shared" si="46"/>
        <v>0</v>
      </c>
      <c r="D558" s="65">
        <f t="shared" si="47"/>
        <v>0</v>
      </c>
      <c r="E558" s="65">
        <f t="shared" si="48"/>
        <v>0</v>
      </c>
      <c r="F558" s="65">
        <f t="shared" si="49"/>
        <v>0</v>
      </c>
    </row>
    <row r="559" spans="2:6">
      <c r="B559" s="64">
        <v>548</v>
      </c>
      <c r="C559" s="70">
        <f t="shared" si="46"/>
        <v>0</v>
      </c>
      <c r="D559" s="65">
        <f t="shared" si="47"/>
        <v>0</v>
      </c>
      <c r="E559" s="65">
        <f t="shared" si="48"/>
        <v>0</v>
      </c>
      <c r="F559" s="65">
        <f t="shared" si="49"/>
        <v>0</v>
      </c>
    </row>
    <row r="560" spans="2:6">
      <c r="B560" s="64">
        <v>549</v>
      </c>
      <c r="C560" s="70">
        <f t="shared" si="46"/>
        <v>0</v>
      </c>
      <c r="D560" s="65">
        <f t="shared" si="47"/>
        <v>0</v>
      </c>
      <c r="E560" s="65">
        <f t="shared" si="48"/>
        <v>0</v>
      </c>
      <c r="F560" s="65">
        <f t="shared" si="49"/>
        <v>0</v>
      </c>
    </row>
    <row r="561" spans="2:6">
      <c r="B561" s="64">
        <v>550</v>
      </c>
      <c r="C561" s="70">
        <f t="shared" si="46"/>
        <v>0</v>
      </c>
      <c r="D561" s="65">
        <f t="shared" si="47"/>
        <v>0</v>
      </c>
      <c r="E561" s="65">
        <f t="shared" si="48"/>
        <v>0</v>
      </c>
      <c r="F561" s="65">
        <f t="shared" si="49"/>
        <v>0</v>
      </c>
    </row>
    <row r="562" spans="2:6">
      <c r="B562" s="64">
        <v>551</v>
      </c>
      <c r="C562" s="70">
        <f t="shared" si="46"/>
        <v>0</v>
      </c>
      <c r="D562" s="65">
        <f t="shared" si="47"/>
        <v>0</v>
      </c>
      <c r="E562" s="65">
        <f t="shared" si="48"/>
        <v>0</v>
      </c>
      <c r="F562" s="65">
        <f t="shared" si="49"/>
        <v>0</v>
      </c>
    </row>
    <row r="563" spans="2:6">
      <c r="B563" s="64">
        <v>552</v>
      </c>
      <c r="C563" s="70">
        <f t="shared" si="46"/>
        <v>0</v>
      </c>
      <c r="D563" s="65">
        <f t="shared" si="47"/>
        <v>0</v>
      </c>
      <c r="E563" s="65">
        <f t="shared" si="48"/>
        <v>0</v>
      </c>
      <c r="F563" s="65">
        <f t="shared" si="49"/>
        <v>0</v>
      </c>
    </row>
    <row r="564" spans="2:6">
      <c r="B564" s="64">
        <v>553</v>
      </c>
      <c r="C564" s="70">
        <f t="shared" si="46"/>
        <v>0</v>
      </c>
      <c r="D564" s="65">
        <f t="shared" si="47"/>
        <v>0</v>
      </c>
      <c r="E564" s="65">
        <f t="shared" si="48"/>
        <v>0</v>
      </c>
      <c r="F564" s="65">
        <f t="shared" si="49"/>
        <v>0</v>
      </c>
    </row>
    <row r="565" spans="2:6">
      <c r="B565" s="64">
        <v>554</v>
      </c>
      <c r="C565" s="70">
        <f t="shared" si="46"/>
        <v>0</v>
      </c>
      <c r="D565" s="65">
        <f t="shared" si="47"/>
        <v>0</v>
      </c>
      <c r="E565" s="65">
        <f t="shared" si="48"/>
        <v>0</v>
      </c>
      <c r="F565" s="65">
        <f t="shared" si="49"/>
        <v>0</v>
      </c>
    </row>
    <row r="566" spans="2:6">
      <c r="B566" s="64">
        <v>555</v>
      </c>
      <c r="C566" s="70">
        <f t="shared" si="46"/>
        <v>0</v>
      </c>
      <c r="D566" s="65">
        <f t="shared" si="47"/>
        <v>0</v>
      </c>
      <c r="E566" s="65">
        <f t="shared" si="48"/>
        <v>0</v>
      </c>
      <c r="F566" s="65">
        <f t="shared" si="49"/>
        <v>0</v>
      </c>
    </row>
    <row r="567" spans="2:6">
      <c r="B567" s="64">
        <v>556</v>
      </c>
      <c r="C567" s="70">
        <f t="shared" si="46"/>
        <v>0</v>
      </c>
      <c r="D567" s="65">
        <f t="shared" si="47"/>
        <v>0</v>
      </c>
      <c r="E567" s="65">
        <f t="shared" si="48"/>
        <v>0</v>
      </c>
      <c r="F567" s="65">
        <f t="shared" si="49"/>
        <v>0</v>
      </c>
    </row>
    <row r="568" spans="2:6">
      <c r="B568" s="64">
        <v>557</v>
      </c>
      <c r="C568" s="70">
        <f t="shared" si="46"/>
        <v>0</v>
      </c>
      <c r="D568" s="65">
        <f t="shared" si="47"/>
        <v>0</v>
      </c>
      <c r="E568" s="65">
        <f t="shared" si="48"/>
        <v>0</v>
      </c>
      <c r="F568" s="65">
        <f t="shared" si="49"/>
        <v>0</v>
      </c>
    </row>
    <row r="569" spans="2:6">
      <c r="B569" s="64">
        <v>558</v>
      </c>
      <c r="C569" s="70">
        <f t="shared" si="46"/>
        <v>0</v>
      </c>
      <c r="D569" s="65">
        <f t="shared" si="47"/>
        <v>0</v>
      </c>
      <c r="E569" s="65">
        <f t="shared" si="48"/>
        <v>0</v>
      </c>
      <c r="F569" s="65">
        <f t="shared" si="49"/>
        <v>0</v>
      </c>
    </row>
    <row r="570" spans="2:6">
      <c r="B570" s="64">
        <v>559</v>
      </c>
      <c r="C570" s="70">
        <f t="shared" si="46"/>
        <v>0</v>
      </c>
      <c r="D570" s="65">
        <f t="shared" si="47"/>
        <v>0</v>
      </c>
      <c r="E570" s="65">
        <f t="shared" si="48"/>
        <v>0</v>
      </c>
      <c r="F570" s="65">
        <f t="shared" si="49"/>
        <v>0</v>
      </c>
    </row>
    <row r="571" spans="2:6">
      <c r="B571" s="64">
        <v>560</v>
      </c>
      <c r="C571" s="70">
        <f t="shared" si="46"/>
        <v>0</v>
      </c>
      <c r="D571" s="65">
        <f t="shared" si="47"/>
        <v>0</v>
      </c>
      <c r="E571" s="65">
        <f t="shared" si="48"/>
        <v>0</v>
      </c>
      <c r="F571" s="65">
        <f t="shared" si="49"/>
        <v>0</v>
      </c>
    </row>
    <row r="572" spans="2:6">
      <c r="B572" s="64">
        <v>561</v>
      </c>
      <c r="C572" s="70">
        <f t="shared" si="46"/>
        <v>0</v>
      </c>
      <c r="D572" s="65">
        <f t="shared" si="47"/>
        <v>0</v>
      </c>
      <c r="E572" s="65">
        <f t="shared" si="48"/>
        <v>0</v>
      </c>
      <c r="F572" s="65">
        <f t="shared" si="49"/>
        <v>0</v>
      </c>
    </row>
    <row r="573" spans="2:6">
      <c r="B573" s="64">
        <v>562</v>
      </c>
      <c r="C573" s="70">
        <f t="shared" si="46"/>
        <v>0</v>
      </c>
      <c r="D573" s="65">
        <f t="shared" si="47"/>
        <v>0</v>
      </c>
      <c r="E573" s="65">
        <f t="shared" si="48"/>
        <v>0</v>
      </c>
      <c r="F573" s="65">
        <f t="shared" si="49"/>
        <v>0</v>
      </c>
    </row>
    <row r="574" spans="2:6">
      <c r="B574" s="64">
        <v>563</v>
      </c>
      <c r="C574" s="70">
        <f t="shared" si="46"/>
        <v>0</v>
      </c>
      <c r="D574" s="65">
        <f t="shared" si="47"/>
        <v>0</v>
      </c>
      <c r="E574" s="65">
        <f t="shared" si="48"/>
        <v>0</v>
      </c>
      <c r="F574" s="65">
        <f t="shared" si="49"/>
        <v>0</v>
      </c>
    </row>
    <row r="575" spans="2:6">
      <c r="B575" s="64">
        <v>564</v>
      </c>
      <c r="C575" s="70">
        <f t="shared" si="46"/>
        <v>0</v>
      </c>
      <c r="D575" s="65">
        <f t="shared" si="47"/>
        <v>0</v>
      </c>
      <c r="E575" s="65">
        <f t="shared" si="48"/>
        <v>0</v>
      </c>
      <c r="F575" s="65">
        <f t="shared" si="49"/>
        <v>0</v>
      </c>
    </row>
    <row r="576" spans="2:6">
      <c r="B576" s="64">
        <v>565</v>
      </c>
      <c r="C576" s="70">
        <f t="shared" si="46"/>
        <v>0</v>
      </c>
      <c r="D576" s="65">
        <f t="shared" si="47"/>
        <v>0</v>
      </c>
      <c r="E576" s="65">
        <f t="shared" si="48"/>
        <v>0</v>
      </c>
      <c r="F576" s="65">
        <f t="shared" si="49"/>
        <v>0</v>
      </c>
    </row>
    <row r="577" spans="2:6">
      <c r="B577" s="64">
        <v>566</v>
      </c>
      <c r="C577" s="70">
        <f t="shared" si="46"/>
        <v>0</v>
      </c>
      <c r="D577" s="65">
        <f t="shared" si="47"/>
        <v>0</v>
      </c>
      <c r="E577" s="65">
        <f t="shared" si="48"/>
        <v>0</v>
      </c>
      <c r="F577" s="65">
        <f t="shared" si="49"/>
        <v>0</v>
      </c>
    </row>
    <row r="578" spans="2:6">
      <c r="B578" s="64">
        <v>567</v>
      </c>
      <c r="C578" s="70">
        <f t="shared" si="46"/>
        <v>0</v>
      </c>
      <c r="D578" s="65">
        <f t="shared" si="47"/>
        <v>0</v>
      </c>
      <c r="E578" s="65">
        <f t="shared" si="48"/>
        <v>0</v>
      </c>
      <c r="F578" s="65">
        <f t="shared" si="49"/>
        <v>0</v>
      </c>
    </row>
    <row r="579" spans="2:6">
      <c r="B579" s="64">
        <v>568</v>
      </c>
      <c r="C579" s="70">
        <f t="shared" si="46"/>
        <v>0</v>
      </c>
      <c r="D579" s="65">
        <f t="shared" si="47"/>
        <v>0</v>
      </c>
      <c r="E579" s="65">
        <f t="shared" si="48"/>
        <v>0</v>
      </c>
      <c r="F579" s="65">
        <f t="shared" si="49"/>
        <v>0</v>
      </c>
    </row>
    <row r="580" spans="2:6">
      <c r="B580" s="64">
        <v>569</v>
      </c>
      <c r="C580" s="70">
        <f t="shared" si="46"/>
        <v>0</v>
      </c>
      <c r="D580" s="65">
        <f t="shared" si="47"/>
        <v>0</v>
      </c>
      <c r="E580" s="65">
        <f t="shared" si="48"/>
        <v>0</v>
      </c>
      <c r="F580" s="65">
        <f t="shared" si="49"/>
        <v>0</v>
      </c>
    </row>
    <row r="581" spans="2:6">
      <c r="B581" s="64">
        <v>570</v>
      </c>
      <c r="C581" s="70">
        <f t="shared" si="46"/>
        <v>0</v>
      </c>
      <c r="D581" s="65">
        <f t="shared" si="47"/>
        <v>0</v>
      </c>
      <c r="E581" s="65">
        <f t="shared" si="48"/>
        <v>0</v>
      </c>
      <c r="F581" s="65">
        <f t="shared" si="49"/>
        <v>0</v>
      </c>
    </row>
    <row r="582" spans="2:6">
      <c r="B582" s="64">
        <v>571</v>
      </c>
      <c r="C582" s="70">
        <f t="shared" si="46"/>
        <v>0</v>
      </c>
      <c r="D582" s="65">
        <f t="shared" si="47"/>
        <v>0</v>
      </c>
      <c r="E582" s="65">
        <f t="shared" si="48"/>
        <v>0</v>
      </c>
      <c r="F582" s="65">
        <f t="shared" si="49"/>
        <v>0</v>
      </c>
    </row>
    <row r="583" spans="2:6">
      <c r="B583" s="64">
        <v>572</v>
      </c>
      <c r="C583" s="70">
        <f t="shared" si="46"/>
        <v>0</v>
      </c>
      <c r="D583" s="65">
        <f t="shared" si="47"/>
        <v>0</v>
      </c>
      <c r="E583" s="65">
        <f t="shared" si="48"/>
        <v>0</v>
      </c>
      <c r="F583" s="65">
        <f t="shared" si="49"/>
        <v>0</v>
      </c>
    </row>
    <row r="584" spans="2:6">
      <c r="B584" s="64">
        <v>573</v>
      </c>
      <c r="C584" s="70">
        <f t="shared" si="46"/>
        <v>0</v>
      </c>
      <c r="D584" s="65">
        <f t="shared" si="47"/>
        <v>0</v>
      </c>
      <c r="E584" s="65">
        <f t="shared" si="48"/>
        <v>0</v>
      </c>
      <c r="F584" s="65">
        <f t="shared" si="49"/>
        <v>0</v>
      </c>
    </row>
    <row r="585" spans="2:6">
      <c r="B585" s="64">
        <v>574</v>
      </c>
      <c r="C585" s="70">
        <f t="shared" si="46"/>
        <v>0</v>
      </c>
      <c r="D585" s="65">
        <f t="shared" si="47"/>
        <v>0</v>
      </c>
      <c r="E585" s="65">
        <f t="shared" si="48"/>
        <v>0</v>
      </c>
      <c r="F585" s="65">
        <f t="shared" si="49"/>
        <v>0</v>
      </c>
    </row>
    <row r="586" spans="2:6">
      <c r="B586" s="64">
        <v>575</v>
      </c>
      <c r="C586" s="70">
        <f t="shared" si="46"/>
        <v>0</v>
      </c>
      <c r="D586" s="65">
        <f t="shared" si="47"/>
        <v>0</v>
      </c>
      <c r="E586" s="65">
        <f t="shared" si="48"/>
        <v>0</v>
      </c>
      <c r="F586" s="65">
        <f t="shared" si="49"/>
        <v>0</v>
      </c>
    </row>
    <row r="587" spans="2:6">
      <c r="B587" s="64">
        <v>576</v>
      </c>
      <c r="C587" s="70">
        <f t="shared" si="46"/>
        <v>0</v>
      </c>
      <c r="D587" s="65">
        <f t="shared" si="47"/>
        <v>0</v>
      </c>
      <c r="E587" s="65">
        <f t="shared" si="48"/>
        <v>0</v>
      </c>
      <c r="F587" s="65">
        <f t="shared" si="49"/>
        <v>0</v>
      </c>
    </row>
    <row r="588" spans="2:6">
      <c r="B588" s="64">
        <v>577</v>
      </c>
      <c r="C588" s="70">
        <f t="shared" si="46"/>
        <v>0</v>
      </c>
      <c r="D588" s="65">
        <f t="shared" si="47"/>
        <v>0</v>
      </c>
      <c r="E588" s="65">
        <f t="shared" si="48"/>
        <v>0</v>
      </c>
      <c r="F588" s="65">
        <f t="shared" si="49"/>
        <v>0</v>
      </c>
    </row>
    <row r="589" spans="2:6">
      <c r="B589" s="64">
        <v>578</v>
      </c>
      <c r="C589" s="70">
        <f t="shared" si="46"/>
        <v>0</v>
      </c>
      <c r="D589" s="65">
        <f t="shared" si="47"/>
        <v>0</v>
      </c>
      <c r="E589" s="65">
        <f t="shared" si="48"/>
        <v>0</v>
      </c>
      <c r="F589" s="65">
        <f t="shared" si="49"/>
        <v>0</v>
      </c>
    </row>
    <row r="590" spans="2:6">
      <c r="B590" s="64">
        <v>579</v>
      </c>
      <c r="C590" s="70">
        <f t="shared" si="46"/>
        <v>0</v>
      </c>
      <c r="D590" s="65">
        <f t="shared" si="47"/>
        <v>0</v>
      </c>
      <c r="E590" s="65">
        <f t="shared" si="48"/>
        <v>0</v>
      </c>
      <c r="F590" s="65">
        <f t="shared" si="49"/>
        <v>0</v>
      </c>
    </row>
    <row r="591" spans="2:6">
      <c r="B591" s="64">
        <v>580</v>
      </c>
      <c r="C591" s="70">
        <f t="shared" si="46"/>
        <v>0</v>
      </c>
      <c r="D591" s="65">
        <f t="shared" si="47"/>
        <v>0</v>
      </c>
      <c r="E591" s="65">
        <f t="shared" si="48"/>
        <v>0</v>
      </c>
      <c r="F591" s="65">
        <f t="shared" si="49"/>
        <v>0</v>
      </c>
    </row>
    <row r="592" spans="2:6">
      <c r="B592" s="64">
        <v>581</v>
      </c>
      <c r="C592" s="70">
        <f t="shared" si="46"/>
        <v>0</v>
      </c>
      <c r="D592" s="65">
        <f t="shared" si="47"/>
        <v>0</v>
      </c>
      <c r="E592" s="65">
        <f t="shared" si="48"/>
        <v>0</v>
      </c>
      <c r="F592" s="65">
        <f t="shared" si="49"/>
        <v>0</v>
      </c>
    </row>
    <row r="593" spans="2:6">
      <c r="B593" s="64">
        <v>582</v>
      </c>
      <c r="C593" s="70">
        <f t="shared" si="46"/>
        <v>0</v>
      </c>
      <c r="D593" s="65">
        <f t="shared" si="47"/>
        <v>0</v>
      </c>
      <c r="E593" s="65">
        <f t="shared" si="48"/>
        <v>0</v>
      </c>
      <c r="F593" s="65">
        <f t="shared" si="49"/>
        <v>0</v>
      </c>
    </row>
    <row r="594" spans="2:6">
      <c r="B594" s="64">
        <v>583</v>
      </c>
      <c r="C594" s="70">
        <f t="shared" si="46"/>
        <v>0</v>
      </c>
      <c r="D594" s="65">
        <f t="shared" si="47"/>
        <v>0</v>
      </c>
      <c r="E594" s="65">
        <f t="shared" si="48"/>
        <v>0</v>
      </c>
      <c r="F594" s="65">
        <f t="shared" si="49"/>
        <v>0</v>
      </c>
    </row>
    <row r="595" spans="2:6">
      <c r="B595" s="64">
        <v>584</v>
      </c>
      <c r="C595" s="70">
        <f t="shared" si="46"/>
        <v>0</v>
      </c>
      <c r="D595" s="65">
        <f t="shared" si="47"/>
        <v>0</v>
      </c>
      <c r="E595" s="65">
        <f t="shared" si="48"/>
        <v>0</v>
      </c>
      <c r="F595" s="65">
        <f t="shared" si="49"/>
        <v>0</v>
      </c>
    </row>
    <row r="596" spans="2:6">
      <c r="B596" s="64">
        <v>585</v>
      </c>
      <c r="C596" s="70">
        <f t="shared" si="46"/>
        <v>0</v>
      </c>
      <c r="D596" s="65">
        <f t="shared" si="47"/>
        <v>0</v>
      </c>
      <c r="E596" s="65">
        <f t="shared" si="48"/>
        <v>0</v>
      </c>
      <c r="F596" s="65">
        <f t="shared" si="49"/>
        <v>0</v>
      </c>
    </row>
    <row r="597" spans="2:6">
      <c r="B597" s="64">
        <v>586</v>
      </c>
      <c r="C597" s="70">
        <f t="shared" si="46"/>
        <v>0</v>
      </c>
      <c r="D597" s="65">
        <f t="shared" si="47"/>
        <v>0</v>
      </c>
      <c r="E597" s="65">
        <f t="shared" si="48"/>
        <v>0</v>
      </c>
      <c r="F597" s="65">
        <f t="shared" si="49"/>
        <v>0</v>
      </c>
    </row>
    <row r="598" spans="2:6">
      <c r="B598" s="64">
        <v>587</v>
      </c>
      <c r="C598" s="70">
        <f t="shared" si="46"/>
        <v>0</v>
      </c>
      <c r="D598" s="65">
        <f t="shared" si="47"/>
        <v>0</v>
      </c>
      <c r="E598" s="65">
        <f t="shared" si="48"/>
        <v>0</v>
      </c>
      <c r="F598" s="65">
        <f t="shared" si="49"/>
        <v>0</v>
      </c>
    </row>
    <row r="599" spans="2:6">
      <c r="B599" s="64">
        <v>588</v>
      </c>
      <c r="C599" s="70">
        <f t="shared" si="46"/>
        <v>0</v>
      </c>
      <c r="D599" s="65">
        <f t="shared" si="47"/>
        <v>0</v>
      </c>
      <c r="E599" s="65">
        <f t="shared" si="48"/>
        <v>0</v>
      </c>
      <c r="F599" s="65">
        <f t="shared" si="49"/>
        <v>0</v>
      </c>
    </row>
    <row r="600" spans="2:6">
      <c r="B600" s="64">
        <v>589</v>
      </c>
      <c r="C600" s="70">
        <f t="shared" si="46"/>
        <v>0</v>
      </c>
      <c r="D600" s="65">
        <f t="shared" si="47"/>
        <v>0</v>
      </c>
      <c r="E600" s="65">
        <f t="shared" si="48"/>
        <v>0</v>
      </c>
      <c r="F600" s="65">
        <f t="shared" si="49"/>
        <v>0</v>
      </c>
    </row>
    <row r="601" spans="2:6">
      <c r="B601" s="64">
        <v>590</v>
      </c>
      <c r="C601" s="70">
        <f t="shared" si="46"/>
        <v>0</v>
      </c>
      <c r="D601" s="65">
        <f t="shared" si="47"/>
        <v>0</v>
      </c>
      <c r="E601" s="65">
        <f t="shared" si="48"/>
        <v>0</v>
      </c>
      <c r="F601" s="65">
        <f t="shared" si="49"/>
        <v>0</v>
      </c>
    </row>
    <row r="602" spans="2:6">
      <c r="B602" s="64">
        <v>591</v>
      </c>
      <c r="C602" s="70">
        <f t="shared" si="46"/>
        <v>0</v>
      </c>
      <c r="D602" s="65">
        <f t="shared" si="47"/>
        <v>0</v>
      </c>
      <c r="E602" s="65">
        <f t="shared" si="48"/>
        <v>0</v>
      </c>
      <c r="F602" s="65">
        <f t="shared" si="49"/>
        <v>0</v>
      </c>
    </row>
    <row r="603" spans="2:6">
      <c r="B603" s="64">
        <v>592</v>
      </c>
      <c r="C603" s="70">
        <f t="shared" si="46"/>
        <v>0</v>
      </c>
      <c r="D603" s="65">
        <f t="shared" si="47"/>
        <v>0</v>
      </c>
      <c r="E603" s="65">
        <f t="shared" si="48"/>
        <v>0</v>
      </c>
      <c r="F603" s="65">
        <f t="shared" si="49"/>
        <v>0</v>
      </c>
    </row>
    <row r="604" spans="2:6">
      <c r="B604" s="64">
        <v>593</v>
      </c>
      <c r="C604" s="70">
        <f t="shared" si="46"/>
        <v>0</v>
      </c>
      <c r="D604" s="65">
        <f t="shared" si="47"/>
        <v>0</v>
      </c>
      <c r="E604" s="65">
        <f t="shared" si="48"/>
        <v>0</v>
      </c>
      <c r="F604" s="65">
        <f t="shared" si="49"/>
        <v>0</v>
      </c>
    </row>
    <row r="605" spans="2:6">
      <c r="B605" s="64">
        <v>594</v>
      </c>
      <c r="C605" s="70">
        <f t="shared" si="46"/>
        <v>0</v>
      </c>
      <c r="D605" s="65">
        <f t="shared" si="47"/>
        <v>0</v>
      </c>
      <c r="E605" s="65">
        <f t="shared" si="48"/>
        <v>0</v>
      </c>
      <c r="F605" s="65">
        <f t="shared" si="49"/>
        <v>0</v>
      </c>
    </row>
    <row r="606" spans="2:6">
      <c r="B606" s="64">
        <v>595</v>
      </c>
      <c r="C606" s="70">
        <f t="shared" ref="C606:C669" si="50">IF(F605&gt;$C$6,$C$6,F605+D606)</f>
        <v>0</v>
      </c>
      <c r="D606" s="65">
        <f t="shared" ref="D606:D669" si="51">+$C$4*F605/12</f>
        <v>0</v>
      </c>
      <c r="E606" s="65">
        <f t="shared" ref="E606:E669" si="52">+C606-D606</f>
        <v>0</v>
      </c>
      <c r="F606" s="65">
        <f t="shared" ref="F606:F669" si="53">+F605-E606</f>
        <v>0</v>
      </c>
    </row>
    <row r="607" spans="2:6">
      <c r="B607" s="64">
        <v>596</v>
      </c>
      <c r="C607" s="70">
        <f t="shared" si="50"/>
        <v>0</v>
      </c>
      <c r="D607" s="65">
        <f t="shared" si="51"/>
        <v>0</v>
      </c>
      <c r="E607" s="65">
        <f t="shared" si="52"/>
        <v>0</v>
      </c>
      <c r="F607" s="65">
        <f t="shared" si="53"/>
        <v>0</v>
      </c>
    </row>
    <row r="608" spans="2:6">
      <c r="B608" s="64">
        <v>597</v>
      </c>
      <c r="C608" s="70">
        <f t="shared" si="50"/>
        <v>0</v>
      </c>
      <c r="D608" s="65">
        <f t="shared" si="51"/>
        <v>0</v>
      </c>
      <c r="E608" s="65">
        <f t="shared" si="52"/>
        <v>0</v>
      </c>
      <c r="F608" s="65">
        <f t="shared" si="53"/>
        <v>0</v>
      </c>
    </row>
    <row r="609" spans="2:6">
      <c r="B609" s="64">
        <v>598</v>
      </c>
      <c r="C609" s="70">
        <f t="shared" si="50"/>
        <v>0</v>
      </c>
      <c r="D609" s="65">
        <f t="shared" si="51"/>
        <v>0</v>
      </c>
      <c r="E609" s="65">
        <f t="shared" si="52"/>
        <v>0</v>
      </c>
      <c r="F609" s="65">
        <f t="shared" si="53"/>
        <v>0</v>
      </c>
    </row>
    <row r="610" spans="2:6">
      <c r="B610" s="64">
        <v>599</v>
      </c>
      <c r="C610" s="70">
        <f t="shared" si="50"/>
        <v>0</v>
      </c>
      <c r="D610" s="65">
        <f t="shared" si="51"/>
        <v>0</v>
      </c>
      <c r="E610" s="65">
        <f t="shared" si="52"/>
        <v>0</v>
      </c>
      <c r="F610" s="65">
        <f t="shared" si="53"/>
        <v>0</v>
      </c>
    </row>
    <row r="611" spans="2:6">
      <c r="B611" s="64">
        <v>600</v>
      </c>
      <c r="C611" s="70">
        <f t="shared" si="50"/>
        <v>0</v>
      </c>
      <c r="D611" s="65">
        <f t="shared" si="51"/>
        <v>0</v>
      </c>
      <c r="E611" s="65">
        <f t="shared" si="52"/>
        <v>0</v>
      </c>
      <c r="F611" s="65">
        <f t="shared" si="53"/>
        <v>0</v>
      </c>
    </row>
    <row r="612" spans="2:6">
      <c r="B612" s="64">
        <v>601</v>
      </c>
      <c r="C612" s="70">
        <f t="shared" si="50"/>
        <v>0</v>
      </c>
      <c r="D612" s="65">
        <f t="shared" si="51"/>
        <v>0</v>
      </c>
      <c r="E612" s="65">
        <f t="shared" si="52"/>
        <v>0</v>
      </c>
      <c r="F612" s="65">
        <f t="shared" si="53"/>
        <v>0</v>
      </c>
    </row>
    <row r="613" spans="2:6">
      <c r="B613" s="64">
        <v>602</v>
      </c>
      <c r="C613" s="70">
        <f t="shared" si="50"/>
        <v>0</v>
      </c>
      <c r="D613" s="65">
        <f t="shared" si="51"/>
        <v>0</v>
      </c>
      <c r="E613" s="65">
        <f t="shared" si="52"/>
        <v>0</v>
      </c>
      <c r="F613" s="65">
        <f t="shared" si="53"/>
        <v>0</v>
      </c>
    </row>
    <row r="614" spans="2:6">
      <c r="B614" s="64">
        <v>603</v>
      </c>
      <c r="C614" s="70">
        <f t="shared" si="50"/>
        <v>0</v>
      </c>
      <c r="D614" s="65">
        <f t="shared" si="51"/>
        <v>0</v>
      </c>
      <c r="E614" s="65">
        <f t="shared" si="52"/>
        <v>0</v>
      </c>
      <c r="F614" s="65">
        <f t="shared" si="53"/>
        <v>0</v>
      </c>
    </row>
    <row r="615" spans="2:6">
      <c r="B615" s="64">
        <v>604</v>
      </c>
      <c r="C615" s="70">
        <f t="shared" si="50"/>
        <v>0</v>
      </c>
      <c r="D615" s="65">
        <f t="shared" si="51"/>
        <v>0</v>
      </c>
      <c r="E615" s="65">
        <f t="shared" si="52"/>
        <v>0</v>
      </c>
      <c r="F615" s="65">
        <f t="shared" si="53"/>
        <v>0</v>
      </c>
    </row>
    <row r="616" spans="2:6">
      <c r="B616" s="64">
        <v>605</v>
      </c>
      <c r="C616" s="70">
        <f t="shared" si="50"/>
        <v>0</v>
      </c>
      <c r="D616" s="65">
        <f t="shared" si="51"/>
        <v>0</v>
      </c>
      <c r="E616" s="65">
        <f t="shared" si="52"/>
        <v>0</v>
      </c>
      <c r="F616" s="65">
        <f t="shared" si="53"/>
        <v>0</v>
      </c>
    </row>
    <row r="617" spans="2:6">
      <c r="B617" s="64">
        <v>606</v>
      </c>
      <c r="C617" s="70">
        <f t="shared" si="50"/>
        <v>0</v>
      </c>
      <c r="D617" s="65">
        <f t="shared" si="51"/>
        <v>0</v>
      </c>
      <c r="E617" s="65">
        <f t="shared" si="52"/>
        <v>0</v>
      </c>
      <c r="F617" s="65">
        <f t="shared" si="53"/>
        <v>0</v>
      </c>
    </row>
    <row r="618" spans="2:6">
      <c r="B618" s="64">
        <v>607</v>
      </c>
      <c r="C618" s="70">
        <f t="shared" si="50"/>
        <v>0</v>
      </c>
      <c r="D618" s="65">
        <f t="shared" si="51"/>
        <v>0</v>
      </c>
      <c r="E618" s="65">
        <f t="shared" si="52"/>
        <v>0</v>
      </c>
      <c r="F618" s="65">
        <f t="shared" si="53"/>
        <v>0</v>
      </c>
    </row>
    <row r="619" spans="2:6">
      <c r="B619" s="64">
        <v>608</v>
      </c>
      <c r="C619" s="70">
        <f t="shared" si="50"/>
        <v>0</v>
      </c>
      <c r="D619" s="65">
        <f t="shared" si="51"/>
        <v>0</v>
      </c>
      <c r="E619" s="65">
        <f t="shared" si="52"/>
        <v>0</v>
      </c>
      <c r="F619" s="65">
        <f t="shared" si="53"/>
        <v>0</v>
      </c>
    </row>
    <row r="620" spans="2:6">
      <c r="B620" s="64">
        <v>609</v>
      </c>
      <c r="C620" s="70">
        <f t="shared" si="50"/>
        <v>0</v>
      </c>
      <c r="D620" s="65">
        <f t="shared" si="51"/>
        <v>0</v>
      </c>
      <c r="E620" s="65">
        <f t="shared" si="52"/>
        <v>0</v>
      </c>
      <c r="F620" s="65">
        <f t="shared" si="53"/>
        <v>0</v>
      </c>
    </row>
    <row r="621" spans="2:6">
      <c r="B621" s="64">
        <v>610</v>
      </c>
      <c r="C621" s="70">
        <f t="shared" si="50"/>
        <v>0</v>
      </c>
      <c r="D621" s="65">
        <f t="shared" si="51"/>
        <v>0</v>
      </c>
      <c r="E621" s="65">
        <f t="shared" si="52"/>
        <v>0</v>
      </c>
      <c r="F621" s="65">
        <f t="shared" si="53"/>
        <v>0</v>
      </c>
    </row>
    <row r="622" spans="2:6">
      <c r="B622" s="64">
        <v>611</v>
      </c>
      <c r="C622" s="70">
        <f t="shared" si="50"/>
        <v>0</v>
      </c>
      <c r="D622" s="65">
        <f t="shared" si="51"/>
        <v>0</v>
      </c>
      <c r="E622" s="65">
        <f t="shared" si="52"/>
        <v>0</v>
      </c>
      <c r="F622" s="65">
        <f t="shared" si="53"/>
        <v>0</v>
      </c>
    </row>
    <row r="623" spans="2:6">
      <c r="B623" s="64">
        <v>612</v>
      </c>
      <c r="C623" s="70">
        <f t="shared" si="50"/>
        <v>0</v>
      </c>
      <c r="D623" s="65">
        <f t="shared" si="51"/>
        <v>0</v>
      </c>
      <c r="E623" s="65">
        <f t="shared" si="52"/>
        <v>0</v>
      </c>
      <c r="F623" s="65">
        <f t="shared" si="53"/>
        <v>0</v>
      </c>
    </row>
    <row r="624" spans="2:6">
      <c r="B624" s="64">
        <v>613</v>
      </c>
      <c r="C624" s="70">
        <f t="shared" si="50"/>
        <v>0</v>
      </c>
      <c r="D624" s="65">
        <f t="shared" si="51"/>
        <v>0</v>
      </c>
      <c r="E624" s="65">
        <f t="shared" si="52"/>
        <v>0</v>
      </c>
      <c r="F624" s="65">
        <f t="shared" si="53"/>
        <v>0</v>
      </c>
    </row>
    <row r="625" spans="2:6">
      <c r="B625" s="64">
        <v>614</v>
      </c>
      <c r="C625" s="70">
        <f t="shared" si="50"/>
        <v>0</v>
      </c>
      <c r="D625" s="65">
        <f t="shared" si="51"/>
        <v>0</v>
      </c>
      <c r="E625" s="65">
        <f t="shared" si="52"/>
        <v>0</v>
      </c>
      <c r="F625" s="65">
        <f t="shared" si="53"/>
        <v>0</v>
      </c>
    </row>
    <row r="626" spans="2:6">
      <c r="B626" s="64">
        <v>615</v>
      </c>
      <c r="C626" s="70">
        <f t="shared" si="50"/>
        <v>0</v>
      </c>
      <c r="D626" s="65">
        <f t="shared" si="51"/>
        <v>0</v>
      </c>
      <c r="E626" s="65">
        <f t="shared" si="52"/>
        <v>0</v>
      </c>
      <c r="F626" s="65">
        <f t="shared" si="53"/>
        <v>0</v>
      </c>
    </row>
    <row r="627" spans="2:6">
      <c r="B627" s="64">
        <v>616</v>
      </c>
      <c r="C627" s="70">
        <f t="shared" si="50"/>
        <v>0</v>
      </c>
      <c r="D627" s="65">
        <f t="shared" si="51"/>
        <v>0</v>
      </c>
      <c r="E627" s="65">
        <f t="shared" si="52"/>
        <v>0</v>
      </c>
      <c r="F627" s="65">
        <f t="shared" si="53"/>
        <v>0</v>
      </c>
    </row>
    <row r="628" spans="2:6">
      <c r="B628" s="64">
        <v>617</v>
      </c>
      <c r="C628" s="70">
        <f t="shared" si="50"/>
        <v>0</v>
      </c>
      <c r="D628" s="65">
        <f t="shared" si="51"/>
        <v>0</v>
      </c>
      <c r="E628" s="65">
        <f t="shared" si="52"/>
        <v>0</v>
      </c>
      <c r="F628" s="65">
        <f t="shared" si="53"/>
        <v>0</v>
      </c>
    </row>
    <row r="629" spans="2:6">
      <c r="B629" s="64">
        <v>618</v>
      </c>
      <c r="C629" s="70">
        <f t="shared" si="50"/>
        <v>0</v>
      </c>
      <c r="D629" s="65">
        <f t="shared" si="51"/>
        <v>0</v>
      </c>
      <c r="E629" s="65">
        <f t="shared" si="52"/>
        <v>0</v>
      </c>
      <c r="F629" s="65">
        <f t="shared" si="53"/>
        <v>0</v>
      </c>
    </row>
    <row r="630" spans="2:6">
      <c r="B630" s="64">
        <v>619</v>
      </c>
      <c r="C630" s="70">
        <f t="shared" si="50"/>
        <v>0</v>
      </c>
      <c r="D630" s="65">
        <f t="shared" si="51"/>
        <v>0</v>
      </c>
      <c r="E630" s="65">
        <f t="shared" si="52"/>
        <v>0</v>
      </c>
      <c r="F630" s="65">
        <f t="shared" si="53"/>
        <v>0</v>
      </c>
    </row>
    <row r="631" spans="2:6">
      <c r="B631" s="64">
        <v>620</v>
      </c>
      <c r="C631" s="70">
        <f t="shared" si="50"/>
        <v>0</v>
      </c>
      <c r="D631" s="65">
        <f t="shared" si="51"/>
        <v>0</v>
      </c>
      <c r="E631" s="65">
        <f t="shared" si="52"/>
        <v>0</v>
      </c>
      <c r="F631" s="65">
        <f t="shared" si="53"/>
        <v>0</v>
      </c>
    </row>
    <row r="632" spans="2:6">
      <c r="B632" s="64">
        <v>621</v>
      </c>
      <c r="C632" s="70">
        <f t="shared" si="50"/>
        <v>0</v>
      </c>
      <c r="D632" s="65">
        <f t="shared" si="51"/>
        <v>0</v>
      </c>
      <c r="E632" s="65">
        <f t="shared" si="52"/>
        <v>0</v>
      </c>
      <c r="F632" s="65">
        <f t="shared" si="53"/>
        <v>0</v>
      </c>
    </row>
    <row r="633" spans="2:6">
      <c r="B633" s="64">
        <v>622</v>
      </c>
      <c r="C633" s="70">
        <f t="shared" si="50"/>
        <v>0</v>
      </c>
      <c r="D633" s="65">
        <f t="shared" si="51"/>
        <v>0</v>
      </c>
      <c r="E633" s="65">
        <f t="shared" si="52"/>
        <v>0</v>
      </c>
      <c r="F633" s="65">
        <f t="shared" si="53"/>
        <v>0</v>
      </c>
    </row>
    <row r="634" spans="2:6">
      <c r="B634" s="64">
        <v>623</v>
      </c>
      <c r="C634" s="70">
        <f t="shared" si="50"/>
        <v>0</v>
      </c>
      <c r="D634" s="65">
        <f t="shared" si="51"/>
        <v>0</v>
      </c>
      <c r="E634" s="65">
        <f t="shared" si="52"/>
        <v>0</v>
      </c>
      <c r="F634" s="65">
        <f t="shared" si="53"/>
        <v>0</v>
      </c>
    </row>
    <row r="635" spans="2:6">
      <c r="B635" s="64">
        <v>624</v>
      </c>
      <c r="C635" s="70">
        <f t="shared" si="50"/>
        <v>0</v>
      </c>
      <c r="D635" s="65">
        <f t="shared" si="51"/>
        <v>0</v>
      </c>
      <c r="E635" s="65">
        <f t="shared" si="52"/>
        <v>0</v>
      </c>
      <c r="F635" s="65">
        <f t="shared" si="53"/>
        <v>0</v>
      </c>
    </row>
    <row r="636" spans="2:6">
      <c r="B636" s="64">
        <v>625</v>
      </c>
      <c r="C636" s="70">
        <f t="shared" si="50"/>
        <v>0</v>
      </c>
      <c r="D636" s="65">
        <f t="shared" si="51"/>
        <v>0</v>
      </c>
      <c r="E636" s="65">
        <f t="shared" si="52"/>
        <v>0</v>
      </c>
      <c r="F636" s="65">
        <f t="shared" si="53"/>
        <v>0</v>
      </c>
    </row>
    <row r="637" spans="2:6">
      <c r="B637" s="64">
        <v>626</v>
      </c>
      <c r="C637" s="70">
        <f t="shared" si="50"/>
        <v>0</v>
      </c>
      <c r="D637" s="65">
        <f t="shared" si="51"/>
        <v>0</v>
      </c>
      <c r="E637" s="65">
        <f t="shared" si="52"/>
        <v>0</v>
      </c>
      <c r="F637" s="65">
        <f t="shared" si="53"/>
        <v>0</v>
      </c>
    </row>
    <row r="638" spans="2:6">
      <c r="B638" s="64">
        <v>627</v>
      </c>
      <c r="C638" s="70">
        <f t="shared" si="50"/>
        <v>0</v>
      </c>
      <c r="D638" s="65">
        <f t="shared" si="51"/>
        <v>0</v>
      </c>
      <c r="E638" s="65">
        <f t="shared" si="52"/>
        <v>0</v>
      </c>
      <c r="F638" s="65">
        <f t="shared" si="53"/>
        <v>0</v>
      </c>
    </row>
    <row r="639" spans="2:6">
      <c r="B639" s="64">
        <v>628</v>
      </c>
      <c r="C639" s="70">
        <f t="shared" si="50"/>
        <v>0</v>
      </c>
      <c r="D639" s="65">
        <f t="shared" si="51"/>
        <v>0</v>
      </c>
      <c r="E639" s="65">
        <f t="shared" si="52"/>
        <v>0</v>
      </c>
      <c r="F639" s="65">
        <f t="shared" si="53"/>
        <v>0</v>
      </c>
    </row>
    <row r="640" spans="2:6">
      <c r="B640" s="64">
        <v>629</v>
      </c>
      <c r="C640" s="70">
        <f t="shared" si="50"/>
        <v>0</v>
      </c>
      <c r="D640" s="65">
        <f t="shared" si="51"/>
        <v>0</v>
      </c>
      <c r="E640" s="65">
        <f t="shared" si="52"/>
        <v>0</v>
      </c>
      <c r="F640" s="65">
        <f t="shared" si="53"/>
        <v>0</v>
      </c>
    </row>
    <row r="641" spans="2:6">
      <c r="B641" s="64">
        <v>630</v>
      </c>
      <c r="C641" s="70">
        <f t="shared" si="50"/>
        <v>0</v>
      </c>
      <c r="D641" s="65">
        <f t="shared" si="51"/>
        <v>0</v>
      </c>
      <c r="E641" s="65">
        <f t="shared" si="52"/>
        <v>0</v>
      </c>
      <c r="F641" s="65">
        <f t="shared" si="53"/>
        <v>0</v>
      </c>
    </row>
    <row r="642" spans="2:6">
      <c r="B642" s="64">
        <v>631</v>
      </c>
      <c r="C642" s="70">
        <f t="shared" si="50"/>
        <v>0</v>
      </c>
      <c r="D642" s="65">
        <f t="shared" si="51"/>
        <v>0</v>
      </c>
      <c r="E642" s="65">
        <f t="shared" si="52"/>
        <v>0</v>
      </c>
      <c r="F642" s="65">
        <f t="shared" si="53"/>
        <v>0</v>
      </c>
    </row>
    <row r="643" spans="2:6">
      <c r="B643" s="64">
        <v>632</v>
      </c>
      <c r="C643" s="70">
        <f t="shared" si="50"/>
        <v>0</v>
      </c>
      <c r="D643" s="65">
        <f t="shared" si="51"/>
        <v>0</v>
      </c>
      <c r="E643" s="65">
        <f t="shared" si="52"/>
        <v>0</v>
      </c>
      <c r="F643" s="65">
        <f t="shared" si="53"/>
        <v>0</v>
      </c>
    </row>
    <row r="644" spans="2:6">
      <c r="B644" s="64">
        <v>633</v>
      </c>
      <c r="C644" s="70">
        <f t="shared" si="50"/>
        <v>0</v>
      </c>
      <c r="D644" s="65">
        <f t="shared" si="51"/>
        <v>0</v>
      </c>
      <c r="E644" s="65">
        <f t="shared" si="52"/>
        <v>0</v>
      </c>
      <c r="F644" s="65">
        <f t="shared" si="53"/>
        <v>0</v>
      </c>
    </row>
    <row r="645" spans="2:6">
      <c r="B645" s="64">
        <v>634</v>
      </c>
      <c r="C645" s="70">
        <f t="shared" si="50"/>
        <v>0</v>
      </c>
      <c r="D645" s="65">
        <f t="shared" si="51"/>
        <v>0</v>
      </c>
      <c r="E645" s="65">
        <f t="shared" si="52"/>
        <v>0</v>
      </c>
      <c r="F645" s="65">
        <f t="shared" si="53"/>
        <v>0</v>
      </c>
    </row>
    <row r="646" spans="2:6">
      <c r="B646" s="64">
        <v>635</v>
      </c>
      <c r="C646" s="70">
        <f t="shared" si="50"/>
        <v>0</v>
      </c>
      <c r="D646" s="65">
        <f t="shared" si="51"/>
        <v>0</v>
      </c>
      <c r="E646" s="65">
        <f t="shared" si="52"/>
        <v>0</v>
      </c>
      <c r="F646" s="65">
        <f t="shared" si="53"/>
        <v>0</v>
      </c>
    </row>
    <row r="647" spans="2:6">
      <c r="B647" s="64">
        <v>636</v>
      </c>
      <c r="C647" s="70">
        <f t="shared" si="50"/>
        <v>0</v>
      </c>
      <c r="D647" s="65">
        <f t="shared" si="51"/>
        <v>0</v>
      </c>
      <c r="E647" s="65">
        <f t="shared" si="52"/>
        <v>0</v>
      </c>
      <c r="F647" s="65">
        <f t="shared" si="53"/>
        <v>0</v>
      </c>
    </row>
    <row r="648" spans="2:6">
      <c r="B648" s="64">
        <v>637</v>
      </c>
      <c r="C648" s="70">
        <f t="shared" si="50"/>
        <v>0</v>
      </c>
      <c r="D648" s="65">
        <f t="shared" si="51"/>
        <v>0</v>
      </c>
      <c r="E648" s="65">
        <f t="shared" si="52"/>
        <v>0</v>
      </c>
      <c r="F648" s="65">
        <f t="shared" si="53"/>
        <v>0</v>
      </c>
    </row>
    <row r="649" spans="2:6">
      <c r="B649" s="64">
        <v>638</v>
      </c>
      <c r="C649" s="70">
        <f t="shared" si="50"/>
        <v>0</v>
      </c>
      <c r="D649" s="65">
        <f t="shared" si="51"/>
        <v>0</v>
      </c>
      <c r="E649" s="65">
        <f t="shared" si="52"/>
        <v>0</v>
      </c>
      <c r="F649" s="65">
        <f t="shared" si="53"/>
        <v>0</v>
      </c>
    </row>
    <row r="650" spans="2:6">
      <c r="B650" s="64">
        <v>639</v>
      </c>
      <c r="C650" s="70">
        <f t="shared" si="50"/>
        <v>0</v>
      </c>
      <c r="D650" s="65">
        <f t="shared" si="51"/>
        <v>0</v>
      </c>
      <c r="E650" s="65">
        <f t="shared" si="52"/>
        <v>0</v>
      </c>
      <c r="F650" s="65">
        <f t="shared" si="53"/>
        <v>0</v>
      </c>
    </row>
    <row r="651" spans="2:6">
      <c r="B651" s="64">
        <v>640</v>
      </c>
      <c r="C651" s="70">
        <f t="shared" si="50"/>
        <v>0</v>
      </c>
      <c r="D651" s="65">
        <f t="shared" si="51"/>
        <v>0</v>
      </c>
      <c r="E651" s="65">
        <f t="shared" si="52"/>
        <v>0</v>
      </c>
      <c r="F651" s="65">
        <f t="shared" si="53"/>
        <v>0</v>
      </c>
    </row>
    <row r="652" spans="2:6">
      <c r="B652" s="64">
        <v>641</v>
      </c>
      <c r="C652" s="70">
        <f t="shared" si="50"/>
        <v>0</v>
      </c>
      <c r="D652" s="65">
        <f t="shared" si="51"/>
        <v>0</v>
      </c>
      <c r="E652" s="65">
        <f t="shared" si="52"/>
        <v>0</v>
      </c>
      <c r="F652" s="65">
        <f t="shared" si="53"/>
        <v>0</v>
      </c>
    </row>
    <row r="653" spans="2:6">
      <c r="B653" s="64">
        <v>642</v>
      </c>
      <c r="C653" s="70">
        <f t="shared" si="50"/>
        <v>0</v>
      </c>
      <c r="D653" s="65">
        <f t="shared" si="51"/>
        <v>0</v>
      </c>
      <c r="E653" s="65">
        <f t="shared" si="52"/>
        <v>0</v>
      </c>
      <c r="F653" s="65">
        <f t="shared" si="53"/>
        <v>0</v>
      </c>
    </row>
    <row r="654" spans="2:6">
      <c r="B654" s="64">
        <v>643</v>
      </c>
      <c r="C654" s="70">
        <f t="shared" si="50"/>
        <v>0</v>
      </c>
      <c r="D654" s="65">
        <f t="shared" si="51"/>
        <v>0</v>
      </c>
      <c r="E654" s="65">
        <f t="shared" si="52"/>
        <v>0</v>
      </c>
      <c r="F654" s="65">
        <f t="shared" si="53"/>
        <v>0</v>
      </c>
    </row>
    <row r="655" spans="2:6">
      <c r="B655" s="64">
        <v>644</v>
      </c>
      <c r="C655" s="70">
        <f t="shared" si="50"/>
        <v>0</v>
      </c>
      <c r="D655" s="65">
        <f t="shared" si="51"/>
        <v>0</v>
      </c>
      <c r="E655" s="65">
        <f t="shared" si="52"/>
        <v>0</v>
      </c>
      <c r="F655" s="65">
        <f t="shared" si="53"/>
        <v>0</v>
      </c>
    </row>
    <row r="656" spans="2:6">
      <c r="B656" s="64">
        <v>645</v>
      </c>
      <c r="C656" s="70">
        <f t="shared" si="50"/>
        <v>0</v>
      </c>
      <c r="D656" s="65">
        <f t="shared" si="51"/>
        <v>0</v>
      </c>
      <c r="E656" s="65">
        <f t="shared" si="52"/>
        <v>0</v>
      </c>
      <c r="F656" s="65">
        <f t="shared" si="53"/>
        <v>0</v>
      </c>
    </row>
    <row r="657" spans="2:6">
      <c r="B657" s="64">
        <v>646</v>
      </c>
      <c r="C657" s="70">
        <f t="shared" si="50"/>
        <v>0</v>
      </c>
      <c r="D657" s="65">
        <f t="shared" si="51"/>
        <v>0</v>
      </c>
      <c r="E657" s="65">
        <f t="shared" si="52"/>
        <v>0</v>
      </c>
      <c r="F657" s="65">
        <f t="shared" si="53"/>
        <v>0</v>
      </c>
    </row>
    <row r="658" spans="2:6">
      <c r="B658" s="64">
        <v>647</v>
      </c>
      <c r="C658" s="70">
        <f t="shared" si="50"/>
        <v>0</v>
      </c>
      <c r="D658" s="65">
        <f t="shared" si="51"/>
        <v>0</v>
      </c>
      <c r="E658" s="65">
        <f t="shared" si="52"/>
        <v>0</v>
      </c>
      <c r="F658" s="65">
        <f t="shared" si="53"/>
        <v>0</v>
      </c>
    </row>
    <row r="659" spans="2:6">
      <c r="B659" s="64">
        <v>648</v>
      </c>
      <c r="C659" s="70">
        <f t="shared" si="50"/>
        <v>0</v>
      </c>
      <c r="D659" s="65">
        <f t="shared" si="51"/>
        <v>0</v>
      </c>
      <c r="E659" s="65">
        <f t="shared" si="52"/>
        <v>0</v>
      </c>
      <c r="F659" s="65">
        <f t="shared" si="53"/>
        <v>0</v>
      </c>
    </row>
    <row r="660" spans="2:6">
      <c r="B660" s="64">
        <v>649</v>
      </c>
      <c r="C660" s="70">
        <f t="shared" si="50"/>
        <v>0</v>
      </c>
      <c r="D660" s="65">
        <f t="shared" si="51"/>
        <v>0</v>
      </c>
      <c r="E660" s="65">
        <f t="shared" si="52"/>
        <v>0</v>
      </c>
      <c r="F660" s="65">
        <f t="shared" si="53"/>
        <v>0</v>
      </c>
    </row>
    <row r="661" spans="2:6">
      <c r="B661" s="64">
        <v>650</v>
      </c>
      <c r="C661" s="70">
        <f t="shared" si="50"/>
        <v>0</v>
      </c>
      <c r="D661" s="65">
        <f t="shared" si="51"/>
        <v>0</v>
      </c>
      <c r="E661" s="65">
        <f t="shared" si="52"/>
        <v>0</v>
      </c>
      <c r="F661" s="65">
        <f t="shared" si="53"/>
        <v>0</v>
      </c>
    </row>
    <row r="662" spans="2:6">
      <c r="B662" s="64">
        <v>651</v>
      </c>
      <c r="C662" s="70">
        <f t="shared" si="50"/>
        <v>0</v>
      </c>
      <c r="D662" s="65">
        <f t="shared" si="51"/>
        <v>0</v>
      </c>
      <c r="E662" s="65">
        <f t="shared" si="52"/>
        <v>0</v>
      </c>
      <c r="F662" s="65">
        <f t="shared" si="53"/>
        <v>0</v>
      </c>
    </row>
    <row r="663" spans="2:6">
      <c r="B663" s="64">
        <v>652</v>
      </c>
      <c r="C663" s="70">
        <f t="shared" si="50"/>
        <v>0</v>
      </c>
      <c r="D663" s="65">
        <f t="shared" si="51"/>
        <v>0</v>
      </c>
      <c r="E663" s="65">
        <f t="shared" si="52"/>
        <v>0</v>
      </c>
      <c r="F663" s="65">
        <f t="shared" si="53"/>
        <v>0</v>
      </c>
    </row>
    <row r="664" spans="2:6">
      <c r="B664" s="64">
        <v>653</v>
      </c>
      <c r="C664" s="70">
        <f t="shared" si="50"/>
        <v>0</v>
      </c>
      <c r="D664" s="65">
        <f t="shared" si="51"/>
        <v>0</v>
      </c>
      <c r="E664" s="65">
        <f t="shared" si="52"/>
        <v>0</v>
      </c>
      <c r="F664" s="65">
        <f t="shared" si="53"/>
        <v>0</v>
      </c>
    </row>
    <row r="665" spans="2:6">
      <c r="B665" s="64">
        <v>654</v>
      </c>
      <c r="C665" s="70">
        <f t="shared" si="50"/>
        <v>0</v>
      </c>
      <c r="D665" s="65">
        <f t="shared" si="51"/>
        <v>0</v>
      </c>
      <c r="E665" s="65">
        <f t="shared" si="52"/>
        <v>0</v>
      </c>
      <c r="F665" s="65">
        <f t="shared" si="53"/>
        <v>0</v>
      </c>
    </row>
    <row r="666" spans="2:6">
      <c r="B666" s="64">
        <v>655</v>
      </c>
      <c r="C666" s="70">
        <f t="shared" si="50"/>
        <v>0</v>
      </c>
      <c r="D666" s="65">
        <f t="shared" si="51"/>
        <v>0</v>
      </c>
      <c r="E666" s="65">
        <f t="shared" si="52"/>
        <v>0</v>
      </c>
      <c r="F666" s="65">
        <f t="shared" si="53"/>
        <v>0</v>
      </c>
    </row>
    <row r="667" spans="2:6">
      <c r="B667" s="64">
        <v>656</v>
      </c>
      <c r="C667" s="70">
        <f t="shared" si="50"/>
        <v>0</v>
      </c>
      <c r="D667" s="65">
        <f t="shared" si="51"/>
        <v>0</v>
      </c>
      <c r="E667" s="65">
        <f t="shared" si="52"/>
        <v>0</v>
      </c>
      <c r="F667" s="65">
        <f t="shared" si="53"/>
        <v>0</v>
      </c>
    </row>
    <row r="668" spans="2:6">
      <c r="B668" s="64">
        <v>657</v>
      </c>
      <c r="C668" s="70">
        <f t="shared" si="50"/>
        <v>0</v>
      </c>
      <c r="D668" s="65">
        <f t="shared" si="51"/>
        <v>0</v>
      </c>
      <c r="E668" s="65">
        <f t="shared" si="52"/>
        <v>0</v>
      </c>
      <c r="F668" s="65">
        <f t="shared" si="53"/>
        <v>0</v>
      </c>
    </row>
    <row r="669" spans="2:6">
      <c r="B669" s="64">
        <v>658</v>
      </c>
      <c r="C669" s="70">
        <f t="shared" si="50"/>
        <v>0</v>
      </c>
      <c r="D669" s="65">
        <f t="shared" si="51"/>
        <v>0</v>
      </c>
      <c r="E669" s="65">
        <f t="shared" si="52"/>
        <v>0</v>
      </c>
      <c r="F669" s="65">
        <f t="shared" si="53"/>
        <v>0</v>
      </c>
    </row>
    <row r="670" spans="2:6">
      <c r="B670" s="64">
        <v>659</v>
      </c>
      <c r="C670" s="70">
        <f t="shared" ref="C670:C731" si="54">IF(F669&gt;$C$6,$C$6,F669+D670)</f>
        <v>0</v>
      </c>
      <c r="D670" s="65">
        <f t="shared" ref="D670:D731" si="55">+$C$4*F669/12</f>
        <v>0</v>
      </c>
      <c r="E670" s="65">
        <f t="shared" ref="E670:E731" si="56">+C670-D670</f>
        <v>0</v>
      </c>
      <c r="F670" s="65">
        <f t="shared" ref="F670:F731" si="57">+F669-E670</f>
        <v>0</v>
      </c>
    </row>
    <row r="671" spans="2:6">
      <c r="B671" s="64">
        <v>660</v>
      </c>
      <c r="C671" s="70">
        <f t="shared" si="54"/>
        <v>0</v>
      </c>
      <c r="D671" s="65">
        <f t="shared" si="55"/>
        <v>0</v>
      </c>
      <c r="E671" s="65">
        <f t="shared" si="56"/>
        <v>0</v>
      </c>
      <c r="F671" s="65">
        <f t="shared" si="57"/>
        <v>0</v>
      </c>
    </row>
    <row r="672" spans="2:6">
      <c r="B672" s="64">
        <v>661</v>
      </c>
      <c r="C672" s="70">
        <f t="shared" si="54"/>
        <v>0</v>
      </c>
      <c r="D672" s="65">
        <f t="shared" si="55"/>
        <v>0</v>
      </c>
      <c r="E672" s="65">
        <f t="shared" si="56"/>
        <v>0</v>
      </c>
      <c r="F672" s="65">
        <f t="shared" si="57"/>
        <v>0</v>
      </c>
    </row>
    <row r="673" spans="2:6">
      <c r="B673" s="64">
        <v>662</v>
      </c>
      <c r="C673" s="70">
        <f t="shared" si="54"/>
        <v>0</v>
      </c>
      <c r="D673" s="65">
        <f t="shared" si="55"/>
        <v>0</v>
      </c>
      <c r="E673" s="65">
        <f t="shared" si="56"/>
        <v>0</v>
      </c>
      <c r="F673" s="65">
        <f t="shared" si="57"/>
        <v>0</v>
      </c>
    </row>
    <row r="674" spans="2:6">
      <c r="B674" s="64">
        <v>663</v>
      </c>
      <c r="C674" s="70">
        <f t="shared" si="54"/>
        <v>0</v>
      </c>
      <c r="D674" s="65">
        <f t="shared" si="55"/>
        <v>0</v>
      </c>
      <c r="E674" s="65">
        <f t="shared" si="56"/>
        <v>0</v>
      </c>
      <c r="F674" s="65">
        <f t="shared" si="57"/>
        <v>0</v>
      </c>
    </row>
    <row r="675" spans="2:6">
      <c r="B675" s="64">
        <v>664</v>
      </c>
      <c r="C675" s="70">
        <f t="shared" si="54"/>
        <v>0</v>
      </c>
      <c r="D675" s="65">
        <f t="shared" si="55"/>
        <v>0</v>
      </c>
      <c r="E675" s="65">
        <f t="shared" si="56"/>
        <v>0</v>
      </c>
      <c r="F675" s="65">
        <f t="shared" si="57"/>
        <v>0</v>
      </c>
    </row>
    <row r="676" spans="2:6">
      <c r="B676" s="64">
        <v>665</v>
      </c>
      <c r="C676" s="70">
        <f t="shared" si="54"/>
        <v>0</v>
      </c>
      <c r="D676" s="65">
        <f t="shared" si="55"/>
        <v>0</v>
      </c>
      <c r="E676" s="65">
        <f t="shared" si="56"/>
        <v>0</v>
      </c>
      <c r="F676" s="65">
        <f t="shared" si="57"/>
        <v>0</v>
      </c>
    </row>
    <row r="677" spans="2:6">
      <c r="B677" s="64">
        <v>666</v>
      </c>
      <c r="C677" s="70">
        <f t="shared" si="54"/>
        <v>0</v>
      </c>
      <c r="D677" s="65">
        <f t="shared" si="55"/>
        <v>0</v>
      </c>
      <c r="E677" s="65">
        <f t="shared" si="56"/>
        <v>0</v>
      </c>
      <c r="F677" s="65">
        <f t="shared" si="57"/>
        <v>0</v>
      </c>
    </row>
    <row r="678" spans="2:6">
      <c r="B678" s="64">
        <v>667</v>
      </c>
      <c r="C678" s="70">
        <f t="shared" si="54"/>
        <v>0</v>
      </c>
      <c r="D678" s="65">
        <f t="shared" si="55"/>
        <v>0</v>
      </c>
      <c r="E678" s="65">
        <f t="shared" si="56"/>
        <v>0</v>
      </c>
      <c r="F678" s="65">
        <f t="shared" si="57"/>
        <v>0</v>
      </c>
    </row>
    <row r="679" spans="2:6">
      <c r="B679" s="64">
        <v>668</v>
      </c>
      <c r="C679" s="70">
        <f t="shared" si="54"/>
        <v>0</v>
      </c>
      <c r="D679" s="65">
        <f t="shared" si="55"/>
        <v>0</v>
      </c>
      <c r="E679" s="65">
        <f t="shared" si="56"/>
        <v>0</v>
      </c>
      <c r="F679" s="65">
        <f t="shared" si="57"/>
        <v>0</v>
      </c>
    </row>
    <row r="680" spans="2:6">
      <c r="B680" s="64">
        <v>669</v>
      </c>
      <c r="C680" s="70">
        <f t="shared" si="54"/>
        <v>0</v>
      </c>
      <c r="D680" s="65">
        <f t="shared" si="55"/>
        <v>0</v>
      </c>
      <c r="E680" s="65">
        <f t="shared" si="56"/>
        <v>0</v>
      </c>
      <c r="F680" s="65">
        <f t="shared" si="57"/>
        <v>0</v>
      </c>
    </row>
    <row r="681" spans="2:6">
      <c r="B681" s="64">
        <v>670</v>
      </c>
      <c r="C681" s="70">
        <f t="shared" si="54"/>
        <v>0</v>
      </c>
      <c r="D681" s="65">
        <f t="shared" si="55"/>
        <v>0</v>
      </c>
      <c r="E681" s="65">
        <f t="shared" si="56"/>
        <v>0</v>
      </c>
      <c r="F681" s="65">
        <f t="shared" si="57"/>
        <v>0</v>
      </c>
    </row>
    <row r="682" spans="2:6">
      <c r="B682" s="64">
        <v>671</v>
      </c>
      <c r="C682" s="70">
        <f t="shared" si="54"/>
        <v>0</v>
      </c>
      <c r="D682" s="65">
        <f t="shared" si="55"/>
        <v>0</v>
      </c>
      <c r="E682" s="65">
        <f t="shared" si="56"/>
        <v>0</v>
      </c>
      <c r="F682" s="65">
        <f t="shared" si="57"/>
        <v>0</v>
      </c>
    </row>
    <row r="683" spans="2:6">
      <c r="B683" s="64">
        <v>672</v>
      </c>
      <c r="C683" s="70">
        <f t="shared" si="54"/>
        <v>0</v>
      </c>
      <c r="D683" s="65">
        <f t="shared" si="55"/>
        <v>0</v>
      </c>
      <c r="E683" s="65">
        <f t="shared" si="56"/>
        <v>0</v>
      </c>
      <c r="F683" s="65">
        <f t="shared" si="57"/>
        <v>0</v>
      </c>
    </row>
    <row r="684" spans="2:6">
      <c r="B684" s="64">
        <v>673</v>
      </c>
      <c r="C684" s="70">
        <f t="shared" si="54"/>
        <v>0</v>
      </c>
      <c r="D684" s="65">
        <f t="shared" si="55"/>
        <v>0</v>
      </c>
      <c r="E684" s="65">
        <f t="shared" si="56"/>
        <v>0</v>
      </c>
      <c r="F684" s="65">
        <f t="shared" si="57"/>
        <v>0</v>
      </c>
    </row>
    <row r="685" spans="2:6">
      <c r="B685" s="64">
        <v>674</v>
      </c>
      <c r="C685" s="70">
        <f t="shared" si="54"/>
        <v>0</v>
      </c>
      <c r="D685" s="65">
        <f t="shared" si="55"/>
        <v>0</v>
      </c>
      <c r="E685" s="65">
        <f t="shared" si="56"/>
        <v>0</v>
      </c>
      <c r="F685" s="65">
        <f t="shared" si="57"/>
        <v>0</v>
      </c>
    </row>
    <row r="686" spans="2:6">
      <c r="B686" s="64">
        <v>675</v>
      </c>
      <c r="C686" s="70">
        <f t="shared" si="54"/>
        <v>0</v>
      </c>
      <c r="D686" s="65">
        <f t="shared" si="55"/>
        <v>0</v>
      </c>
      <c r="E686" s="65">
        <f t="shared" si="56"/>
        <v>0</v>
      </c>
      <c r="F686" s="65">
        <f t="shared" si="57"/>
        <v>0</v>
      </c>
    </row>
    <row r="687" spans="2:6">
      <c r="B687" s="64">
        <v>676</v>
      </c>
      <c r="C687" s="70">
        <f t="shared" si="54"/>
        <v>0</v>
      </c>
      <c r="D687" s="65">
        <f t="shared" si="55"/>
        <v>0</v>
      </c>
      <c r="E687" s="65">
        <f t="shared" si="56"/>
        <v>0</v>
      </c>
      <c r="F687" s="65">
        <f t="shared" si="57"/>
        <v>0</v>
      </c>
    </row>
    <row r="688" spans="2:6">
      <c r="B688" s="64">
        <v>677</v>
      </c>
      <c r="C688" s="70">
        <f t="shared" si="54"/>
        <v>0</v>
      </c>
      <c r="D688" s="65">
        <f t="shared" si="55"/>
        <v>0</v>
      </c>
      <c r="E688" s="65">
        <f t="shared" si="56"/>
        <v>0</v>
      </c>
      <c r="F688" s="65">
        <f t="shared" si="57"/>
        <v>0</v>
      </c>
    </row>
    <row r="689" spans="2:6">
      <c r="B689" s="64">
        <v>678</v>
      </c>
      <c r="C689" s="70">
        <f t="shared" si="54"/>
        <v>0</v>
      </c>
      <c r="D689" s="65">
        <f t="shared" si="55"/>
        <v>0</v>
      </c>
      <c r="E689" s="65">
        <f t="shared" si="56"/>
        <v>0</v>
      </c>
      <c r="F689" s="65">
        <f t="shared" si="57"/>
        <v>0</v>
      </c>
    </row>
    <row r="690" spans="2:6">
      <c r="B690" s="64">
        <v>679</v>
      </c>
      <c r="C690" s="70">
        <f t="shared" si="54"/>
        <v>0</v>
      </c>
      <c r="D690" s="65">
        <f t="shared" si="55"/>
        <v>0</v>
      </c>
      <c r="E690" s="65">
        <f t="shared" si="56"/>
        <v>0</v>
      </c>
      <c r="F690" s="65">
        <f t="shared" si="57"/>
        <v>0</v>
      </c>
    </row>
    <row r="691" spans="2:6">
      <c r="B691" s="64">
        <v>680</v>
      </c>
      <c r="C691" s="70">
        <f t="shared" si="54"/>
        <v>0</v>
      </c>
      <c r="D691" s="65">
        <f t="shared" si="55"/>
        <v>0</v>
      </c>
      <c r="E691" s="65">
        <f t="shared" si="56"/>
        <v>0</v>
      </c>
      <c r="F691" s="65">
        <f t="shared" si="57"/>
        <v>0</v>
      </c>
    </row>
    <row r="692" spans="2:6">
      <c r="B692" s="64">
        <v>681</v>
      </c>
      <c r="C692" s="70">
        <f t="shared" si="54"/>
        <v>0</v>
      </c>
      <c r="D692" s="65">
        <f t="shared" si="55"/>
        <v>0</v>
      </c>
      <c r="E692" s="65">
        <f t="shared" si="56"/>
        <v>0</v>
      </c>
      <c r="F692" s="65">
        <f t="shared" si="57"/>
        <v>0</v>
      </c>
    </row>
    <row r="693" spans="2:6">
      <c r="B693" s="64">
        <v>682</v>
      </c>
      <c r="C693" s="70">
        <f t="shared" si="54"/>
        <v>0</v>
      </c>
      <c r="D693" s="65">
        <f t="shared" si="55"/>
        <v>0</v>
      </c>
      <c r="E693" s="65">
        <f t="shared" si="56"/>
        <v>0</v>
      </c>
      <c r="F693" s="65">
        <f t="shared" si="57"/>
        <v>0</v>
      </c>
    </row>
    <row r="694" spans="2:6">
      <c r="B694" s="64">
        <v>683</v>
      </c>
      <c r="C694" s="70">
        <f t="shared" si="54"/>
        <v>0</v>
      </c>
      <c r="D694" s="65">
        <f t="shared" si="55"/>
        <v>0</v>
      </c>
      <c r="E694" s="65">
        <f t="shared" si="56"/>
        <v>0</v>
      </c>
      <c r="F694" s="65">
        <f t="shared" si="57"/>
        <v>0</v>
      </c>
    </row>
    <row r="695" spans="2:6">
      <c r="B695" s="64">
        <v>684</v>
      </c>
      <c r="C695" s="70">
        <f t="shared" si="54"/>
        <v>0</v>
      </c>
      <c r="D695" s="65">
        <f t="shared" si="55"/>
        <v>0</v>
      </c>
      <c r="E695" s="65">
        <f t="shared" si="56"/>
        <v>0</v>
      </c>
      <c r="F695" s="65">
        <f t="shared" si="57"/>
        <v>0</v>
      </c>
    </row>
    <row r="696" spans="2:6">
      <c r="B696" s="64">
        <v>685</v>
      </c>
      <c r="C696" s="70">
        <f t="shared" si="54"/>
        <v>0</v>
      </c>
      <c r="D696" s="65">
        <f t="shared" si="55"/>
        <v>0</v>
      </c>
      <c r="E696" s="65">
        <f t="shared" si="56"/>
        <v>0</v>
      </c>
      <c r="F696" s="65">
        <f t="shared" si="57"/>
        <v>0</v>
      </c>
    </row>
    <row r="697" spans="2:6">
      <c r="B697" s="64">
        <v>686</v>
      </c>
      <c r="C697" s="70">
        <f t="shared" si="54"/>
        <v>0</v>
      </c>
      <c r="D697" s="65">
        <f t="shared" si="55"/>
        <v>0</v>
      </c>
      <c r="E697" s="65">
        <f t="shared" si="56"/>
        <v>0</v>
      </c>
      <c r="F697" s="65">
        <f t="shared" si="57"/>
        <v>0</v>
      </c>
    </row>
    <row r="698" spans="2:6">
      <c r="B698" s="64">
        <v>687</v>
      </c>
      <c r="C698" s="70">
        <f t="shared" si="54"/>
        <v>0</v>
      </c>
      <c r="D698" s="65">
        <f t="shared" si="55"/>
        <v>0</v>
      </c>
      <c r="E698" s="65">
        <f t="shared" si="56"/>
        <v>0</v>
      </c>
      <c r="F698" s="65">
        <f t="shared" si="57"/>
        <v>0</v>
      </c>
    </row>
    <row r="699" spans="2:6">
      <c r="B699" s="64">
        <v>688</v>
      </c>
      <c r="C699" s="70">
        <f t="shared" si="54"/>
        <v>0</v>
      </c>
      <c r="D699" s="65">
        <f t="shared" si="55"/>
        <v>0</v>
      </c>
      <c r="E699" s="65">
        <f t="shared" si="56"/>
        <v>0</v>
      </c>
      <c r="F699" s="65">
        <f t="shared" si="57"/>
        <v>0</v>
      </c>
    </row>
    <row r="700" spans="2:6">
      <c r="B700" s="64">
        <v>689</v>
      </c>
      <c r="C700" s="70">
        <f t="shared" si="54"/>
        <v>0</v>
      </c>
      <c r="D700" s="65">
        <f t="shared" si="55"/>
        <v>0</v>
      </c>
      <c r="E700" s="65">
        <f t="shared" si="56"/>
        <v>0</v>
      </c>
      <c r="F700" s="65">
        <f t="shared" si="57"/>
        <v>0</v>
      </c>
    </row>
    <row r="701" spans="2:6">
      <c r="B701" s="64">
        <v>690</v>
      </c>
      <c r="C701" s="70">
        <f t="shared" si="54"/>
        <v>0</v>
      </c>
      <c r="D701" s="65">
        <f t="shared" si="55"/>
        <v>0</v>
      </c>
      <c r="E701" s="65">
        <f t="shared" si="56"/>
        <v>0</v>
      </c>
      <c r="F701" s="65">
        <f t="shared" si="57"/>
        <v>0</v>
      </c>
    </row>
    <row r="702" spans="2:6">
      <c r="B702" s="64">
        <v>691</v>
      </c>
      <c r="C702" s="70">
        <f t="shared" si="54"/>
        <v>0</v>
      </c>
      <c r="D702" s="65">
        <f t="shared" si="55"/>
        <v>0</v>
      </c>
      <c r="E702" s="65">
        <f t="shared" si="56"/>
        <v>0</v>
      </c>
      <c r="F702" s="65">
        <f t="shared" si="57"/>
        <v>0</v>
      </c>
    </row>
    <row r="703" spans="2:6">
      <c r="B703" s="64">
        <v>692</v>
      </c>
      <c r="C703" s="70">
        <f t="shared" si="54"/>
        <v>0</v>
      </c>
      <c r="D703" s="65">
        <f t="shared" si="55"/>
        <v>0</v>
      </c>
      <c r="E703" s="65">
        <f t="shared" si="56"/>
        <v>0</v>
      </c>
      <c r="F703" s="65">
        <f t="shared" si="57"/>
        <v>0</v>
      </c>
    </row>
    <row r="704" spans="2:6">
      <c r="B704" s="64">
        <v>693</v>
      </c>
      <c r="C704" s="70">
        <f t="shared" si="54"/>
        <v>0</v>
      </c>
      <c r="D704" s="65">
        <f t="shared" si="55"/>
        <v>0</v>
      </c>
      <c r="E704" s="65">
        <f t="shared" si="56"/>
        <v>0</v>
      </c>
      <c r="F704" s="65">
        <f t="shared" si="57"/>
        <v>0</v>
      </c>
    </row>
    <row r="705" spans="2:6">
      <c r="B705" s="64">
        <v>694</v>
      </c>
      <c r="C705" s="70">
        <f t="shared" si="54"/>
        <v>0</v>
      </c>
      <c r="D705" s="65">
        <f t="shared" si="55"/>
        <v>0</v>
      </c>
      <c r="E705" s="65">
        <f t="shared" si="56"/>
        <v>0</v>
      </c>
      <c r="F705" s="65">
        <f t="shared" si="57"/>
        <v>0</v>
      </c>
    </row>
    <row r="706" spans="2:6">
      <c r="B706" s="64">
        <v>695</v>
      </c>
      <c r="C706" s="70">
        <f t="shared" si="54"/>
        <v>0</v>
      </c>
      <c r="D706" s="65">
        <f t="shared" si="55"/>
        <v>0</v>
      </c>
      <c r="E706" s="65">
        <f t="shared" si="56"/>
        <v>0</v>
      </c>
      <c r="F706" s="65">
        <f t="shared" si="57"/>
        <v>0</v>
      </c>
    </row>
    <row r="707" spans="2:6">
      <c r="B707" s="64">
        <v>696</v>
      </c>
      <c r="C707" s="70">
        <f t="shared" si="54"/>
        <v>0</v>
      </c>
      <c r="D707" s="65">
        <f t="shared" si="55"/>
        <v>0</v>
      </c>
      <c r="E707" s="65">
        <f t="shared" si="56"/>
        <v>0</v>
      </c>
      <c r="F707" s="65">
        <f t="shared" si="57"/>
        <v>0</v>
      </c>
    </row>
    <row r="708" spans="2:6">
      <c r="B708" s="64">
        <v>697</v>
      </c>
      <c r="C708" s="70">
        <f t="shared" si="54"/>
        <v>0</v>
      </c>
      <c r="D708" s="65">
        <f t="shared" si="55"/>
        <v>0</v>
      </c>
      <c r="E708" s="65">
        <f t="shared" si="56"/>
        <v>0</v>
      </c>
      <c r="F708" s="65">
        <f t="shared" si="57"/>
        <v>0</v>
      </c>
    </row>
    <row r="709" spans="2:6">
      <c r="B709" s="64">
        <v>698</v>
      </c>
      <c r="C709" s="70">
        <f t="shared" si="54"/>
        <v>0</v>
      </c>
      <c r="D709" s="65">
        <f t="shared" si="55"/>
        <v>0</v>
      </c>
      <c r="E709" s="65">
        <f t="shared" si="56"/>
        <v>0</v>
      </c>
      <c r="F709" s="65">
        <f t="shared" si="57"/>
        <v>0</v>
      </c>
    </row>
    <row r="710" spans="2:6">
      <c r="B710" s="64">
        <v>699</v>
      </c>
      <c r="C710" s="70">
        <f t="shared" si="54"/>
        <v>0</v>
      </c>
      <c r="D710" s="65">
        <f t="shared" si="55"/>
        <v>0</v>
      </c>
      <c r="E710" s="65">
        <f t="shared" si="56"/>
        <v>0</v>
      </c>
      <c r="F710" s="65">
        <f t="shared" si="57"/>
        <v>0</v>
      </c>
    </row>
    <row r="711" spans="2:6">
      <c r="B711" s="64">
        <v>700</v>
      </c>
      <c r="C711" s="70">
        <f t="shared" si="54"/>
        <v>0</v>
      </c>
      <c r="D711" s="65">
        <f t="shared" si="55"/>
        <v>0</v>
      </c>
      <c r="E711" s="65">
        <f t="shared" si="56"/>
        <v>0</v>
      </c>
      <c r="F711" s="65">
        <f t="shared" si="57"/>
        <v>0</v>
      </c>
    </row>
    <row r="712" spans="2:6">
      <c r="B712" s="64">
        <v>701</v>
      </c>
      <c r="C712" s="70">
        <f t="shared" si="54"/>
        <v>0</v>
      </c>
      <c r="D712" s="65">
        <f t="shared" si="55"/>
        <v>0</v>
      </c>
      <c r="E712" s="65">
        <f t="shared" si="56"/>
        <v>0</v>
      </c>
      <c r="F712" s="65">
        <f t="shared" si="57"/>
        <v>0</v>
      </c>
    </row>
    <row r="713" spans="2:6">
      <c r="B713" s="64">
        <v>702</v>
      </c>
      <c r="C713" s="70">
        <f t="shared" si="54"/>
        <v>0</v>
      </c>
      <c r="D713" s="65">
        <f t="shared" si="55"/>
        <v>0</v>
      </c>
      <c r="E713" s="65">
        <f t="shared" si="56"/>
        <v>0</v>
      </c>
      <c r="F713" s="65">
        <f t="shared" si="57"/>
        <v>0</v>
      </c>
    </row>
    <row r="714" spans="2:6">
      <c r="B714" s="64">
        <v>703</v>
      </c>
      <c r="C714" s="70">
        <f t="shared" si="54"/>
        <v>0</v>
      </c>
      <c r="D714" s="65">
        <f t="shared" si="55"/>
        <v>0</v>
      </c>
      <c r="E714" s="65">
        <f t="shared" si="56"/>
        <v>0</v>
      </c>
      <c r="F714" s="65">
        <f t="shared" si="57"/>
        <v>0</v>
      </c>
    </row>
    <row r="715" spans="2:6">
      <c r="B715" s="64">
        <v>704</v>
      </c>
      <c r="C715" s="70">
        <f t="shared" si="54"/>
        <v>0</v>
      </c>
      <c r="D715" s="65">
        <f t="shared" si="55"/>
        <v>0</v>
      </c>
      <c r="E715" s="65">
        <f t="shared" si="56"/>
        <v>0</v>
      </c>
      <c r="F715" s="65">
        <f t="shared" si="57"/>
        <v>0</v>
      </c>
    </row>
    <row r="716" spans="2:6">
      <c r="B716" s="64">
        <v>705</v>
      </c>
      <c r="C716" s="70">
        <f t="shared" si="54"/>
        <v>0</v>
      </c>
      <c r="D716" s="65">
        <f t="shared" si="55"/>
        <v>0</v>
      </c>
      <c r="E716" s="65">
        <f t="shared" si="56"/>
        <v>0</v>
      </c>
      <c r="F716" s="65">
        <f t="shared" si="57"/>
        <v>0</v>
      </c>
    </row>
    <row r="717" spans="2:6">
      <c r="B717" s="64">
        <v>706</v>
      </c>
      <c r="C717" s="70">
        <f t="shared" si="54"/>
        <v>0</v>
      </c>
      <c r="D717" s="65">
        <f t="shared" si="55"/>
        <v>0</v>
      </c>
      <c r="E717" s="65">
        <f t="shared" si="56"/>
        <v>0</v>
      </c>
      <c r="F717" s="65">
        <f t="shared" si="57"/>
        <v>0</v>
      </c>
    </row>
    <row r="718" spans="2:6">
      <c r="B718" s="64">
        <v>707</v>
      </c>
      <c r="C718" s="70">
        <f t="shared" si="54"/>
        <v>0</v>
      </c>
      <c r="D718" s="65">
        <f t="shared" si="55"/>
        <v>0</v>
      </c>
      <c r="E718" s="65">
        <f t="shared" si="56"/>
        <v>0</v>
      </c>
      <c r="F718" s="65">
        <f t="shared" si="57"/>
        <v>0</v>
      </c>
    </row>
    <row r="719" spans="2:6">
      <c r="B719" s="64">
        <v>708</v>
      </c>
      <c r="C719" s="70">
        <f t="shared" si="54"/>
        <v>0</v>
      </c>
      <c r="D719" s="65">
        <f t="shared" si="55"/>
        <v>0</v>
      </c>
      <c r="E719" s="65">
        <f t="shared" si="56"/>
        <v>0</v>
      </c>
      <c r="F719" s="65">
        <f t="shared" si="57"/>
        <v>0</v>
      </c>
    </row>
    <row r="720" spans="2:6">
      <c r="B720" s="64">
        <v>709</v>
      </c>
      <c r="C720" s="70">
        <f t="shared" si="54"/>
        <v>0</v>
      </c>
      <c r="D720" s="65">
        <f t="shared" si="55"/>
        <v>0</v>
      </c>
      <c r="E720" s="65">
        <f t="shared" si="56"/>
        <v>0</v>
      </c>
      <c r="F720" s="65">
        <f t="shared" si="57"/>
        <v>0</v>
      </c>
    </row>
    <row r="721" spans="2:6">
      <c r="B721" s="64">
        <v>710</v>
      </c>
      <c r="C721" s="70">
        <f t="shared" si="54"/>
        <v>0</v>
      </c>
      <c r="D721" s="65">
        <f t="shared" si="55"/>
        <v>0</v>
      </c>
      <c r="E721" s="65">
        <f t="shared" si="56"/>
        <v>0</v>
      </c>
      <c r="F721" s="65">
        <f t="shared" si="57"/>
        <v>0</v>
      </c>
    </row>
    <row r="722" spans="2:6">
      <c r="B722" s="64">
        <v>711</v>
      </c>
      <c r="C722" s="70">
        <f t="shared" si="54"/>
        <v>0</v>
      </c>
      <c r="D722" s="65">
        <f t="shared" si="55"/>
        <v>0</v>
      </c>
      <c r="E722" s="65">
        <f t="shared" si="56"/>
        <v>0</v>
      </c>
      <c r="F722" s="65">
        <f t="shared" si="57"/>
        <v>0</v>
      </c>
    </row>
    <row r="723" spans="2:6">
      <c r="B723" s="64">
        <v>712</v>
      </c>
      <c r="C723" s="70">
        <f t="shared" si="54"/>
        <v>0</v>
      </c>
      <c r="D723" s="65">
        <f t="shared" si="55"/>
        <v>0</v>
      </c>
      <c r="E723" s="65">
        <f t="shared" si="56"/>
        <v>0</v>
      </c>
      <c r="F723" s="65">
        <f t="shared" si="57"/>
        <v>0</v>
      </c>
    </row>
    <row r="724" spans="2:6">
      <c r="B724" s="64">
        <v>713</v>
      </c>
      <c r="C724" s="70">
        <f t="shared" si="54"/>
        <v>0</v>
      </c>
      <c r="D724" s="65">
        <f t="shared" si="55"/>
        <v>0</v>
      </c>
      <c r="E724" s="65">
        <f t="shared" si="56"/>
        <v>0</v>
      </c>
      <c r="F724" s="65">
        <f t="shared" si="57"/>
        <v>0</v>
      </c>
    </row>
    <row r="725" spans="2:6">
      <c r="B725" s="64">
        <v>714</v>
      </c>
      <c r="C725" s="70">
        <f t="shared" si="54"/>
        <v>0</v>
      </c>
      <c r="D725" s="65">
        <f t="shared" si="55"/>
        <v>0</v>
      </c>
      <c r="E725" s="65">
        <f t="shared" si="56"/>
        <v>0</v>
      </c>
      <c r="F725" s="65">
        <f t="shared" si="57"/>
        <v>0</v>
      </c>
    </row>
    <row r="726" spans="2:6">
      <c r="B726" s="64">
        <v>715</v>
      </c>
      <c r="C726" s="70">
        <f t="shared" si="54"/>
        <v>0</v>
      </c>
      <c r="D726" s="65">
        <f t="shared" si="55"/>
        <v>0</v>
      </c>
      <c r="E726" s="65">
        <f t="shared" si="56"/>
        <v>0</v>
      </c>
      <c r="F726" s="65">
        <f t="shared" si="57"/>
        <v>0</v>
      </c>
    </row>
    <row r="727" spans="2:6">
      <c r="B727" s="64">
        <v>716</v>
      </c>
      <c r="C727" s="70">
        <f t="shared" si="54"/>
        <v>0</v>
      </c>
      <c r="D727" s="65">
        <f t="shared" si="55"/>
        <v>0</v>
      </c>
      <c r="E727" s="65">
        <f t="shared" si="56"/>
        <v>0</v>
      </c>
      <c r="F727" s="65">
        <f t="shared" si="57"/>
        <v>0</v>
      </c>
    </row>
    <row r="728" spans="2:6">
      <c r="B728" s="64">
        <v>717</v>
      </c>
      <c r="C728" s="70">
        <f t="shared" si="54"/>
        <v>0</v>
      </c>
      <c r="D728" s="65">
        <f t="shared" si="55"/>
        <v>0</v>
      </c>
      <c r="E728" s="65">
        <f t="shared" si="56"/>
        <v>0</v>
      </c>
      <c r="F728" s="65">
        <f t="shared" si="57"/>
        <v>0</v>
      </c>
    </row>
    <row r="729" spans="2:6">
      <c r="B729" s="64">
        <v>718</v>
      </c>
      <c r="C729" s="70">
        <f t="shared" si="54"/>
        <v>0</v>
      </c>
      <c r="D729" s="65">
        <f t="shared" si="55"/>
        <v>0</v>
      </c>
      <c r="E729" s="65">
        <f t="shared" si="56"/>
        <v>0</v>
      </c>
      <c r="F729" s="65">
        <f t="shared" si="57"/>
        <v>0</v>
      </c>
    </row>
    <row r="730" spans="2:6">
      <c r="B730" s="64">
        <v>719</v>
      </c>
      <c r="C730" s="70">
        <f t="shared" si="54"/>
        <v>0</v>
      </c>
      <c r="D730" s="65">
        <f t="shared" si="55"/>
        <v>0</v>
      </c>
      <c r="E730" s="65">
        <f t="shared" si="56"/>
        <v>0</v>
      </c>
      <c r="F730" s="65">
        <f t="shared" si="57"/>
        <v>0</v>
      </c>
    </row>
    <row r="731" spans="2:6">
      <c r="B731" s="64">
        <v>720</v>
      </c>
      <c r="C731" s="70">
        <f t="shared" si="54"/>
        <v>0</v>
      </c>
      <c r="D731" s="65">
        <f t="shared" si="55"/>
        <v>0</v>
      </c>
      <c r="E731" s="65">
        <f t="shared" si="56"/>
        <v>0</v>
      </c>
      <c r="F731" s="65">
        <f t="shared" si="57"/>
        <v>0</v>
      </c>
    </row>
    <row r="732" spans="2:6">
      <c r="B732" s="62"/>
      <c r="C732" s="70"/>
      <c r="D732" s="65"/>
      <c r="E732" s="65"/>
      <c r="F732" s="65"/>
    </row>
  </sheetData>
  <sheetProtection algorithmName="SHA-512" hashValue="K296HcIR4sviY8nAhHF3zPDzb98axERScBspJ6NdtiryXtCCyqUCNawVBFWB3P5K4SPe32y4EKS7yq32EuksTg==" saltValue="8mJj5q/CUJ/MkP5EsvUXKA==" spinCount="100000" sheet="1" objects="1" scenarios="1"/>
  <mergeCells count="1">
    <mergeCell ref="R12:R14"/>
  </mergeCells>
  <phoneticPr fontId="12" type="noConversion"/>
  <pageMargins left="0.6" right="0.62" top="0.75" bottom="0.42" header="0.3" footer="0.24"/>
  <pageSetup scale="61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1524-3DDF-6048-B5A0-AFB05ECC306C}">
  <sheetPr codeName="Sheet31">
    <tabColor rgb="FFFF0000"/>
    <pageSetUpPr fitToPage="1"/>
  </sheetPr>
  <dimension ref="A1:W734"/>
  <sheetViews>
    <sheetView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11" width="6.6640625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63" t="s">
        <v>407</v>
      </c>
      <c r="B1" s="62"/>
      <c r="C1" s="62"/>
      <c r="D1" s="62"/>
      <c r="E1" s="62"/>
      <c r="F1" s="62"/>
      <c r="G1" s="62"/>
      <c r="H1" s="289" t="s">
        <v>407</v>
      </c>
      <c r="I1" s="71"/>
      <c r="J1" s="81"/>
      <c r="K1" s="71"/>
      <c r="L1" s="71"/>
      <c r="M1" s="290"/>
      <c r="N1" s="74"/>
      <c r="O1" s="62"/>
      <c r="P1" s="62"/>
      <c r="Q1" s="62"/>
      <c r="R1" s="62"/>
      <c r="S1" s="62"/>
      <c r="T1" s="62"/>
      <c r="U1" s="62"/>
      <c r="V1" s="62"/>
      <c r="W1" s="62"/>
    </row>
    <row r="2" spans="1:23" ht="18.75">
      <c r="A2" s="62"/>
      <c r="B2" s="62"/>
      <c r="C2" s="62"/>
      <c r="D2" s="62"/>
      <c r="E2" s="62"/>
      <c r="F2" s="62"/>
      <c r="G2" s="62"/>
      <c r="H2" s="93"/>
      <c r="I2" s="66"/>
      <c r="J2" s="74"/>
      <c r="K2" s="66"/>
      <c r="L2" s="66"/>
      <c r="M2" s="80"/>
      <c r="N2" s="74"/>
      <c r="O2" s="62"/>
      <c r="P2" s="62"/>
      <c r="Q2" s="62"/>
      <c r="R2" s="62"/>
      <c r="S2" s="62"/>
      <c r="T2" s="62"/>
      <c r="U2" s="62"/>
      <c r="V2" s="62"/>
      <c r="W2" s="62"/>
    </row>
    <row r="3" spans="1:23" ht="18.75">
      <c r="A3" s="62" t="s">
        <v>96</v>
      </c>
      <c r="B3" s="62"/>
      <c r="C3" s="64" t="str">
        <f>'Stabilized Ops &amp; Debt'!M29</f>
        <v>Fixed</v>
      </c>
      <c r="D3" s="64"/>
      <c r="H3" s="93"/>
      <c r="I3" s="66"/>
      <c r="J3" s="74"/>
      <c r="K3" s="66"/>
      <c r="L3" s="66"/>
      <c r="M3" s="80"/>
      <c r="N3" s="74"/>
      <c r="O3" s="62"/>
      <c r="P3" s="62"/>
      <c r="Q3" s="62"/>
      <c r="R3" s="62"/>
      <c r="S3" s="62"/>
      <c r="T3" s="62"/>
      <c r="U3" s="62"/>
      <c r="V3" s="62"/>
      <c r="W3" s="62"/>
    </row>
    <row r="4" spans="1:23">
      <c r="A4" s="62" t="s">
        <v>98</v>
      </c>
      <c r="B4" s="62"/>
      <c r="C4" s="73">
        <f>IF(C3="Amortizing",'Stabilized Ops &amp; Debt'!K28,0)</f>
        <v>0</v>
      </c>
      <c r="D4" s="62"/>
      <c r="E4" s="62"/>
      <c r="F4" s="62"/>
      <c r="G4" s="62"/>
      <c r="H4" s="76"/>
      <c r="I4" s="66"/>
      <c r="J4" s="74"/>
      <c r="K4" s="66"/>
      <c r="L4" s="66"/>
      <c r="M4" s="80"/>
      <c r="N4" s="74"/>
      <c r="O4" s="62"/>
      <c r="P4" s="62"/>
      <c r="Q4" s="62"/>
      <c r="R4" s="62"/>
      <c r="S4" s="62"/>
      <c r="T4" s="62"/>
      <c r="U4" s="62"/>
      <c r="V4" s="62"/>
      <c r="W4" s="62"/>
    </row>
    <row r="5" spans="1:23">
      <c r="A5" s="62" t="s">
        <v>99</v>
      </c>
      <c r="B5" s="62"/>
      <c r="C5" s="69">
        <f>'Stabilized Ops &amp; Debt'!K31</f>
        <v>0</v>
      </c>
      <c r="D5" s="62"/>
      <c r="E5" s="62"/>
      <c r="F5" s="62"/>
      <c r="G5" s="62"/>
      <c r="H5" s="76"/>
      <c r="I5" s="66"/>
      <c r="J5" s="74"/>
      <c r="K5" s="66"/>
      <c r="L5" s="66"/>
      <c r="M5" s="80"/>
      <c r="N5" s="74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62" t="s">
        <v>608</v>
      </c>
      <c r="B6" s="62"/>
      <c r="C6" s="64">
        <f>+'Stabilized Ops &amp; Debt'!K32*12</f>
        <v>0</v>
      </c>
      <c r="D6" s="62"/>
      <c r="E6" s="62"/>
      <c r="F6" s="62"/>
      <c r="G6" s="62"/>
      <c r="H6" s="76"/>
      <c r="I6" s="66"/>
      <c r="J6" s="74"/>
      <c r="K6" s="66"/>
      <c r="L6" s="66"/>
      <c r="M6" s="80"/>
      <c r="N6" s="74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62" t="s">
        <v>100</v>
      </c>
      <c r="B7" s="62" t="s">
        <v>153</v>
      </c>
      <c r="C7" s="399">
        <f>IF(C6=0,0,IF(C3="Amortizing",PMT(C5/12,C6,-C4),0))</f>
        <v>0</v>
      </c>
      <c r="D7" s="62"/>
      <c r="E7" s="62"/>
      <c r="F7" s="62"/>
      <c r="G7" s="62"/>
      <c r="H7" s="76"/>
      <c r="I7" s="66"/>
      <c r="J7" s="74"/>
      <c r="K7" s="66"/>
      <c r="L7" s="66"/>
      <c r="M7" s="80"/>
      <c r="N7" s="74"/>
      <c r="O7" s="62"/>
      <c r="P7" s="62"/>
      <c r="Q7" s="62"/>
      <c r="R7" s="62"/>
      <c r="S7" s="62"/>
      <c r="T7" s="62"/>
      <c r="U7" s="62"/>
      <c r="V7" s="62"/>
      <c r="W7" s="62"/>
    </row>
    <row r="8" spans="1:23">
      <c r="A8" s="62"/>
      <c r="B8" s="73"/>
      <c r="C8" s="62"/>
      <c r="D8" s="62"/>
      <c r="E8" s="62"/>
      <c r="F8" s="62"/>
      <c r="G8" s="62"/>
      <c r="H8" s="76"/>
      <c r="I8" s="66"/>
      <c r="J8" s="74"/>
      <c r="K8" s="66"/>
      <c r="L8" s="66"/>
      <c r="M8" s="80"/>
      <c r="N8" s="74"/>
      <c r="O8" s="62"/>
      <c r="P8" s="62"/>
      <c r="Q8" s="62"/>
      <c r="R8" s="62"/>
      <c r="S8" s="62"/>
      <c r="T8" s="62"/>
      <c r="U8" s="62"/>
      <c r="V8" s="62"/>
      <c r="W8" s="62"/>
    </row>
    <row r="9" spans="1:23">
      <c r="A9" s="62"/>
      <c r="B9" s="62"/>
      <c r="C9" s="62"/>
      <c r="D9" s="62"/>
      <c r="E9" s="62"/>
      <c r="F9" s="62"/>
      <c r="G9" s="62"/>
      <c r="H9" s="79"/>
      <c r="I9" s="71"/>
      <c r="J9" s="81"/>
      <c r="K9" s="163" t="s">
        <v>98</v>
      </c>
      <c r="L9" s="164">
        <f>+C4</f>
        <v>0</v>
      </c>
      <c r="M9" s="80"/>
      <c r="N9" s="74"/>
      <c r="O9" s="62"/>
      <c r="P9" s="62"/>
      <c r="Q9" s="62"/>
      <c r="R9" s="62"/>
      <c r="S9" s="62"/>
      <c r="T9" s="62"/>
      <c r="U9" s="62"/>
      <c r="V9" s="62"/>
      <c r="W9" s="62"/>
    </row>
    <row r="10" spans="1:23">
      <c r="A10" s="62"/>
      <c r="B10" s="62"/>
      <c r="C10" s="62"/>
      <c r="D10" s="62"/>
      <c r="E10" s="62"/>
      <c r="F10" s="62"/>
      <c r="G10" s="62"/>
      <c r="H10" s="163" t="s">
        <v>101</v>
      </c>
      <c r="I10" s="168">
        <f>'Project Info'!O13</f>
        <v>0</v>
      </c>
      <c r="J10" s="74"/>
      <c r="K10" s="163" t="s">
        <v>102</v>
      </c>
      <c r="L10" s="166">
        <f>+C5</f>
        <v>0</v>
      </c>
      <c r="M10" s="80"/>
      <c r="N10" s="74"/>
      <c r="O10" s="62"/>
      <c r="P10" s="62"/>
      <c r="Q10" s="62"/>
      <c r="R10" s="62"/>
      <c r="S10" s="62"/>
      <c r="T10" s="62"/>
      <c r="U10" s="62"/>
      <c r="V10" s="62"/>
      <c r="W10" s="62"/>
    </row>
    <row r="11" spans="1:23">
      <c r="A11" s="62"/>
      <c r="B11" s="62"/>
      <c r="C11" s="62" t="s">
        <v>362</v>
      </c>
      <c r="D11" s="62"/>
      <c r="E11" s="62"/>
      <c r="F11" s="62" t="s">
        <v>345</v>
      </c>
      <c r="G11" s="62"/>
      <c r="H11" s="77"/>
      <c r="I11" s="72"/>
      <c r="J11" s="281"/>
      <c r="K11" s="163" t="s">
        <v>147</v>
      </c>
      <c r="L11" s="163">
        <f>+C6/12</f>
        <v>0</v>
      </c>
      <c r="M11" s="80"/>
      <c r="N11" s="74"/>
      <c r="O11" s="62"/>
      <c r="P11" s="62"/>
      <c r="Q11" s="62"/>
      <c r="R11" s="62"/>
      <c r="S11" s="62"/>
      <c r="T11" s="62"/>
      <c r="U11" s="62"/>
      <c r="V11" s="62"/>
      <c r="W11" s="62"/>
    </row>
    <row r="12" spans="1:23">
      <c r="A12" s="62"/>
      <c r="B12" s="68" t="s">
        <v>104</v>
      </c>
      <c r="C12" s="67" t="s">
        <v>105</v>
      </c>
      <c r="D12" s="67" t="s">
        <v>356</v>
      </c>
      <c r="E12" s="67" t="s">
        <v>98</v>
      </c>
      <c r="F12" s="67" t="s">
        <v>106</v>
      </c>
      <c r="G12" s="62"/>
      <c r="H12" s="282"/>
      <c r="M12" s="80"/>
      <c r="N12" s="74"/>
      <c r="O12" s="62"/>
      <c r="P12" s="62"/>
      <c r="Q12" s="62"/>
      <c r="R12" s="62"/>
      <c r="S12" s="62"/>
      <c r="T12" s="62"/>
      <c r="U12" s="62"/>
      <c r="V12" s="62"/>
      <c r="W12" s="62"/>
    </row>
    <row r="13" spans="1:23">
      <c r="A13" s="62"/>
      <c r="B13" s="62"/>
      <c r="C13" s="62"/>
      <c r="D13" s="62"/>
      <c r="E13" s="62"/>
      <c r="F13" s="62"/>
      <c r="G13" s="62"/>
      <c r="H13" s="76"/>
      <c r="I13" s="66"/>
      <c r="J13" s="74"/>
      <c r="K13" s="66"/>
      <c r="L13" s="66"/>
      <c r="M13" s="80"/>
      <c r="N13" s="74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20.100000000000001" customHeight="1">
      <c r="A14" s="62"/>
      <c r="B14" s="64">
        <v>1</v>
      </c>
      <c r="C14" s="397">
        <f>IF(B14&lt;=$C$6,$C$7,0)</f>
        <v>0</v>
      </c>
      <c r="D14" s="398">
        <f>+C4*C5/12</f>
        <v>0</v>
      </c>
      <c r="E14" s="398">
        <f>+C14-D14</f>
        <v>0</v>
      </c>
      <c r="F14" s="398">
        <f>+C4-E14</f>
        <v>0</v>
      </c>
      <c r="G14" s="62"/>
      <c r="H14" s="76"/>
      <c r="I14" s="66"/>
      <c r="J14" s="74"/>
      <c r="K14" s="66"/>
      <c r="L14" s="66"/>
      <c r="M14" s="291"/>
      <c r="N14" s="74"/>
      <c r="O14" s="62"/>
      <c r="P14" s="62"/>
      <c r="Q14" s="861"/>
      <c r="R14" s="62"/>
      <c r="S14" s="62"/>
      <c r="T14" s="62"/>
      <c r="U14" s="62"/>
      <c r="V14" s="62"/>
      <c r="W14" s="92" t="s">
        <v>108</v>
      </c>
    </row>
    <row r="15" spans="1:23" ht="15" customHeight="1">
      <c r="A15" s="62"/>
      <c r="B15" s="64">
        <v>2</v>
      </c>
      <c r="C15" s="397">
        <f t="shared" ref="C15:C46" si="0">IF(F14&gt;$C$7,$C$7,F14+D15)</f>
        <v>0</v>
      </c>
      <c r="D15" s="398">
        <f t="shared" ref="D15:D46" si="1">+$C$5*F14/12</f>
        <v>0</v>
      </c>
      <c r="E15" s="398">
        <f>+C15-D15</f>
        <v>0</v>
      </c>
      <c r="F15" s="398">
        <f>+F14-E15</f>
        <v>0</v>
      </c>
      <c r="G15" s="62"/>
      <c r="H15" s="82"/>
      <c r="I15" s="82"/>
      <c r="J15" s="83"/>
      <c r="K15" s="82"/>
      <c r="L15" s="82" t="s">
        <v>109</v>
      </c>
      <c r="M15" s="83"/>
      <c r="N15" s="62"/>
      <c r="O15" s="62"/>
      <c r="P15" s="861"/>
      <c r="R15" s="62"/>
      <c r="S15" s="62"/>
      <c r="T15" s="62"/>
      <c r="U15" s="62"/>
      <c r="V15" s="92" t="s">
        <v>110</v>
      </c>
    </row>
    <row r="16" spans="1:23">
      <c r="A16" s="62"/>
      <c r="B16" s="64">
        <v>3</v>
      </c>
      <c r="C16" s="397">
        <f t="shared" si="0"/>
        <v>0</v>
      </c>
      <c r="D16" s="398">
        <f t="shared" si="1"/>
        <v>0</v>
      </c>
      <c r="E16" s="398">
        <f t="shared" ref="E16:E79" si="2">+C16-D16</f>
        <v>0</v>
      </c>
      <c r="F16" s="398">
        <f t="shared" ref="F16:F79" si="3">+F15-E16</f>
        <v>0</v>
      </c>
      <c r="G16" s="62"/>
      <c r="H16" s="85" t="s">
        <v>82</v>
      </c>
      <c r="I16" s="85" t="s">
        <v>111</v>
      </c>
      <c r="J16" s="86" t="s">
        <v>99</v>
      </c>
      <c r="K16" s="85" t="s">
        <v>98</v>
      </c>
      <c r="L16" s="85" t="s">
        <v>106</v>
      </c>
      <c r="M16" s="86" t="s">
        <v>105</v>
      </c>
      <c r="N16" s="62"/>
      <c r="O16" s="62"/>
      <c r="P16" s="861"/>
      <c r="Q16" s="62"/>
      <c r="R16" s="62"/>
      <c r="S16" s="62"/>
      <c r="T16" s="92" t="s">
        <v>113</v>
      </c>
    </row>
    <row r="17" spans="1:20">
      <c r="A17" s="62"/>
      <c r="B17" s="64">
        <v>4</v>
      </c>
      <c r="C17" s="397">
        <f t="shared" si="0"/>
        <v>0</v>
      </c>
      <c r="D17" s="398">
        <f t="shared" si="1"/>
        <v>0</v>
      </c>
      <c r="E17" s="398">
        <f t="shared" si="2"/>
        <v>0</v>
      </c>
      <c r="F17" s="398">
        <f t="shared" si="3"/>
        <v>0</v>
      </c>
      <c r="G17" s="62"/>
      <c r="H17" s="88">
        <v>0</v>
      </c>
      <c r="I17" s="80">
        <f>+' Lease-up'!I7</f>
        <v>1904</v>
      </c>
      <c r="J17" s="89"/>
      <c r="K17" s="88"/>
      <c r="L17" s="90">
        <f>+L9-K17</f>
        <v>0</v>
      </c>
      <c r="M17" s="90">
        <f>+J17+K17</f>
        <v>0</v>
      </c>
      <c r="N17" s="62"/>
      <c r="O17" s="278"/>
      <c r="P17" s="78"/>
      <c r="R17" s="278"/>
      <c r="S17" s="62"/>
      <c r="T17" s="92"/>
    </row>
    <row r="18" spans="1:20">
      <c r="A18" s="62"/>
      <c r="B18" s="64">
        <v>5</v>
      </c>
      <c r="C18" s="397">
        <f t="shared" si="0"/>
        <v>0</v>
      </c>
      <c r="D18" s="398">
        <f t="shared" si="1"/>
        <v>0</v>
      </c>
      <c r="E18" s="398">
        <f t="shared" si="2"/>
        <v>0</v>
      </c>
      <c r="F18" s="398">
        <f t="shared" si="3"/>
        <v>0</v>
      </c>
      <c r="G18" s="97"/>
      <c r="H18" s="292">
        <f>13-' Lease-up'!I8</f>
        <v>12</v>
      </c>
      <c r="I18" s="80">
        <f>+I17+1</f>
        <v>1905</v>
      </c>
      <c r="J18" s="89">
        <f>SUMIF($B$14:$B$733,T18,$D$14:$D$733)</f>
        <v>0</v>
      </c>
      <c r="K18" s="89">
        <f>SUMIF($B$14:$B$733,T18,$E$14:$E$733)</f>
        <v>0</v>
      </c>
      <c r="L18" s="90">
        <f t="shared" ref="L18:L49" si="4">+L17-K18</f>
        <v>0</v>
      </c>
      <c r="M18" s="90">
        <f t="shared" ref="M18:M77" si="5">+J18+K18</f>
        <v>0</v>
      </c>
      <c r="N18" s="62"/>
      <c r="O18" s="278"/>
      <c r="P18" s="78"/>
      <c r="R18" s="278"/>
      <c r="S18" s="62"/>
      <c r="T18" s="92" t="str">
        <f t="shared" ref="T18:T49" si="6">$T$16&amp;$W$14&amp;H18</f>
        <v>&lt;=12</v>
      </c>
    </row>
    <row r="19" spans="1:20">
      <c r="B19" s="64">
        <v>6</v>
      </c>
      <c r="C19" s="397">
        <f t="shared" si="0"/>
        <v>0</v>
      </c>
      <c r="D19" s="398">
        <f t="shared" si="1"/>
        <v>0</v>
      </c>
      <c r="E19" s="398">
        <f t="shared" si="2"/>
        <v>0</v>
      </c>
      <c r="F19" s="398">
        <f t="shared" si="3"/>
        <v>0</v>
      </c>
      <c r="G19" s="97"/>
      <c r="H19" s="88">
        <f>+H18+12</f>
        <v>24</v>
      </c>
      <c r="I19" s="80">
        <f t="shared" ref="I19:I77" si="7">+I18+1</f>
        <v>1906</v>
      </c>
      <c r="J19" s="89">
        <f>SUMIF($B$14:$B$733,T19,$D$14:$D$733)-SUM($J$18:J18)</f>
        <v>0</v>
      </c>
      <c r="K19" s="99">
        <f>SUMIF($B$14:$B$733,T19,$E$14:$E$733)-SUM($K$18:K18)</f>
        <v>0</v>
      </c>
      <c r="L19" s="90">
        <f t="shared" si="4"/>
        <v>0</v>
      </c>
      <c r="M19" s="90">
        <f t="shared" si="5"/>
        <v>0</v>
      </c>
      <c r="N19" s="62"/>
      <c r="O19" s="278"/>
      <c r="P19" s="78"/>
      <c r="R19" s="278"/>
      <c r="S19" s="62"/>
      <c r="T19" s="92" t="str">
        <f t="shared" si="6"/>
        <v>&lt;=24</v>
      </c>
    </row>
    <row r="20" spans="1:20">
      <c r="B20" s="64">
        <v>7</v>
      </c>
      <c r="C20" s="397">
        <f t="shared" si="0"/>
        <v>0</v>
      </c>
      <c r="D20" s="398">
        <f t="shared" si="1"/>
        <v>0</v>
      </c>
      <c r="E20" s="398">
        <f t="shared" si="2"/>
        <v>0</v>
      </c>
      <c r="F20" s="398">
        <f t="shared" si="3"/>
        <v>0</v>
      </c>
      <c r="G20" s="97"/>
      <c r="H20" s="88">
        <f t="shared" ref="H20:H77" si="8">+H19+12</f>
        <v>36</v>
      </c>
      <c r="I20" s="80">
        <f t="shared" si="7"/>
        <v>1907</v>
      </c>
      <c r="J20" s="89">
        <f>SUMIF($B$14:$B$733,T20,$D$14:$D$733)-SUM($J$18:J19)</f>
        <v>0</v>
      </c>
      <c r="K20" s="96">
        <f>SUMIF($B$14:$B$733,T20,$E$14:$E$733)-SUM($K$18:K19)</f>
        <v>0</v>
      </c>
      <c r="L20" s="90">
        <f t="shared" si="4"/>
        <v>0</v>
      </c>
      <c r="M20" s="90">
        <f t="shared" si="5"/>
        <v>0</v>
      </c>
      <c r="N20" s="62"/>
      <c r="O20" s="278"/>
      <c r="P20" s="78"/>
      <c r="R20" s="278"/>
      <c r="S20" s="62"/>
      <c r="T20" s="92" t="str">
        <f t="shared" si="6"/>
        <v>&lt;=36</v>
      </c>
    </row>
    <row r="21" spans="1:20">
      <c r="B21" s="64">
        <v>8</v>
      </c>
      <c r="C21" s="397">
        <f t="shared" si="0"/>
        <v>0</v>
      </c>
      <c r="D21" s="398">
        <f t="shared" si="1"/>
        <v>0</v>
      </c>
      <c r="E21" s="398">
        <f t="shared" si="2"/>
        <v>0</v>
      </c>
      <c r="F21" s="398">
        <f t="shared" si="3"/>
        <v>0</v>
      </c>
      <c r="G21" s="97"/>
      <c r="H21" s="88">
        <f t="shared" si="8"/>
        <v>48</v>
      </c>
      <c r="I21" s="80">
        <f t="shared" si="7"/>
        <v>1908</v>
      </c>
      <c r="J21" s="89">
        <f>SUMIF($B$14:$B$733,T21,$D$14:$D$733)-SUM($J$18:J20)</f>
        <v>0</v>
      </c>
      <c r="K21" s="96">
        <f>SUMIF($B$14:$B$733,T21,$E$14:$E$733)-SUM($K$18:K20)</f>
        <v>0</v>
      </c>
      <c r="L21" s="90">
        <f t="shared" si="4"/>
        <v>0</v>
      </c>
      <c r="M21" s="90">
        <f t="shared" si="5"/>
        <v>0</v>
      </c>
      <c r="N21" s="62"/>
      <c r="O21" s="278"/>
      <c r="P21" s="78"/>
      <c r="R21" s="278"/>
      <c r="S21" s="62"/>
      <c r="T21" s="92" t="str">
        <f t="shared" si="6"/>
        <v>&lt;=48</v>
      </c>
    </row>
    <row r="22" spans="1:20">
      <c r="B22" s="64">
        <v>9</v>
      </c>
      <c r="C22" s="397">
        <f t="shared" si="0"/>
        <v>0</v>
      </c>
      <c r="D22" s="398">
        <f t="shared" si="1"/>
        <v>0</v>
      </c>
      <c r="E22" s="398">
        <f t="shared" si="2"/>
        <v>0</v>
      </c>
      <c r="F22" s="398">
        <f t="shared" si="3"/>
        <v>0</v>
      </c>
      <c r="G22" s="97"/>
      <c r="H22" s="88">
        <f t="shared" si="8"/>
        <v>60</v>
      </c>
      <c r="I22" s="80">
        <f t="shared" si="7"/>
        <v>1909</v>
      </c>
      <c r="J22" s="89">
        <f>SUMIF($B$14:$B$733,T22,$D$14:$D$733)-SUM($J$18:J21)</f>
        <v>0</v>
      </c>
      <c r="K22" s="96">
        <f>SUMIF($B$14:$B$733,T22,$E$14:$E$733)-SUM($K$18:K21)</f>
        <v>0</v>
      </c>
      <c r="L22" s="90">
        <f t="shared" si="4"/>
        <v>0</v>
      </c>
      <c r="M22" s="90">
        <f t="shared" si="5"/>
        <v>0</v>
      </c>
      <c r="N22" s="62"/>
      <c r="O22" s="278"/>
      <c r="P22" s="78"/>
      <c r="R22" s="278"/>
      <c r="S22" s="62"/>
      <c r="T22" s="92" t="str">
        <f t="shared" si="6"/>
        <v>&lt;=60</v>
      </c>
    </row>
    <row r="23" spans="1:20">
      <c r="B23" s="64">
        <v>10</v>
      </c>
      <c r="C23" s="397">
        <f t="shared" si="0"/>
        <v>0</v>
      </c>
      <c r="D23" s="398">
        <f t="shared" si="1"/>
        <v>0</v>
      </c>
      <c r="E23" s="398">
        <f t="shared" si="2"/>
        <v>0</v>
      </c>
      <c r="F23" s="398">
        <f t="shared" si="3"/>
        <v>0</v>
      </c>
      <c r="G23" s="97"/>
      <c r="H23" s="88">
        <f t="shared" si="8"/>
        <v>72</v>
      </c>
      <c r="I23" s="80">
        <f t="shared" si="7"/>
        <v>1910</v>
      </c>
      <c r="J23" s="89">
        <f>SUMIF($B$14:$B$733,T23,$D$14:$D$733)-SUM($J$18:J22)</f>
        <v>0</v>
      </c>
      <c r="K23" s="96">
        <f>SUMIF($B$14:$B$733,T23,$E$14:$E$733)-SUM($K$18:K22)</f>
        <v>0</v>
      </c>
      <c r="L23" s="90">
        <f t="shared" si="4"/>
        <v>0</v>
      </c>
      <c r="M23" s="90">
        <f t="shared" si="5"/>
        <v>0</v>
      </c>
      <c r="N23" s="62"/>
      <c r="O23" s="278"/>
      <c r="P23" s="78"/>
      <c r="R23" s="278"/>
      <c r="S23" s="62"/>
      <c r="T23" s="92" t="str">
        <f t="shared" si="6"/>
        <v>&lt;=72</v>
      </c>
    </row>
    <row r="24" spans="1:20">
      <c r="B24" s="64">
        <v>11</v>
      </c>
      <c r="C24" s="397">
        <f t="shared" si="0"/>
        <v>0</v>
      </c>
      <c r="D24" s="398">
        <f t="shared" si="1"/>
        <v>0</v>
      </c>
      <c r="E24" s="398">
        <f t="shared" si="2"/>
        <v>0</v>
      </c>
      <c r="F24" s="398">
        <f t="shared" si="3"/>
        <v>0</v>
      </c>
      <c r="G24" s="97"/>
      <c r="H24" s="88">
        <f t="shared" si="8"/>
        <v>84</v>
      </c>
      <c r="I24" s="80">
        <f t="shared" si="7"/>
        <v>1911</v>
      </c>
      <c r="J24" s="89">
        <f>SUMIF($B$14:$B$733,T24,$D$14:$D$733)-SUM($J$18:J23)</f>
        <v>0</v>
      </c>
      <c r="K24" s="96">
        <f>SUMIF($B$14:$B$733,T24,$E$14:$E$733)-SUM($K$18:K23)</f>
        <v>0</v>
      </c>
      <c r="L24" s="90">
        <f t="shared" si="4"/>
        <v>0</v>
      </c>
      <c r="M24" s="90">
        <f t="shared" si="5"/>
        <v>0</v>
      </c>
      <c r="N24" s="62"/>
      <c r="O24" s="278"/>
      <c r="P24" s="78"/>
      <c r="R24" s="278"/>
      <c r="S24" s="62"/>
      <c r="T24" s="92" t="str">
        <f t="shared" si="6"/>
        <v>&lt;=84</v>
      </c>
    </row>
    <row r="25" spans="1:20">
      <c r="B25" s="64">
        <v>12</v>
      </c>
      <c r="C25" s="397">
        <f t="shared" si="0"/>
        <v>0</v>
      </c>
      <c r="D25" s="398">
        <f t="shared" si="1"/>
        <v>0</v>
      </c>
      <c r="E25" s="398">
        <f t="shared" si="2"/>
        <v>0</v>
      </c>
      <c r="F25" s="398">
        <f t="shared" si="3"/>
        <v>0</v>
      </c>
      <c r="G25" s="97"/>
      <c r="H25" s="88">
        <f t="shared" si="8"/>
        <v>96</v>
      </c>
      <c r="I25" s="80">
        <f t="shared" si="7"/>
        <v>1912</v>
      </c>
      <c r="J25" s="89">
        <f>SUMIF($B$14:$B$733,T25,$D$14:$D$733)-SUM($J$18:J24)</f>
        <v>0</v>
      </c>
      <c r="K25" s="96">
        <f>SUMIF($B$14:$B$733,T25,$E$14:$E$733)-SUM($K$18:K24)</f>
        <v>0</v>
      </c>
      <c r="L25" s="90">
        <f t="shared" si="4"/>
        <v>0</v>
      </c>
      <c r="M25" s="90">
        <f t="shared" si="5"/>
        <v>0</v>
      </c>
      <c r="N25" s="62"/>
      <c r="O25" s="278"/>
      <c r="P25" s="78"/>
      <c r="R25" s="278"/>
      <c r="S25" s="62"/>
      <c r="T25" s="92" t="str">
        <f t="shared" si="6"/>
        <v>&lt;=96</v>
      </c>
    </row>
    <row r="26" spans="1:20">
      <c r="B26" s="64">
        <v>13</v>
      </c>
      <c r="C26" s="397">
        <f t="shared" si="0"/>
        <v>0</v>
      </c>
      <c r="D26" s="398">
        <f t="shared" si="1"/>
        <v>0</v>
      </c>
      <c r="E26" s="398">
        <f t="shared" si="2"/>
        <v>0</v>
      </c>
      <c r="F26" s="398">
        <f t="shared" si="3"/>
        <v>0</v>
      </c>
      <c r="G26" s="97"/>
      <c r="H26" s="88">
        <f t="shared" si="8"/>
        <v>108</v>
      </c>
      <c r="I26" s="80">
        <f t="shared" si="7"/>
        <v>1913</v>
      </c>
      <c r="J26" s="89">
        <f>SUMIF($B$14:$B$733,T26,$D$14:$D$733)-SUM($J$18:J25)</f>
        <v>0</v>
      </c>
      <c r="K26" s="96">
        <f>SUMIF($B$14:$B$733,T26,$E$14:$E$733)-SUM($K$18:K25)</f>
        <v>0</v>
      </c>
      <c r="L26" s="90">
        <f t="shared" si="4"/>
        <v>0</v>
      </c>
      <c r="M26" s="90">
        <f t="shared" si="5"/>
        <v>0</v>
      </c>
      <c r="N26" s="62"/>
      <c r="O26" s="278"/>
      <c r="P26" s="78"/>
      <c r="R26" s="278"/>
      <c r="S26" s="62"/>
      <c r="T26" s="92" t="str">
        <f t="shared" si="6"/>
        <v>&lt;=108</v>
      </c>
    </row>
    <row r="27" spans="1:20">
      <c r="B27" s="64">
        <v>14</v>
      </c>
      <c r="C27" s="397">
        <f t="shared" si="0"/>
        <v>0</v>
      </c>
      <c r="D27" s="398">
        <f t="shared" si="1"/>
        <v>0</v>
      </c>
      <c r="E27" s="398">
        <f t="shared" si="2"/>
        <v>0</v>
      </c>
      <c r="F27" s="398">
        <f t="shared" si="3"/>
        <v>0</v>
      </c>
      <c r="G27" s="62"/>
      <c r="H27" s="88">
        <f t="shared" si="8"/>
        <v>120</v>
      </c>
      <c r="I27" s="80">
        <f t="shared" si="7"/>
        <v>1914</v>
      </c>
      <c r="J27" s="89">
        <f>SUMIF($B$14:$B$733,T27,$D$14:$D$733)-SUM($J$18:J26)</f>
        <v>0</v>
      </c>
      <c r="K27" s="96">
        <f>SUMIF($B$14:$B$733,T27,$E$14:$E$733)-SUM($K$18:K26)</f>
        <v>0</v>
      </c>
      <c r="L27" s="90">
        <f t="shared" si="4"/>
        <v>0</v>
      </c>
      <c r="M27" s="90">
        <f t="shared" si="5"/>
        <v>0</v>
      </c>
      <c r="N27" s="62"/>
      <c r="O27" s="278"/>
      <c r="P27" s="78"/>
      <c r="R27" s="278"/>
      <c r="S27" s="62"/>
      <c r="T27" s="92" t="str">
        <f t="shared" si="6"/>
        <v>&lt;=120</v>
      </c>
    </row>
    <row r="28" spans="1:20">
      <c r="B28" s="64">
        <v>15</v>
      </c>
      <c r="C28" s="397">
        <f t="shared" si="0"/>
        <v>0</v>
      </c>
      <c r="D28" s="398">
        <f t="shared" si="1"/>
        <v>0</v>
      </c>
      <c r="E28" s="398">
        <f t="shared" si="2"/>
        <v>0</v>
      </c>
      <c r="F28" s="398">
        <f t="shared" si="3"/>
        <v>0</v>
      </c>
      <c r="G28" s="62"/>
      <c r="H28" s="88">
        <f t="shared" si="8"/>
        <v>132</v>
      </c>
      <c r="I28" s="80">
        <f t="shared" si="7"/>
        <v>1915</v>
      </c>
      <c r="J28" s="89">
        <f>SUMIF($B$14:$B$733,T28,$D$14:$D$733)-SUM($J$18:J27)</f>
        <v>0</v>
      </c>
      <c r="K28" s="96">
        <f>SUMIF($B$14:$B$733,T28,$E$14:$E$733)-SUM($K$18:K27)</f>
        <v>0</v>
      </c>
      <c r="L28" s="90">
        <f t="shared" si="4"/>
        <v>0</v>
      </c>
      <c r="M28" s="90">
        <f t="shared" si="5"/>
        <v>0</v>
      </c>
      <c r="N28" s="62"/>
      <c r="O28" s="278"/>
      <c r="P28" s="78"/>
      <c r="R28" s="278"/>
      <c r="S28" s="62"/>
      <c r="T28" s="92" t="str">
        <f t="shared" si="6"/>
        <v>&lt;=132</v>
      </c>
    </row>
    <row r="29" spans="1:20">
      <c r="B29" s="64">
        <v>16</v>
      </c>
      <c r="C29" s="397">
        <f t="shared" si="0"/>
        <v>0</v>
      </c>
      <c r="D29" s="398">
        <f t="shared" si="1"/>
        <v>0</v>
      </c>
      <c r="E29" s="398">
        <f t="shared" si="2"/>
        <v>0</v>
      </c>
      <c r="F29" s="398">
        <f t="shared" si="3"/>
        <v>0</v>
      </c>
      <c r="G29" s="62"/>
      <c r="H29" s="88">
        <f t="shared" si="8"/>
        <v>144</v>
      </c>
      <c r="I29" s="80">
        <f t="shared" si="7"/>
        <v>1916</v>
      </c>
      <c r="J29" s="89">
        <f>SUMIF($B$14:$B$733,T29,$D$14:$D$733)-SUM($J$18:J28)</f>
        <v>0</v>
      </c>
      <c r="K29" s="96">
        <f>SUMIF($B$14:$B$733,T29,$E$14:$E$733)-SUM($K$18:K28)</f>
        <v>0</v>
      </c>
      <c r="L29" s="90">
        <f t="shared" si="4"/>
        <v>0</v>
      </c>
      <c r="M29" s="90">
        <f t="shared" si="5"/>
        <v>0</v>
      </c>
      <c r="N29" s="62"/>
      <c r="O29" s="278"/>
      <c r="P29" s="78"/>
      <c r="R29" s="278"/>
      <c r="S29" s="62"/>
      <c r="T29" s="92" t="str">
        <f t="shared" si="6"/>
        <v>&lt;=144</v>
      </c>
    </row>
    <row r="30" spans="1:20">
      <c r="B30" s="64">
        <v>17</v>
      </c>
      <c r="C30" s="397">
        <f t="shared" si="0"/>
        <v>0</v>
      </c>
      <c r="D30" s="398">
        <f t="shared" si="1"/>
        <v>0</v>
      </c>
      <c r="E30" s="398">
        <f t="shared" si="2"/>
        <v>0</v>
      </c>
      <c r="F30" s="398">
        <f t="shared" si="3"/>
        <v>0</v>
      </c>
      <c r="G30" s="62"/>
      <c r="H30" s="88">
        <f t="shared" si="8"/>
        <v>156</v>
      </c>
      <c r="I30" s="80">
        <f t="shared" si="7"/>
        <v>1917</v>
      </c>
      <c r="J30" s="89">
        <f>SUMIF($B$14:$B$733,T30,$D$14:$D$733)-SUM($J$18:J29)</f>
        <v>0</v>
      </c>
      <c r="K30" s="96">
        <f>SUMIF($B$14:$B$733,T30,$E$14:$E$733)-SUM($K$18:K29)</f>
        <v>0</v>
      </c>
      <c r="L30" s="90">
        <f t="shared" si="4"/>
        <v>0</v>
      </c>
      <c r="M30" s="90">
        <f t="shared" si="5"/>
        <v>0</v>
      </c>
      <c r="N30" s="62"/>
      <c r="O30" s="78"/>
      <c r="P30" s="78"/>
      <c r="Q30" s="278"/>
      <c r="R30" s="62"/>
      <c r="S30" s="62"/>
      <c r="T30" s="92" t="str">
        <f t="shared" si="6"/>
        <v>&lt;=156</v>
      </c>
    </row>
    <row r="31" spans="1:20">
      <c r="B31" s="64">
        <v>18</v>
      </c>
      <c r="C31" s="397">
        <f t="shared" si="0"/>
        <v>0</v>
      </c>
      <c r="D31" s="398">
        <f t="shared" si="1"/>
        <v>0</v>
      </c>
      <c r="E31" s="398">
        <f t="shared" si="2"/>
        <v>0</v>
      </c>
      <c r="F31" s="398">
        <f t="shared" si="3"/>
        <v>0</v>
      </c>
      <c r="G31" s="62"/>
      <c r="H31" s="88">
        <f t="shared" si="8"/>
        <v>168</v>
      </c>
      <c r="I31" s="80">
        <f t="shared" si="7"/>
        <v>1918</v>
      </c>
      <c r="J31" s="89">
        <f>SUMIF($B$14:$B$733,T31,$D$14:$D$733)-SUM($J$18:J30)</f>
        <v>0</v>
      </c>
      <c r="K31" s="96">
        <f>SUMIF($B$14:$B$733,T31,$E$14:$E$733)-SUM($K$18:K30)</f>
        <v>0</v>
      </c>
      <c r="L31" s="90">
        <f t="shared" si="4"/>
        <v>0</v>
      </c>
      <c r="M31" s="90">
        <f t="shared" si="5"/>
        <v>0</v>
      </c>
      <c r="N31" s="62"/>
      <c r="O31" s="78"/>
      <c r="P31" s="78"/>
      <c r="Q31" s="278"/>
      <c r="R31" s="62"/>
      <c r="S31" s="62"/>
      <c r="T31" s="92" t="str">
        <f t="shared" si="6"/>
        <v>&lt;=168</v>
      </c>
    </row>
    <row r="32" spans="1:20">
      <c r="B32" s="64">
        <v>19</v>
      </c>
      <c r="C32" s="397">
        <f t="shared" si="0"/>
        <v>0</v>
      </c>
      <c r="D32" s="398">
        <f t="shared" si="1"/>
        <v>0</v>
      </c>
      <c r="E32" s="398">
        <f t="shared" si="2"/>
        <v>0</v>
      </c>
      <c r="F32" s="398">
        <f t="shared" si="3"/>
        <v>0</v>
      </c>
      <c r="G32" s="62"/>
      <c r="H32" s="88">
        <f t="shared" si="8"/>
        <v>180</v>
      </c>
      <c r="I32" s="80">
        <f t="shared" si="7"/>
        <v>1919</v>
      </c>
      <c r="J32" s="89">
        <f>SUMIF($B$14:$B$733,T32,$D$14:$D$733)-SUM($J$18:J31)</f>
        <v>0</v>
      </c>
      <c r="K32" s="96">
        <f>SUMIF($B$14:$B$733,T32,$E$14:$E$733)-SUM($K$18:K31)</f>
        <v>0</v>
      </c>
      <c r="L32" s="90">
        <f t="shared" si="4"/>
        <v>0</v>
      </c>
      <c r="M32" s="90">
        <f t="shared" si="5"/>
        <v>0</v>
      </c>
      <c r="N32" s="62"/>
      <c r="O32" s="78"/>
      <c r="P32" s="78"/>
      <c r="Q32" s="278"/>
      <c r="R32" s="62"/>
      <c r="S32" s="62"/>
      <c r="T32" s="92" t="str">
        <f t="shared" si="6"/>
        <v>&lt;=180</v>
      </c>
    </row>
    <row r="33" spans="2:20">
      <c r="B33" s="64">
        <v>20</v>
      </c>
      <c r="C33" s="397">
        <f t="shared" si="0"/>
        <v>0</v>
      </c>
      <c r="D33" s="398">
        <f t="shared" si="1"/>
        <v>0</v>
      </c>
      <c r="E33" s="398">
        <f t="shared" si="2"/>
        <v>0</v>
      </c>
      <c r="F33" s="398">
        <f t="shared" si="3"/>
        <v>0</v>
      </c>
      <c r="G33" s="62"/>
      <c r="H33" s="88">
        <f t="shared" si="8"/>
        <v>192</v>
      </c>
      <c r="I33" s="80">
        <f t="shared" si="7"/>
        <v>1920</v>
      </c>
      <c r="J33" s="89">
        <f>SUMIF($B$14:$B$733,T33,$D$14:$D$733)-SUM($J$18:J32)</f>
        <v>0</v>
      </c>
      <c r="K33" s="96">
        <f>SUMIF($B$14:$B$733,T33,$E$14:$E$733)-SUM($K$18:K32)</f>
        <v>0</v>
      </c>
      <c r="L33" s="90">
        <f t="shared" si="4"/>
        <v>0</v>
      </c>
      <c r="M33" s="90">
        <f t="shared" si="5"/>
        <v>0</v>
      </c>
      <c r="N33" s="62"/>
      <c r="O33" s="78"/>
      <c r="P33" s="78"/>
      <c r="Q33" s="278"/>
      <c r="R33" s="62"/>
      <c r="S33" s="62"/>
      <c r="T33" s="92" t="str">
        <f t="shared" si="6"/>
        <v>&lt;=192</v>
      </c>
    </row>
    <row r="34" spans="2:20">
      <c r="B34" s="64">
        <v>21</v>
      </c>
      <c r="C34" s="397">
        <f t="shared" si="0"/>
        <v>0</v>
      </c>
      <c r="D34" s="398">
        <f t="shared" si="1"/>
        <v>0</v>
      </c>
      <c r="E34" s="398">
        <f t="shared" si="2"/>
        <v>0</v>
      </c>
      <c r="F34" s="398">
        <f t="shared" si="3"/>
        <v>0</v>
      </c>
      <c r="G34" s="62"/>
      <c r="H34" s="88">
        <f t="shared" si="8"/>
        <v>204</v>
      </c>
      <c r="I34" s="80">
        <f t="shared" si="7"/>
        <v>1921</v>
      </c>
      <c r="J34" s="89">
        <f>SUMIF($B$14:$B$733,T34,$D$14:$D$733)-SUM($J$18:J33)</f>
        <v>0</v>
      </c>
      <c r="K34" s="96">
        <f>SUMIF($B$14:$B$733,T34,$E$14:$E$733)-SUM($K$18:K33)</f>
        <v>0</v>
      </c>
      <c r="L34" s="90">
        <f t="shared" si="4"/>
        <v>0</v>
      </c>
      <c r="M34" s="90">
        <f t="shared" si="5"/>
        <v>0</v>
      </c>
      <c r="N34" s="62"/>
      <c r="O34" s="78"/>
      <c r="P34" s="78"/>
      <c r="Q34" s="278"/>
      <c r="R34" s="62"/>
      <c r="S34" s="62"/>
      <c r="T34" s="92" t="str">
        <f t="shared" si="6"/>
        <v>&lt;=204</v>
      </c>
    </row>
    <row r="35" spans="2:20">
      <c r="B35" s="64">
        <v>22</v>
      </c>
      <c r="C35" s="397">
        <f t="shared" si="0"/>
        <v>0</v>
      </c>
      <c r="D35" s="398">
        <f t="shared" si="1"/>
        <v>0</v>
      </c>
      <c r="E35" s="398">
        <f t="shared" si="2"/>
        <v>0</v>
      </c>
      <c r="F35" s="398">
        <f t="shared" si="3"/>
        <v>0</v>
      </c>
      <c r="G35" s="62"/>
      <c r="H35" s="88">
        <f t="shared" si="8"/>
        <v>216</v>
      </c>
      <c r="I35" s="80">
        <f t="shared" si="7"/>
        <v>1922</v>
      </c>
      <c r="J35" s="89">
        <f>SUMIF($B$14:$B$733,T35,$D$14:$D$733)-SUM($J$18:J34)</f>
        <v>0</v>
      </c>
      <c r="K35" s="96">
        <f>SUMIF($B$14:$B$733,T35,$E$14:$E$733)-SUM($K$18:K34)</f>
        <v>0</v>
      </c>
      <c r="L35" s="90">
        <f t="shared" si="4"/>
        <v>0</v>
      </c>
      <c r="M35" s="90">
        <f t="shared" si="5"/>
        <v>0</v>
      </c>
      <c r="N35" s="62"/>
      <c r="O35" s="78"/>
      <c r="P35" s="78"/>
      <c r="Q35" s="278"/>
      <c r="R35" s="62"/>
      <c r="S35" s="62"/>
      <c r="T35" s="92" t="str">
        <f t="shared" si="6"/>
        <v>&lt;=216</v>
      </c>
    </row>
    <row r="36" spans="2:20">
      <c r="B36" s="64">
        <v>23</v>
      </c>
      <c r="C36" s="397">
        <f t="shared" si="0"/>
        <v>0</v>
      </c>
      <c r="D36" s="398">
        <f t="shared" si="1"/>
        <v>0</v>
      </c>
      <c r="E36" s="398">
        <f t="shared" si="2"/>
        <v>0</v>
      </c>
      <c r="F36" s="398">
        <f t="shared" si="3"/>
        <v>0</v>
      </c>
      <c r="G36" s="62"/>
      <c r="H36" s="88">
        <f t="shared" si="8"/>
        <v>228</v>
      </c>
      <c r="I36" s="80">
        <f t="shared" si="7"/>
        <v>1923</v>
      </c>
      <c r="J36" s="89">
        <f>SUMIF($B$14:$B$733,T36,$D$14:$D$733)-SUM($J$18:J35)</f>
        <v>0</v>
      </c>
      <c r="K36" s="96">
        <f>SUMIF($B$14:$B$733,T36,$E$14:$E$733)-SUM($K$18:K35)</f>
        <v>0</v>
      </c>
      <c r="L36" s="90">
        <f t="shared" si="4"/>
        <v>0</v>
      </c>
      <c r="M36" s="90">
        <f t="shared" si="5"/>
        <v>0</v>
      </c>
      <c r="N36" s="62"/>
      <c r="O36" s="78"/>
      <c r="P36" s="78"/>
      <c r="Q36" s="278"/>
      <c r="R36" s="62"/>
      <c r="S36" s="62"/>
      <c r="T36" s="92" t="str">
        <f t="shared" si="6"/>
        <v>&lt;=228</v>
      </c>
    </row>
    <row r="37" spans="2:20">
      <c r="B37" s="64">
        <v>24</v>
      </c>
      <c r="C37" s="397">
        <f t="shared" si="0"/>
        <v>0</v>
      </c>
      <c r="D37" s="398">
        <f t="shared" si="1"/>
        <v>0</v>
      </c>
      <c r="E37" s="398">
        <f t="shared" si="2"/>
        <v>0</v>
      </c>
      <c r="F37" s="398">
        <f t="shared" si="3"/>
        <v>0</v>
      </c>
      <c r="G37" s="62"/>
      <c r="H37" s="88">
        <f t="shared" si="8"/>
        <v>240</v>
      </c>
      <c r="I37" s="80">
        <f t="shared" si="7"/>
        <v>1924</v>
      </c>
      <c r="J37" s="89">
        <f>SUMIF($B$14:$B$733,T37,$D$14:$D$733)-SUM($J$18:J36)</f>
        <v>0</v>
      </c>
      <c r="K37" s="96">
        <f>SUMIF($B$14:$B$733,T37,$E$14:$E$733)-SUM($K$18:K36)</f>
        <v>0</v>
      </c>
      <c r="L37" s="90">
        <f t="shared" si="4"/>
        <v>0</v>
      </c>
      <c r="M37" s="90">
        <f t="shared" si="5"/>
        <v>0</v>
      </c>
      <c r="N37" s="62"/>
      <c r="O37" s="78"/>
      <c r="P37" s="78"/>
      <c r="Q37" s="278"/>
      <c r="R37" s="62"/>
      <c r="S37" s="62"/>
      <c r="T37" s="92" t="str">
        <f t="shared" si="6"/>
        <v>&lt;=240</v>
      </c>
    </row>
    <row r="38" spans="2:20">
      <c r="B38" s="64">
        <v>25</v>
      </c>
      <c r="C38" s="397">
        <f t="shared" si="0"/>
        <v>0</v>
      </c>
      <c r="D38" s="398">
        <f t="shared" si="1"/>
        <v>0</v>
      </c>
      <c r="E38" s="398">
        <f t="shared" si="2"/>
        <v>0</v>
      </c>
      <c r="F38" s="398">
        <f t="shared" si="3"/>
        <v>0</v>
      </c>
      <c r="G38" s="62"/>
      <c r="H38" s="88">
        <f t="shared" si="8"/>
        <v>252</v>
      </c>
      <c r="I38" s="80">
        <f t="shared" si="7"/>
        <v>1925</v>
      </c>
      <c r="J38" s="89">
        <f>SUMIF($B$14:$B$733,T38,$D$14:$D$733)-SUM($J$18:J37)</f>
        <v>0</v>
      </c>
      <c r="K38" s="96">
        <f>SUMIF($B$14:$B$733,T38,$E$14:$E$733)-SUM($K$18:K37)</f>
        <v>0</v>
      </c>
      <c r="L38" s="90">
        <f t="shared" si="4"/>
        <v>0</v>
      </c>
      <c r="M38" s="90">
        <f t="shared" si="5"/>
        <v>0</v>
      </c>
      <c r="N38" s="62"/>
      <c r="O38" s="78"/>
      <c r="P38" s="78"/>
      <c r="Q38" s="278"/>
      <c r="R38" s="62"/>
      <c r="S38" s="62"/>
      <c r="T38" s="92" t="str">
        <f t="shared" si="6"/>
        <v>&lt;=252</v>
      </c>
    </row>
    <row r="39" spans="2:20">
      <c r="B39" s="64">
        <v>26</v>
      </c>
      <c r="C39" s="397">
        <f t="shared" si="0"/>
        <v>0</v>
      </c>
      <c r="D39" s="398">
        <f t="shared" si="1"/>
        <v>0</v>
      </c>
      <c r="E39" s="398">
        <f t="shared" si="2"/>
        <v>0</v>
      </c>
      <c r="F39" s="398">
        <f t="shared" si="3"/>
        <v>0</v>
      </c>
      <c r="G39" s="62"/>
      <c r="H39" s="88">
        <f t="shared" si="8"/>
        <v>264</v>
      </c>
      <c r="I39" s="80">
        <f t="shared" si="7"/>
        <v>1926</v>
      </c>
      <c r="J39" s="89">
        <f>SUMIF($B$14:$B$733,T39,$D$14:$D$733)-SUM($J$18:J38)</f>
        <v>0</v>
      </c>
      <c r="K39" s="96">
        <f>SUMIF($B$14:$B$733,T39,$E$14:$E$733)-SUM($K$18:K38)</f>
        <v>0</v>
      </c>
      <c r="L39" s="90">
        <f t="shared" si="4"/>
        <v>0</v>
      </c>
      <c r="M39" s="90">
        <f t="shared" si="5"/>
        <v>0</v>
      </c>
      <c r="N39" s="62"/>
      <c r="O39" s="78"/>
      <c r="P39" s="78"/>
      <c r="Q39" s="278"/>
      <c r="R39" s="62"/>
      <c r="S39" s="62"/>
      <c r="T39" s="92" t="str">
        <f t="shared" si="6"/>
        <v>&lt;=264</v>
      </c>
    </row>
    <row r="40" spans="2:20">
      <c r="B40" s="64">
        <v>27</v>
      </c>
      <c r="C40" s="397">
        <f t="shared" si="0"/>
        <v>0</v>
      </c>
      <c r="D40" s="398">
        <f t="shared" si="1"/>
        <v>0</v>
      </c>
      <c r="E40" s="398">
        <f t="shared" si="2"/>
        <v>0</v>
      </c>
      <c r="F40" s="398">
        <f t="shared" si="3"/>
        <v>0</v>
      </c>
      <c r="G40" s="62"/>
      <c r="H40" s="88">
        <f t="shared" si="8"/>
        <v>276</v>
      </c>
      <c r="I40" s="80">
        <f t="shared" si="7"/>
        <v>1927</v>
      </c>
      <c r="J40" s="89">
        <f>SUMIF($B$14:$B$733,T40,$D$14:$D$733)-SUM($J$18:J39)</f>
        <v>0</v>
      </c>
      <c r="K40" s="96">
        <f>SUMIF($B$14:$B$733,T40,$E$14:$E$733)-SUM($K$18:K39)</f>
        <v>0</v>
      </c>
      <c r="L40" s="90">
        <f t="shared" si="4"/>
        <v>0</v>
      </c>
      <c r="M40" s="90">
        <f t="shared" si="5"/>
        <v>0</v>
      </c>
      <c r="N40" s="62"/>
      <c r="O40" s="78"/>
      <c r="P40" s="78"/>
      <c r="Q40" s="278"/>
      <c r="R40" s="62"/>
      <c r="S40" s="62"/>
      <c r="T40" s="92" t="str">
        <f t="shared" si="6"/>
        <v>&lt;=276</v>
      </c>
    </row>
    <row r="41" spans="2:20">
      <c r="B41" s="64">
        <v>28</v>
      </c>
      <c r="C41" s="397">
        <f t="shared" si="0"/>
        <v>0</v>
      </c>
      <c r="D41" s="398">
        <f t="shared" si="1"/>
        <v>0</v>
      </c>
      <c r="E41" s="398">
        <f t="shared" si="2"/>
        <v>0</v>
      </c>
      <c r="F41" s="398">
        <f t="shared" si="3"/>
        <v>0</v>
      </c>
      <c r="G41" s="62"/>
      <c r="H41" s="88">
        <f t="shared" si="8"/>
        <v>288</v>
      </c>
      <c r="I41" s="80">
        <f t="shared" si="7"/>
        <v>1928</v>
      </c>
      <c r="J41" s="89">
        <f>SUMIF($B$14:$B$733,T41,$D$14:$D$733)-SUM($J$18:J40)</f>
        <v>0</v>
      </c>
      <c r="K41" s="96">
        <f>SUMIF($B$14:$B$733,T41,$E$14:$E$733)-SUM($K$18:K40)</f>
        <v>0</v>
      </c>
      <c r="L41" s="90">
        <f t="shared" si="4"/>
        <v>0</v>
      </c>
      <c r="M41" s="90">
        <f t="shared" si="5"/>
        <v>0</v>
      </c>
      <c r="N41" s="62"/>
      <c r="O41" s="78"/>
      <c r="P41" s="78"/>
      <c r="Q41" s="278"/>
      <c r="R41" s="62"/>
      <c r="S41" s="62"/>
      <c r="T41" s="92" t="str">
        <f t="shared" si="6"/>
        <v>&lt;=288</v>
      </c>
    </row>
    <row r="42" spans="2:20">
      <c r="B42" s="64">
        <v>29</v>
      </c>
      <c r="C42" s="397">
        <f t="shared" si="0"/>
        <v>0</v>
      </c>
      <c r="D42" s="398">
        <f t="shared" si="1"/>
        <v>0</v>
      </c>
      <c r="E42" s="398">
        <f t="shared" si="2"/>
        <v>0</v>
      </c>
      <c r="F42" s="398">
        <f t="shared" si="3"/>
        <v>0</v>
      </c>
      <c r="G42" s="62"/>
      <c r="H42" s="88">
        <f t="shared" si="8"/>
        <v>300</v>
      </c>
      <c r="I42" s="80">
        <f t="shared" si="7"/>
        <v>1929</v>
      </c>
      <c r="J42" s="89">
        <f>SUMIF($B$14:$B$733,T42,$D$14:$D$733)-SUM($J$18:J41)</f>
        <v>0</v>
      </c>
      <c r="K42" s="96">
        <f>SUMIF($B$14:$B$733,T42,$E$14:$E$733)-SUM($K$18:K41)</f>
        <v>0</v>
      </c>
      <c r="L42" s="90">
        <f t="shared" si="4"/>
        <v>0</v>
      </c>
      <c r="M42" s="90">
        <f t="shared" si="5"/>
        <v>0</v>
      </c>
      <c r="N42" s="62"/>
      <c r="O42" s="78"/>
      <c r="P42" s="78"/>
      <c r="Q42" s="278"/>
      <c r="R42" s="62"/>
      <c r="S42" s="62"/>
      <c r="T42" s="92" t="str">
        <f t="shared" si="6"/>
        <v>&lt;=300</v>
      </c>
    </row>
    <row r="43" spans="2:20">
      <c r="B43" s="64">
        <v>30</v>
      </c>
      <c r="C43" s="397">
        <f t="shared" si="0"/>
        <v>0</v>
      </c>
      <c r="D43" s="398">
        <f t="shared" si="1"/>
        <v>0</v>
      </c>
      <c r="E43" s="398">
        <f t="shared" si="2"/>
        <v>0</v>
      </c>
      <c r="F43" s="398">
        <f t="shared" si="3"/>
        <v>0</v>
      </c>
      <c r="G43" s="62"/>
      <c r="H43" s="88">
        <f t="shared" si="8"/>
        <v>312</v>
      </c>
      <c r="I43" s="80">
        <f t="shared" si="7"/>
        <v>1930</v>
      </c>
      <c r="J43" s="89">
        <f>SUMIF($B$14:$B$733,T43,$D$14:$D$733)-SUM($J$18:J42)</f>
        <v>0</v>
      </c>
      <c r="K43" s="96">
        <f>SUMIF($B$14:$B$733,T43,$E$14:$E$733)-SUM($K$18:K42)</f>
        <v>0</v>
      </c>
      <c r="L43" s="90">
        <f t="shared" si="4"/>
        <v>0</v>
      </c>
      <c r="M43" s="90">
        <f t="shared" si="5"/>
        <v>0</v>
      </c>
      <c r="N43" s="62"/>
      <c r="O43" s="78"/>
      <c r="P43" s="78"/>
      <c r="Q43" s="278"/>
      <c r="R43" s="62"/>
      <c r="S43" s="62"/>
      <c r="T43" s="92" t="str">
        <f t="shared" si="6"/>
        <v>&lt;=312</v>
      </c>
    </row>
    <row r="44" spans="2:20">
      <c r="B44" s="64">
        <v>31</v>
      </c>
      <c r="C44" s="397">
        <f t="shared" si="0"/>
        <v>0</v>
      </c>
      <c r="D44" s="398">
        <f t="shared" si="1"/>
        <v>0</v>
      </c>
      <c r="E44" s="398">
        <f t="shared" si="2"/>
        <v>0</v>
      </c>
      <c r="F44" s="398">
        <f t="shared" si="3"/>
        <v>0</v>
      </c>
      <c r="G44" s="62"/>
      <c r="H44" s="88">
        <f t="shared" si="8"/>
        <v>324</v>
      </c>
      <c r="I44" s="80">
        <f t="shared" si="7"/>
        <v>1931</v>
      </c>
      <c r="J44" s="89">
        <f>SUMIF($B$14:$B$733,T44,$D$14:$D$733)-SUM($J$18:J43)</f>
        <v>0</v>
      </c>
      <c r="K44" s="96">
        <f>SUMIF($B$14:$B$733,T44,$E$14:$E$733)-SUM($K$18:K43)</f>
        <v>0</v>
      </c>
      <c r="L44" s="90">
        <f t="shared" si="4"/>
        <v>0</v>
      </c>
      <c r="M44" s="90">
        <f t="shared" si="5"/>
        <v>0</v>
      </c>
      <c r="N44" s="62"/>
      <c r="O44" s="78"/>
      <c r="P44" s="78"/>
      <c r="Q44" s="278"/>
      <c r="R44" s="62"/>
      <c r="S44" s="62"/>
      <c r="T44" s="92" t="str">
        <f t="shared" si="6"/>
        <v>&lt;=324</v>
      </c>
    </row>
    <row r="45" spans="2:20">
      <c r="B45" s="64">
        <v>32</v>
      </c>
      <c r="C45" s="397">
        <f t="shared" si="0"/>
        <v>0</v>
      </c>
      <c r="D45" s="398">
        <f t="shared" si="1"/>
        <v>0</v>
      </c>
      <c r="E45" s="398">
        <f t="shared" si="2"/>
        <v>0</v>
      </c>
      <c r="F45" s="398">
        <f t="shared" si="3"/>
        <v>0</v>
      </c>
      <c r="G45" s="62"/>
      <c r="H45" s="88">
        <f t="shared" si="8"/>
        <v>336</v>
      </c>
      <c r="I45" s="80">
        <f t="shared" si="7"/>
        <v>1932</v>
      </c>
      <c r="J45" s="89">
        <f>SUMIF($B$14:$B$733,T45,$D$14:$D$733)-SUM($J$18:J44)</f>
        <v>0</v>
      </c>
      <c r="K45" s="96">
        <f>SUMIF($B$14:$B$733,T45,$E$14:$E$733)-SUM($K$18:K44)</f>
        <v>0</v>
      </c>
      <c r="L45" s="90">
        <f t="shared" si="4"/>
        <v>0</v>
      </c>
      <c r="M45" s="90">
        <f t="shared" si="5"/>
        <v>0</v>
      </c>
      <c r="N45" s="62"/>
      <c r="O45" s="78"/>
      <c r="P45" s="78"/>
      <c r="Q45" s="278"/>
      <c r="R45" s="62"/>
      <c r="S45" s="62"/>
      <c r="T45" s="92" t="str">
        <f t="shared" si="6"/>
        <v>&lt;=336</v>
      </c>
    </row>
    <row r="46" spans="2:20">
      <c r="B46" s="64">
        <v>33</v>
      </c>
      <c r="C46" s="397">
        <f t="shared" si="0"/>
        <v>0</v>
      </c>
      <c r="D46" s="398">
        <f t="shared" si="1"/>
        <v>0</v>
      </c>
      <c r="E46" s="398">
        <f t="shared" si="2"/>
        <v>0</v>
      </c>
      <c r="F46" s="398">
        <f t="shared" si="3"/>
        <v>0</v>
      </c>
      <c r="G46" s="62"/>
      <c r="H46" s="88">
        <f t="shared" si="8"/>
        <v>348</v>
      </c>
      <c r="I46" s="80">
        <f t="shared" si="7"/>
        <v>1933</v>
      </c>
      <c r="J46" s="89">
        <f>SUMIF($B$14:$B$733,T46,$D$14:$D$733)-SUM($J$18:J45)</f>
        <v>0</v>
      </c>
      <c r="K46" s="96">
        <f>SUMIF($B$14:$B$733,T46,$E$14:$E$733)-SUM($K$18:K45)</f>
        <v>0</v>
      </c>
      <c r="L46" s="90">
        <f t="shared" si="4"/>
        <v>0</v>
      </c>
      <c r="M46" s="90">
        <f t="shared" si="5"/>
        <v>0</v>
      </c>
      <c r="N46" s="62"/>
      <c r="O46" s="78"/>
      <c r="P46" s="78"/>
      <c r="Q46" s="278"/>
      <c r="R46" s="62"/>
      <c r="S46" s="62"/>
      <c r="T46" s="92" t="str">
        <f t="shared" si="6"/>
        <v>&lt;=348</v>
      </c>
    </row>
    <row r="47" spans="2:20">
      <c r="B47" s="64">
        <v>34</v>
      </c>
      <c r="C47" s="397">
        <f t="shared" ref="C47:C78" si="9">IF(F46&gt;$C$7,$C$7,F46+D47)</f>
        <v>0</v>
      </c>
      <c r="D47" s="398">
        <f t="shared" ref="D47:D79" si="10">+$C$5*F46/12</f>
        <v>0</v>
      </c>
      <c r="E47" s="398">
        <f t="shared" si="2"/>
        <v>0</v>
      </c>
      <c r="F47" s="398">
        <f t="shared" si="3"/>
        <v>0</v>
      </c>
      <c r="G47" s="62"/>
      <c r="H47" s="88">
        <f t="shared" si="8"/>
        <v>360</v>
      </c>
      <c r="I47" s="80">
        <f t="shared" si="7"/>
        <v>1934</v>
      </c>
      <c r="J47" s="89">
        <f>SUMIF($B$14:$B$733,T47,$D$14:$D$733)-SUM($J$18:J46)</f>
        <v>0</v>
      </c>
      <c r="K47" s="96">
        <f>SUMIF($B$14:$B$733,T47,$E$14:$E$733)-SUM($K$18:K46)</f>
        <v>0</v>
      </c>
      <c r="L47" s="90">
        <f t="shared" si="4"/>
        <v>0</v>
      </c>
      <c r="M47" s="90">
        <f t="shared" si="5"/>
        <v>0</v>
      </c>
      <c r="N47" s="62"/>
      <c r="O47" s="78"/>
      <c r="P47" s="78"/>
      <c r="Q47" s="278"/>
      <c r="R47" s="62"/>
      <c r="S47" s="62"/>
      <c r="T47" s="92" t="str">
        <f t="shared" si="6"/>
        <v>&lt;=360</v>
      </c>
    </row>
    <row r="48" spans="2:20">
      <c r="B48" s="64">
        <v>35</v>
      </c>
      <c r="C48" s="397">
        <f t="shared" si="9"/>
        <v>0</v>
      </c>
      <c r="D48" s="398">
        <f t="shared" si="10"/>
        <v>0</v>
      </c>
      <c r="E48" s="398">
        <f t="shared" si="2"/>
        <v>0</v>
      </c>
      <c r="F48" s="398">
        <f t="shared" si="3"/>
        <v>0</v>
      </c>
      <c r="G48" s="62"/>
      <c r="H48" s="88">
        <f t="shared" si="8"/>
        <v>372</v>
      </c>
      <c r="I48" s="80">
        <f t="shared" si="7"/>
        <v>1935</v>
      </c>
      <c r="J48" s="89">
        <f>SUMIF($B$14:$B$733,T48,$D$14:$D$733)-SUM($J$18:J47)</f>
        <v>0</v>
      </c>
      <c r="K48" s="96">
        <f>SUMIF($B$14:$B$733,T48,$E$14:$E$733)-SUM($K$18:K47)</f>
        <v>0</v>
      </c>
      <c r="L48" s="90">
        <f t="shared" si="4"/>
        <v>0</v>
      </c>
      <c r="M48" s="90">
        <f t="shared" si="5"/>
        <v>0</v>
      </c>
      <c r="N48" s="62"/>
      <c r="O48" s="78"/>
      <c r="P48" s="78"/>
      <c r="Q48" s="278"/>
      <c r="R48" s="62"/>
      <c r="S48" s="62"/>
      <c r="T48" s="92" t="str">
        <f t="shared" si="6"/>
        <v>&lt;=372</v>
      </c>
    </row>
    <row r="49" spans="2:20">
      <c r="B49" s="64">
        <v>36</v>
      </c>
      <c r="C49" s="397">
        <f t="shared" si="9"/>
        <v>0</v>
      </c>
      <c r="D49" s="398">
        <f t="shared" si="10"/>
        <v>0</v>
      </c>
      <c r="E49" s="398">
        <f t="shared" si="2"/>
        <v>0</v>
      </c>
      <c r="F49" s="398">
        <f t="shared" si="3"/>
        <v>0</v>
      </c>
      <c r="G49" s="62"/>
      <c r="H49" s="88">
        <f t="shared" si="8"/>
        <v>384</v>
      </c>
      <c r="I49" s="80">
        <f t="shared" si="7"/>
        <v>1936</v>
      </c>
      <c r="J49" s="89">
        <f>SUMIF($B$14:$B$733,T49,$D$14:$D$733)-SUM($J$18:J48)</f>
        <v>0</v>
      </c>
      <c r="K49" s="96">
        <f>SUMIF($B$14:$B$733,T49,$E$14:$E$733)-SUM($K$18:K48)</f>
        <v>0</v>
      </c>
      <c r="L49" s="90">
        <f t="shared" si="4"/>
        <v>0</v>
      </c>
      <c r="M49" s="90">
        <f t="shared" si="5"/>
        <v>0</v>
      </c>
      <c r="N49" s="62"/>
      <c r="O49" s="78"/>
      <c r="P49" s="78"/>
      <c r="Q49" s="278"/>
      <c r="R49" s="62"/>
      <c r="S49" s="62"/>
      <c r="T49" s="92" t="str">
        <f t="shared" si="6"/>
        <v>&lt;=384</v>
      </c>
    </row>
    <row r="50" spans="2:20">
      <c r="B50" s="64">
        <v>37</v>
      </c>
      <c r="C50" s="397">
        <f t="shared" si="9"/>
        <v>0</v>
      </c>
      <c r="D50" s="398">
        <f t="shared" si="10"/>
        <v>0</v>
      </c>
      <c r="E50" s="398">
        <f t="shared" si="2"/>
        <v>0</v>
      </c>
      <c r="F50" s="398">
        <f t="shared" si="3"/>
        <v>0</v>
      </c>
      <c r="G50" s="62"/>
      <c r="H50" s="88">
        <f t="shared" si="8"/>
        <v>396</v>
      </c>
      <c r="I50" s="80">
        <f t="shared" si="7"/>
        <v>1937</v>
      </c>
      <c r="J50" s="89">
        <f>SUMIF($B$14:$B$733,T50,$D$14:$D$733)-SUM($J$18:J49)</f>
        <v>0</v>
      </c>
      <c r="K50" s="96">
        <f>SUMIF($B$14:$B$733,T50,$E$14:$E$733)-SUM($K$18:K49)</f>
        <v>0</v>
      </c>
      <c r="L50" s="90">
        <f t="shared" ref="L50:L77" si="11">+L49-K50</f>
        <v>0</v>
      </c>
      <c r="M50" s="90">
        <f t="shared" si="5"/>
        <v>0</v>
      </c>
      <c r="N50" s="62"/>
      <c r="O50" s="78"/>
      <c r="P50" s="78"/>
      <c r="Q50" s="278"/>
      <c r="R50" s="62"/>
      <c r="S50" s="62"/>
      <c r="T50" s="92" t="str">
        <f t="shared" ref="T50:T77" si="12">$T$16&amp;$W$14&amp;H50</f>
        <v>&lt;=396</v>
      </c>
    </row>
    <row r="51" spans="2:20">
      <c r="B51" s="64">
        <v>38</v>
      </c>
      <c r="C51" s="397">
        <f t="shared" si="9"/>
        <v>0</v>
      </c>
      <c r="D51" s="398">
        <f t="shared" si="10"/>
        <v>0</v>
      </c>
      <c r="E51" s="398">
        <f t="shared" si="2"/>
        <v>0</v>
      </c>
      <c r="F51" s="398">
        <f t="shared" si="3"/>
        <v>0</v>
      </c>
      <c r="G51" s="62"/>
      <c r="H51" s="88">
        <f t="shared" si="8"/>
        <v>408</v>
      </c>
      <c r="I51" s="80">
        <f t="shared" si="7"/>
        <v>1938</v>
      </c>
      <c r="J51" s="89">
        <f>SUMIF($B$14:$B$733,T51,$D$14:$D$733)-SUM($J$18:J50)</f>
        <v>0</v>
      </c>
      <c r="K51" s="96">
        <f>SUMIF($B$14:$B$733,T51,$E$14:$E$733)-SUM($K$18:K50)</f>
        <v>0</v>
      </c>
      <c r="L51" s="90">
        <f t="shared" si="11"/>
        <v>0</v>
      </c>
      <c r="M51" s="90">
        <f t="shared" si="5"/>
        <v>0</v>
      </c>
      <c r="N51" s="62"/>
      <c r="O51" s="78"/>
      <c r="P51" s="78"/>
      <c r="Q51" s="278"/>
      <c r="R51" s="62"/>
      <c r="S51" s="62"/>
      <c r="T51" s="92" t="str">
        <f t="shared" si="12"/>
        <v>&lt;=408</v>
      </c>
    </row>
    <row r="52" spans="2:20">
      <c r="B52" s="64">
        <v>39</v>
      </c>
      <c r="C52" s="397">
        <f t="shared" si="9"/>
        <v>0</v>
      </c>
      <c r="D52" s="398">
        <f t="shared" si="10"/>
        <v>0</v>
      </c>
      <c r="E52" s="398">
        <f t="shared" si="2"/>
        <v>0</v>
      </c>
      <c r="F52" s="398">
        <f t="shared" si="3"/>
        <v>0</v>
      </c>
      <c r="G52" s="62"/>
      <c r="H52" s="88">
        <f t="shared" si="8"/>
        <v>420</v>
      </c>
      <c r="I52" s="80">
        <f t="shared" si="7"/>
        <v>1939</v>
      </c>
      <c r="J52" s="89">
        <f>SUMIF($B$14:$B$733,T52,$D$14:$D$733)-SUM($J$18:J51)</f>
        <v>0</v>
      </c>
      <c r="K52" s="96">
        <f>SUMIF($B$14:$B$733,T52,$E$14:$E$733)-SUM($K$18:K51)</f>
        <v>0</v>
      </c>
      <c r="L52" s="90">
        <f t="shared" si="11"/>
        <v>0</v>
      </c>
      <c r="M52" s="90">
        <f t="shared" si="5"/>
        <v>0</v>
      </c>
      <c r="N52" s="62"/>
      <c r="O52" s="78"/>
      <c r="P52" s="78"/>
      <c r="Q52" s="278"/>
      <c r="R52" s="62"/>
      <c r="S52" s="62"/>
      <c r="T52" s="92" t="str">
        <f t="shared" si="12"/>
        <v>&lt;=420</v>
      </c>
    </row>
    <row r="53" spans="2:20">
      <c r="B53" s="64">
        <v>40</v>
      </c>
      <c r="C53" s="397">
        <f t="shared" si="9"/>
        <v>0</v>
      </c>
      <c r="D53" s="398">
        <f t="shared" si="10"/>
        <v>0</v>
      </c>
      <c r="E53" s="398">
        <f t="shared" si="2"/>
        <v>0</v>
      </c>
      <c r="F53" s="398">
        <f t="shared" si="3"/>
        <v>0</v>
      </c>
      <c r="G53" s="62"/>
      <c r="H53" s="88">
        <f t="shared" si="8"/>
        <v>432</v>
      </c>
      <c r="I53" s="80">
        <f t="shared" si="7"/>
        <v>1940</v>
      </c>
      <c r="J53" s="89">
        <f>SUMIF($B$14:$B$733,T53,$D$14:$D$733)-SUM($J$18:J52)</f>
        <v>0</v>
      </c>
      <c r="K53" s="96">
        <f>SUMIF($B$14:$B$733,T53,$E$14:$E$733)-SUM($K$18:K52)</f>
        <v>0</v>
      </c>
      <c r="L53" s="90">
        <f t="shared" si="11"/>
        <v>0</v>
      </c>
      <c r="M53" s="90">
        <f t="shared" si="5"/>
        <v>0</v>
      </c>
      <c r="N53" s="62"/>
      <c r="O53" s="78"/>
      <c r="P53" s="78"/>
      <c r="Q53" s="278"/>
      <c r="R53" s="62"/>
      <c r="S53" s="62"/>
      <c r="T53" s="92" t="str">
        <f t="shared" si="12"/>
        <v>&lt;=432</v>
      </c>
    </row>
    <row r="54" spans="2:20">
      <c r="B54" s="64">
        <v>41</v>
      </c>
      <c r="C54" s="397">
        <f t="shared" si="9"/>
        <v>0</v>
      </c>
      <c r="D54" s="398">
        <f t="shared" si="10"/>
        <v>0</v>
      </c>
      <c r="E54" s="398">
        <f t="shared" si="2"/>
        <v>0</v>
      </c>
      <c r="F54" s="398">
        <f t="shared" si="3"/>
        <v>0</v>
      </c>
      <c r="G54" s="62"/>
      <c r="H54" s="88">
        <f t="shared" si="8"/>
        <v>444</v>
      </c>
      <c r="I54" s="80">
        <f t="shared" si="7"/>
        <v>1941</v>
      </c>
      <c r="J54" s="89">
        <f>SUMIF($B$14:$B$733,T54,$D$14:$D$733)-SUM($J$18:J53)</f>
        <v>0</v>
      </c>
      <c r="K54" s="96">
        <f>SUMIF($B$14:$B$733,T54,$E$14:$E$733)-SUM($K$18:K53)</f>
        <v>0</v>
      </c>
      <c r="L54" s="90">
        <f t="shared" si="11"/>
        <v>0</v>
      </c>
      <c r="M54" s="90">
        <f t="shared" si="5"/>
        <v>0</v>
      </c>
      <c r="N54" s="62"/>
      <c r="O54" s="78"/>
      <c r="P54" s="78"/>
      <c r="Q54" s="278"/>
      <c r="R54" s="62"/>
      <c r="S54" s="62"/>
      <c r="T54" s="92" t="str">
        <f t="shared" si="12"/>
        <v>&lt;=444</v>
      </c>
    </row>
    <row r="55" spans="2:20">
      <c r="B55" s="64">
        <v>42</v>
      </c>
      <c r="C55" s="397">
        <f t="shared" si="9"/>
        <v>0</v>
      </c>
      <c r="D55" s="398">
        <f t="shared" si="10"/>
        <v>0</v>
      </c>
      <c r="E55" s="398">
        <f t="shared" si="2"/>
        <v>0</v>
      </c>
      <c r="F55" s="398">
        <f t="shared" si="3"/>
        <v>0</v>
      </c>
      <c r="G55" s="62"/>
      <c r="H55" s="88">
        <f t="shared" si="8"/>
        <v>456</v>
      </c>
      <c r="I55" s="80">
        <f t="shared" si="7"/>
        <v>1942</v>
      </c>
      <c r="J55" s="89">
        <f>SUMIF($B$14:$B$733,T55,$D$14:$D$733)-SUM($J$18:J54)</f>
        <v>0</v>
      </c>
      <c r="K55" s="96">
        <f>SUMIF($B$14:$B$733,T55,$E$14:$E$733)-SUM($K$18:K54)</f>
        <v>0</v>
      </c>
      <c r="L55" s="90">
        <f t="shared" si="11"/>
        <v>0</v>
      </c>
      <c r="M55" s="90">
        <f t="shared" si="5"/>
        <v>0</v>
      </c>
      <c r="N55" s="62"/>
      <c r="O55" s="78"/>
      <c r="P55" s="78"/>
      <c r="Q55" s="278"/>
      <c r="R55" s="62"/>
      <c r="S55" s="62"/>
      <c r="T55" s="92" t="str">
        <f t="shared" si="12"/>
        <v>&lt;=456</v>
      </c>
    </row>
    <row r="56" spans="2:20">
      <c r="B56" s="64">
        <v>43</v>
      </c>
      <c r="C56" s="397">
        <f t="shared" si="9"/>
        <v>0</v>
      </c>
      <c r="D56" s="398">
        <f t="shared" si="10"/>
        <v>0</v>
      </c>
      <c r="E56" s="398">
        <f t="shared" si="2"/>
        <v>0</v>
      </c>
      <c r="F56" s="398">
        <f t="shared" si="3"/>
        <v>0</v>
      </c>
      <c r="G56" s="62"/>
      <c r="H56" s="88">
        <f t="shared" si="8"/>
        <v>468</v>
      </c>
      <c r="I56" s="80">
        <f t="shared" si="7"/>
        <v>1943</v>
      </c>
      <c r="J56" s="89">
        <f>SUMIF($B$14:$B$733,T56,$D$14:$D$733)-SUM($J$18:J55)</f>
        <v>0</v>
      </c>
      <c r="K56" s="96">
        <f>SUMIF($B$14:$B$733,T56,$E$14:$E$733)-SUM($K$18:K55)</f>
        <v>0</v>
      </c>
      <c r="L56" s="90">
        <f t="shared" si="11"/>
        <v>0</v>
      </c>
      <c r="M56" s="90">
        <f t="shared" si="5"/>
        <v>0</v>
      </c>
      <c r="N56" s="62"/>
      <c r="O56" s="78"/>
      <c r="P56" s="78"/>
      <c r="Q56" s="278"/>
      <c r="R56" s="62"/>
      <c r="S56" s="62"/>
      <c r="T56" s="92" t="str">
        <f t="shared" si="12"/>
        <v>&lt;=468</v>
      </c>
    </row>
    <row r="57" spans="2:20">
      <c r="B57" s="64">
        <v>44</v>
      </c>
      <c r="C57" s="397">
        <f t="shared" si="9"/>
        <v>0</v>
      </c>
      <c r="D57" s="398">
        <f t="shared" si="10"/>
        <v>0</v>
      </c>
      <c r="E57" s="398">
        <f t="shared" si="2"/>
        <v>0</v>
      </c>
      <c r="F57" s="398">
        <f t="shared" si="3"/>
        <v>0</v>
      </c>
      <c r="G57" s="62"/>
      <c r="H57" s="88">
        <f t="shared" si="8"/>
        <v>480</v>
      </c>
      <c r="I57" s="80">
        <f t="shared" si="7"/>
        <v>1944</v>
      </c>
      <c r="J57" s="89">
        <f>SUMIF($B$14:$B$733,T57,$D$14:$D$733)-SUM($J$18:J56)</f>
        <v>0</v>
      </c>
      <c r="K57" s="96">
        <f>SUMIF($B$14:$B$733,T57,$E$14:$E$733)-SUM($K$18:K56)</f>
        <v>0</v>
      </c>
      <c r="L57" s="90">
        <f t="shared" si="11"/>
        <v>0</v>
      </c>
      <c r="M57" s="90">
        <f t="shared" si="5"/>
        <v>0</v>
      </c>
      <c r="N57" s="62"/>
      <c r="O57" s="78"/>
      <c r="P57" s="78"/>
      <c r="Q57" s="278"/>
      <c r="R57" s="62"/>
      <c r="S57" s="62"/>
      <c r="T57" s="92" t="str">
        <f t="shared" si="12"/>
        <v>&lt;=480</v>
      </c>
    </row>
    <row r="58" spans="2:20">
      <c r="B58" s="64">
        <v>45</v>
      </c>
      <c r="C58" s="397">
        <f t="shared" si="9"/>
        <v>0</v>
      </c>
      <c r="D58" s="398">
        <f t="shared" si="10"/>
        <v>0</v>
      </c>
      <c r="E58" s="398">
        <f t="shared" si="2"/>
        <v>0</v>
      </c>
      <c r="F58" s="398">
        <f t="shared" si="3"/>
        <v>0</v>
      </c>
      <c r="G58" s="62"/>
      <c r="H58" s="88">
        <f t="shared" si="8"/>
        <v>492</v>
      </c>
      <c r="I58" s="80">
        <f t="shared" si="7"/>
        <v>1945</v>
      </c>
      <c r="J58" s="89">
        <f>SUMIF($B$14:$B$733,T58,$D$14:$D$733)-SUM($J$18:J57)</f>
        <v>0</v>
      </c>
      <c r="K58" s="96">
        <f>SUMIF($B$14:$B$733,T58,$E$14:$E$733)-SUM($K$18:K57)</f>
        <v>0</v>
      </c>
      <c r="L58" s="90">
        <f t="shared" si="11"/>
        <v>0</v>
      </c>
      <c r="M58" s="90">
        <f t="shared" si="5"/>
        <v>0</v>
      </c>
      <c r="N58" s="62"/>
      <c r="O58" s="78"/>
      <c r="P58" s="78"/>
      <c r="Q58" s="278"/>
      <c r="R58" s="62"/>
      <c r="S58" s="62"/>
      <c r="T58" s="92" t="str">
        <f t="shared" si="12"/>
        <v>&lt;=492</v>
      </c>
    </row>
    <row r="59" spans="2:20">
      <c r="B59" s="64">
        <v>46</v>
      </c>
      <c r="C59" s="397">
        <f t="shared" si="9"/>
        <v>0</v>
      </c>
      <c r="D59" s="398">
        <f t="shared" si="10"/>
        <v>0</v>
      </c>
      <c r="E59" s="398">
        <f t="shared" si="2"/>
        <v>0</v>
      </c>
      <c r="F59" s="398">
        <f t="shared" si="3"/>
        <v>0</v>
      </c>
      <c r="G59" s="62"/>
      <c r="H59" s="88">
        <f t="shared" si="8"/>
        <v>504</v>
      </c>
      <c r="I59" s="80">
        <f t="shared" si="7"/>
        <v>1946</v>
      </c>
      <c r="J59" s="89">
        <f>SUMIF($B$14:$B$733,T59,$D$14:$D$733)-SUM($J$18:J58)</f>
        <v>0</v>
      </c>
      <c r="K59" s="96">
        <f>SUMIF($B$14:$B$733,T59,$E$14:$E$733)-SUM($K$18:K58)</f>
        <v>0</v>
      </c>
      <c r="L59" s="90">
        <f t="shared" si="11"/>
        <v>0</v>
      </c>
      <c r="M59" s="90">
        <f t="shared" si="5"/>
        <v>0</v>
      </c>
      <c r="N59" s="62"/>
      <c r="O59" s="78"/>
      <c r="P59" s="78"/>
      <c r="Q59" s="278"/>
      <c r="R59" s="62"/>
      <c r="S59" s="62"/>
      <c r="T59" s="92" t="str">
        <f t="shared" si="12"/>
        <v>&lt;=504</v>
      </c>
    </row>
    <row r="60" spans="2:20">
      <c r="B60" s="64">
        <v>47</v>
      </c>
      <c r="C60" s="397">
        <f t="shared" si="9"/>
        <v>0</v>
      </c>
      <c r="D60" s="398">
        <f t="shared" si="10"/>
        <v>0</v>
      </c>
      <c r="E60" s="398">
        <f t="shared" si="2"/>
        <v>0</v>
      </c>
      <c r="F60" s="398">
        <f t="shared" si="3"/>
        <v>0</v>
      </c>
      <c r="G60" s="62"/>
      <c r="H60" s="88">
        <f t="shared" si="8"/>
        <v>516</v>
      </c>
      <c r="I60" s="80">
        <f t="shared" si="7"/>
        <v>1947</v>
      </c>
      <c r="J60" s="89">
        <f>SUMIF($B$14:$B$733,T60,$D$14:$D$733)-SUM($J$18:J59)</f>
        <v>0</v>
      </c>
      <c r="K60" s="96">
        <f>SUMIF($B$14:$B$733,T60,$E$14:$E$733)-SUM($K$18:K59)</f>
        <v>0</v>
      </c>
      <c r="L60" s="90">
        <f t="shared" si="11"/>
        <v>0</v>
      </c>
      <c r="M60" s="90">
        <f t="shared" si="5"/>
        <v>0</v>
      </c>
      <c r="N60" s="62"/>
      <c r="O60" s="78"/>
      <c r="P60" s="78"/>
      <c r="Q60" s="278"/>
      <c r="R60" s="62"/>
      <c r="S60" s="62"/>
      <c r="T60" s="92" t="str">
        <f t="shared" si="12"/>
        <v>&lt;=516</v>
      </c>
    </row>
    <row r="61" spans="2:20">
      <c r="B61" s="64">
        <v>48</v>
      </c>
      <c r="C61" s="397">
        <f t="shared" si="9"/>
        <v>0</v>
      </c>
      <c r="D61" s="398">
        <f t="shared" si="10"/>
        <v>0</v>
      </c>
      <c r="E61" s="398">
        <f t="shared" si="2"/>
        <v>0</v>
      </c>
      <c r="F61" s="398">
        <f t="shared" si="3"/>
        <v>0</v>
      </c>
      <c r="G61" s="62"/>
      <c r="H61" s="88">
        <f t="shared" si="8"/>
        <v>528</v>
      </c>
      <c r="I61" s="80">
        <f t="shared" si="7"/>
        <v>1948</v>
      </c>
      <c r="J61" s="89">
        <f>SUMIF($B$14:$B$733,T61,$D$14:$D$733)-SUM($J$18:J60)</f>
        <v>0</v>
      </c>
      <c r="K61" s="96">
        <f>SUMIF($B$14:$B$733,T61,$E$14:$E$733)-SUM($K$18:K60)</f>
        <v>0</v>
      </c>
      <c r="L61" s="90">
        <f t="shared" si="11"/>
        <v>0</v>
      </c>
      <c r="M61" s="90">
        <f t="shared" si="5"/>
        <v>0</v>
      </c>
      <c r="N61" s="62"/>
      <c r="O61" s="78"/>
      <c r="P61" s="78"/>
      <c r="Q61" s="278"/>
      <c r="R61" s="62"/>
      <c r="S61" s="62"/>
      <c r="T61" s="92" t="str">
        <f t="shared" si="12"/>
        <v>&lt;=528</v>
      </c>
    </row>
    <row r="62" spans="2:20">
      <c r="B62" s="64">
        <v>49</v>
      </c>
      <c r="C62" s="397">
        <f t="shared" si="9"/>
        <v>0</v>
      </c>
      <c r="D62" s="398">
        <f t="shared" si="10"/>
        <v>0</v>
      </c>
      <c r="E62" s="398">
        <f t="shared" si="2"/>
        <v>0</v>
      </c>
      <c r="F62" s="398">
        <f t="shared" si="3"/>
        <v>0</v>
      </c>
      <c r="G62" s="62"/>
      <c r="H62" s="88">
        <f t="shared" si="8"/>
        <v>540</v>
      </c>
      <c r="I62" s="80">
        <f t="shared" si="7"/>
        <v>1949</v>
      </c>
      <c r="J62" s="89">
        <f>SUMIF($B$14:$B$733,T62,$D$14:$D$733)-SUM($J$18:J61)</f>
        <v>0</v>
      </c>
      <c r="K62" s="96">
        <f>SUMIF($B$14:$B$733,T62,$E$14:$E$733)-SUM($K$18:K61)</f>
        <v>0</v>
      </c>
      <c r="L62" s="90">
        <f t="shared" si="11"/>
        <v>0</v>
      </c>
      <c r="M62" s="90">
        <f t="shared" si="5"/>
        <v>0</v>
      </c>
      <c r="N62" s="62"/>
      <c r="O62" s="78"/>
      <c r="P62" s="78"/>
      <c r="Q62" s="278"/>
      <c r="R62" s="62"/>
      <c r="S62" s="62"/>
      <c r="T62" s="92" t="str">
        <f t="shared" si="12"/>
        <v>&lt;=540</v>
      </c>
    </row>
    <row r="63" spans="2:20">
      <c r="B63" s="64">
        <v>50</v>
      </c>
      <c r="C63" s="397">
        <f t="shared" si="9"/>
        <v>0</v>
      </c>
      <c r="D63" s="398">
        <f t="shared" si="10"/>
        <v>0</v>
      </c>
      <c r="E63" s="398">
        <f t="shared" si="2"/>
        <v>0</v>
      </c>
      <c r="F63" s="398">
        <f t="shared" si="3"/>
        <v>0</v>
      </c>
      <c r="G63" s="62"/>
      <c r="H63" s="88">
        <f t="shared" si="8"/>
        <v>552</v>
      </c>
      <c r="I63" s="80">
        <f t="shared" si="7"/>
        <v>1950</v>
      </c>
      <c r="J63" s="89">
        <f>SUMIF($B$14:$B$733,T63,$D$14:$D$733)-SUM($J$18:J62)</f>
        <v>0</v>
      </c>
      <c r="K63" s="96">
        <f>SUMIF($B$14:$B$733,T63,$E$14:$E$733)-SUM($K$18:K62)</f>
        <v>0</v>
      </c>
      <c r="L63" s="90">
        <f t="shared" si="11"/>
        <v>0</v>
      </c>
      <c r="M63" s="90">
        <f t="shared" si="5"/>
        <v>0</v>
      </c>
      <c r="N63" s="62"/>
      <c r="O63" s="78"/>
      <c r="P63" s="78"/>
      <c r="Q63" s="278"/>
      <c r="R63" s="62"/>
      <c r="S63" s="62"/>
      <c r="T63" s="92" t="str">
        <f t="shared" si="12"/>
        <v>&lt;=552</v>
      </c>
    </row>
    <row r="64" spans="2:20">
      <c r="B64" s="64">
        <v>51</v>
      </c>
      <c r="C64" s="397">
        <f t="shared" si="9"/>
        <v>0</v>
      </c>
      <c r="D64" s="398">
        <f t="shared" si="10"/>
        <v>0</v>
      </c>
      <c r="E64" s="398">
        <f t="shared" si="2"/>
        <v>0</v>
      </c>
      <c r="F64" s="398">
        <f t="shared" si="3"/>
        <v>0</v>
      </c>
      <c r="G64" s="62"/>
      <c r="H64" s="88">
        <f t="shared" si="8"/>
        <v>564</v>
      </c>
      <c r="I64" s="80">
        <f t="shared" si="7"/>
        <v>1951</v>
      </c>
      <c r="J64" s="89">
        <f>SUMIF($B$14:$B$733,T64,$D$14:$D$733)-SUM($J$18:J63)</f>
        <v>0</v>
      </c>
      <c r="K64" s="96">
        <f>SUMIF($B$14:$B$733,T64,$E$14:$E$733)-SUM($K$18:K63)</f>
        <v>0</v>
      </c>
      <c r="L64" s="90">
        <f t="shared" si="11"/>
        <v>0</v>
      </c>
      <c r="M64" s="90">
        <f t="shared" si="5"/>
        <v>0</v>
      </c>
      <c r="N64" s="62"/>
      <c r="O64" s="78"/>
      <c r="P64" s="78"/>
      <c r="Q64" s="278"/>
      <c r="R64" s="62"/>
      <c r="S64" s="62"/>
      <c r="T64" s="92" t="str">
        <f t="shared" si="12"/>
        <v>&lt;=564</v>
      </c>
    </row>
    <row r="65" spans="2:21">
      <c r="B65" s="64">
        <v>52</v>
      </c>
      <c r="C65" s="397">
        <f t="shared" si="9"/>
        <v>0</v>
      </c>
      <c r="D65" s="398">
        <f t="shared" si="10"/>
        <v>0</v>
      </c>
      <c r="E65" s="398">
        <f t="shared" si="2"/>
        <v>0</v>
      </c>
      <c r="F65" s="398">
        <f t="shared" si="3"/>
        <v>0</v>
      </c>
      <c r="G65" s="62"/>
      <c r="H65" s="88">
        <f t="shared" si="8"/>
        <v>576</v>
      </c>
      <c r="I65" s="80">
        <f t="shared" si="7"/>
        <v>1952</v>
      </c>
      <c r="J65" s="89">
        <f>SUMIF($B$14:$B$733,T65,$D$14:$D$733)-SUM($J$18:J64)</f>
        <v>0</v>
      </c>
      <c r="K65" s="96">
        <f>SUMIF($B$14:$B$733,T65,$E$14:$E$733)-SUM($K$18:K64)</f>
        <v>0</v>
      </c>
      <c r="L65" s="90">
        <f t="shared" si="11"/>
        <v>0</v>
      </c>
      <c r="M65" s="90">
        <f t="shared" si="5"/>
        <v>0</v>
      </c>
      <c r="N65" s="62"/>
      <c r="O65" s="78"/>
      <c r="P65" s="78"/>
      <c r="Q65" s="278"/>
      <c r="R65" s="62"/>
      <c r="S65" s="62"/>
      <c r="T65" s="92" t="str">
        <f t="shared" si="12"/>
        <v>&lt;=576</v>
      </c>
    </row>
    <row r="66" spans="2:21">
      <c r="B66" s="64">
        <v>53</v>
      </c>
      <c r="C66" s="397">
        <f t="shared" si="9"/>
        <v>0</v>
      </c>
      <c r="D66" s="398">
        <f t="shared" si="10"/>
        <v>0</v>
      </c>
      <c r="E66" s="398">
        <f t="shared" si="2"/>
        <v>0</v>
      </c>
      <c r="F66" s="398">
        <f t="shared" si="3"/>
        <v>0</v>
      </c>
      <c r="G66" s="62"/>
      <c r="H66" s="88">
        <f t="shared" si="8"/>
        <v>588</v>
      </c>
      <c r="I66" s="80">
        <f t="shared" si="7"/>
        <v>1953</v>
      </c>
      <c r="J66" s="89">
        <f>SUMIF($B$14:$B$733,T66,$D$14:$D$733)-SUM($J$18:J65)</f>
        <v>0</v>
      </c>
      <c r="K66" s="96">
        <f>SUMIF($B$14:$B$733,T66,$E$14:$E$733)-SUM($K$18:K65)</f>
        <v>0</v>
      </c>
      <c r="L66" s="90">
        <f t="shared" si="11"/>
        <v>0</v>
      </c>
      <c r="M66" s="90">
        <f t="shared" si="5"/>
        <v>0</v>
      </c>
      <c r="N66" s="62"/>
      <c r="O66" s="78"/>
      <c r="P66" s="78"/>
      <c r="Q66" s="278"/>
      <c r="R66" s="62"/>
      <c r="S66" s="62"/>
      <c r="T66" s="92" t="str">
        <f t="shared" si="12"/>
        <v>&lt;=588</v>
      </c>
    </row>
    <row r="67" spans="2:21">
      <c r="B67" s="64">
        <v>54</v>
      </c>
      <c r="C67" s="397">
        <f t="shared" si="9"/>
        <v>0</v>
      </c>
      <c r="D67" s="398">
        <f t="shared" si="10"/>
        <v>0</v>
      </c>
      <c r="E67" s="398">
        <f t="shared" si="2"/>
        <v>0</v>
      </c>
      <c r="F67" s="398">
        <f t="shared" si="3"/>
        <v>0</v>
      </c>
      <c r="G67" s="62"/>
      <c r="H67" s="88">
        <f t="shared" si="8"/>
        <v>600</v>
      </c>
      <c r="I67" s="80">
        <f t="shared" si="7"/>
        <v>1954</v>
      </c>
      <c r="J67" s="89">
        <f>SUMIF($B$14:$B$733,T67,$D$14:$D$733)-SUM($J$18:J66)</f>
        <v>0</v>
      </c>
      <c r="K67" s="96">
        <f>SUMIF($B$14:$B$733,T67,$E$14:$E$733)-SUM($K$18:K66)</f>
        <v>0</v>
      </c>
      <c r="L67" s="90">
        <f t="shared" si="11"/>
        <v>0</v>
      </c>
      <c r="M67" s="90">
        <f t="shared" si="5"/>
        <v>0</v>
      </c>
      <c r="N67" s="62"/>
      <c r="O67" s="78"/>
      <c r="P67" s="78"/>
      <c r="Q67" s="278"/>
      <c r="R67" s="62"/>
      <c r="S67" s="62"/>
      <c r="T67" s="92" t="str">
        <f t="shared" si="12"/>
        <v>&lt;=600</v>
      </c>
    </row>
    <row r="68" spans="2:21">
      <c r="B68" s="64">
        <v>55</v>
      </c>
      <c r="C68" s="397">
        <f t="shared" si="9"/>
        <v>0</v>
      </c>
      <c r="D68" s="398">
        <f t="shared" si="10"/>
        <v>0</v>
      </c>
      <c r="E68" s="398">
        <f t="shared" si="2"/>
        <v>0</v>
      </c>
      <c r="F68" s="398">
        <f t="shared" si="3"/>
        <v>0</v>
      </c>
      <c r="G68" s="62"/>
      <c r="H68" s="88">
        <f t="shared" si="8"/>
        <v>612</v>
      </c>
      <c r="I68" s="80">
        <f t="shared" si="7"/>
        <v>1955</v>
      </c>
      <c r="J68" s="89">
        <f>SUMIF($B$14:$B$733,T68,$D$14:$D$733)-SUM($J$18:J67)</f>
        <v>0</v>
      </c>
      <c r="K68" s="96">
        <f>SUMIF($B$14:$B$733,T68,$E$14:$E$733)-SUM($K$18:K67)</f>
        <v>0</v>
      </c>
      <c r="L68" s="90">
        <f t="shared" si="11"/>
        <v>0</v>
      </c>
      <c r="M68" s="90">
        <f t="shared" si="5"/>
        <v>0</v>
      </c>
      <c r="N68" s="62"/>
      <c r="O68" s="78"/>
      <c r="P68" s="78"/>
      <c r="Q68" s="278"/>
      <c r="R68" s="62"/>
      <c r="S68" s="62"/>
      <c r="T68" s="92" t="str">
        <f t="shared" si="12"/>
        <v>&lt;=612</v>
      </c>
    </row>
    <row r="69" spans="2:21">
      <c r="B69" s="64">
        <v>56</v>
      </c>
      <c r="C69" s="397">
        <f t="shared" si="9"/>
        <v>0</v>
      </c>
      <c r="D69" s="398">
        <f t="shared" si="10"/>
        <v>0</v>
      </c>
      <c r="E69" s="398">
        <f t="shared" si="2"/>
        <v>0</v>
      </c>
      <c r="F69" s="398">
        <f t="shared" si="3"/>
        <v>0</v>
      </c>
      <c r="G69" s="62"/>
      <c r="H69" s="88">
        <f t="shared" si="8"/>
        <v>624</v>
      </c>
      <c r="I69" s="80">
        <f t="shared" si="7"/>
        <v>1956</v>
      </c>
      <c r="J69" s="89">
        <f>SUMIF($B$14:$B$733,T69,$D$14:$D$733)-SUM($J$18:J68)</f>
        <v>0</v>
      </c>
      <c r="K69" s="96">
        <f>SUMIF($B$14:$B$733,T69,$E$14:$E$733)-SUM($K$18:K68)</f>
        <v>0</v>
      </c>
      <c r="L69" s="90">
        <f t="shared" si="11"/>
        <v>0</v>
      </c>
      <c r="M69" s="90">
        <f t="shared" si="5"/>
        <v>0</v>
      </c>
      <c r="N69" s="62"/>
      <c r="O69" s="78"/>
      <c r="P69" s="78"/>
      <c r="Q69" s="278"/>
      <c r="R69" s="62"/>
      <c r="S69" s="62"/>
      <c r="T69" s="92" t="str">
        <f t="shared" si="12"/>
        <v>&lt;=624</v>
      </c>
    </row>
    <row r="70" spans="2:21">
      <c r="B70" s="64">
        <v>57</v>
      </c>
      <c r="C70" s="397">
        <f t="shared" si="9"/>
        <v>0</v>
      </c>
      <c r="D70" s="398">
        <f t="shared" si="10"/>
        <v>0</v>
      </c>
      <c r="E70" s="398">
        <f t="shared" si="2"/>
        <v>0</v>
      </c>
      <c r="F70" s="398">
        <f t="shared" si="3"/>
        <v>0</v>
      </c>
      <c r="G70" s="62"/>
      <c r="H70" s="88">
        <f t="shared" si="8"/>
        <v>636</v>
      </c>
      <c r="I70" s="80">
        <f t="shared" si="7"/>
        <v>1957</v>
      </c>
      <c r="J70" s="89">
        <f>SUMIF($B$14:$B$733,T70,$D$14:$D$733)-SUM($J$18:J69)</f>
        <v>0</v>
      </c>
      <c r="K70" s="96">
        <f>SUMIF($B$14:$B$733,T70,$E$14:$E$733)-SUM($K$18:K69)</f>
        <v>0</v>
      </c>
      <c r="L70" s="90">
        <f t="shared" si="11"/>
        <v>0</v>
      </c>
      <c r="M70" s="90">
        <f t="shared" si="5"/>
        <v>0</v>
      </c>
      <c r="N70" s="62"/>
      <c r="O70" s="78"/>
      <c r="P70" s="78"/>
      <c r="Q70" s="278"/>
      <c r="R70" s="62"/>
      <c r="S70" s="62"/>
      <c r="T70" s="92" t="str">
        <f t="shared" si="12"/>
        <v>&lt;=636</v>
      </c>
    </row>
    <row r="71" spans="2:21">
      <c r="B71" s="64">
        <v>58</v>
      </c>
      <c r="C71" s="397">
        <f t="shared" si="9"/>
        <v>0</v>
      </c>
      <c r="D71" s="398">
        <f t="shared" si="10"/>
        <v>0</v>
      </c>
      <c r="E71" s="398">
        <f t="shared" si="2"/>
        <v>0</v>
      </c>
      <c r="F71" s="398">
        <f t="shared" si="3"/>
        <v>0</v>
      </c>
      <c r="G71" s="62"/>
      <c r="H71" s="88">
        <f t="shared" si="8"/>
        <v>648</v>
      </c>
      <c r="I71" s="80">
        <f t="shared" si="7"/>
        <v>1958</v>
      </c>
      <c r="J71" s="89">
        <f>SUMIF($B$14:$B$733,T71,$D$14:$D$733)-SUM($J$18:J70)</f>
        <v>0</v>
      </c>
      <c r="K71" s="96">
        <f>SUMIF($B$14:$B$733,T71,$E$14:$E$733)-SUM($K$18:K70)</f>
        <v>0</v>
      </c>
      <c r="L71" s="90">
        <f t="shared" si="11"/>
        <v>0</v>
      </c>
      <c r="M71" s="90">
        <f t="shared" si="5"/>
        <v>0</v>
      </c>
      <c r="N71" s="62"/>
      <c r="O71" s="78"/>
      <c r="P71" s="78"/>
      <c r="Q71" s="278"/>
      <c r="R71" s="62"/>
      <c r="S71" s="62"/>
      <c r="T71" s="92" t="str">
        <f t="shared" si="12"/>
        <v>&lt;=648</v>
      </c>
    </row>
    <row r="72" spans="2:21">
      <c r="B72" s="64">
        <v>59</v>
      </c>
      <c r="C72" s="397">
        <f t="shared" si="9"/>
        <v>0</v>
      </c>
      <c r="D72" s="398">
        <f t="shared" si="10"/>
        <v>0</v>
      </c>
      <c r="E72" s="398">
        <f t="shared" si="2"/>
        <v>0</v>
      </c>
      <c r="F72" s="398">
        <f t="shared" si="3"/>
        <v>0</v>
      </c>
      <c r="G72" s="66"/>
      <c r="H72" s="88">
        <f t="shared" si="8"/>
        <v>660</v>
      </c>
      <c r="I72" s="80">
        <f t="shared" si="7"/>
        <v>1959</v>
      </c>
      <c r="J72" s="89">
        <f>SUMIF($B$14:$B$733,T72,$D$14:$D$733)-SUM($J$18:J71)</f>
        <v>0</v>
      </c>
      <c r="K72" s="96">
        <f>SUMIF($B$14:$B$733,T72,$E$14:$E$733)-SUM($K$18:K71)</f>
        <v>0</v>
      </c>
      <c r="L72" s="90">
        <f t="shared" si="11"/>
        <v>0</v>
      </c>
      <c r="M72" s="90">
        <f t="shared" si="5"/>
        <v>0</v>
      </c>
      <c r="N72" s="62"/>
      <c r="O72" s="78"/>
      <c r="P72" s="78"/>
      <c r="Q72" s="278"/>
      <c r="R72" s="62"/>
      <c r="S72" s="62"/>
      <c r="T72" s="92" t="str">
        <f t="shared" si="12"/>
        <v>&lt;=660</v>
      </c>
    </row>
    <row r="73" spans="2:21">
      <c r="B73" s="64">
        <v>60</v>
      </c>
      <c r="C73" s="397">
        <f t="shared" si="9"/>
        <v>0</v>
      </c>
      <c r="D73" s="398">
        <f t="shared" si="10"/>
        <v>0</v>
      </c>
      <c r="E73" s="398">
        <f t="shared" si="2"/>
        <v>0</v>
      </c>
      <c r="F73" s="398">
        <f t="shared" si="3"/>
        <v>0</v>
      </c>
      <c r="G73" s="62"/>
      <c r="H73" s="88">
        <f t="shared" si="8"/>
        <v>672</v>
      </c>
      <c r="I73" s="80">
        <f t="shared" si="7"/>
        <v>1960</v>
      </c>
      <c r="J73" s="89">
        <f>SUMIF($B$14:$B$733,T73,$D$14:$D$733)-SUM($J$18:J72)</f>
        <v>0</v>
      </c>
      <c r="K73" s="96">
        <f>SUMIF($B$14:$B$733,T73,$E$14:$E$733)-SUM($K$18:K72)</f>
        <v>0</v>
      </c>
      <c r="L73" s="90">
        <f t="shared" si="11"/>
        <v>0</v>
      </c>
      <c r="M73" s="90">
        <f t="shared" si="5"/>
        <v>0</v>
      </c>
      <c r="N73" s="62"/>
      <c r="O73" s="78"/>
      <c r="P73" s="78"/>
      <c r="Q73" s="278"/>
      <c r="R73" s="62"/>
      <c r="S73" s="62"/>
      <c r="T73" s="92" t="str">
        <f t="shared" si="12"/>
        <v>&lt;=672</v>
      </c>
    </row>
    <row r="74" spans="2:21">
      <c r="B74" s="64">
        <v>61</v>
      </c>
      <c r="C74" s="397">
        <f t="shared" si="9"/>
        <v>0</v>
      </c>
      <c r="D74" s="398">
        <f t="shared" si="10"/>
        <v>0</v>
      </c>
      <c r="E74" s="398">
        <f t="shared" si="2"/>
        <v>0</v>
      </c>
      <c r="F74" s="398">
        <f t="shared" si="3"/>
        <v>0</v>
      </c>
      <c r="G74" s="62"/>
      <c r="H74" s="88">
        <f t="shared" si="8"/>
        <v>684</v>
      </c>
      <c r="I74" s="80">
        <f t="shared" si="7"/>
        <v>1961</v>
      </c>
      <c r="J74" s="89">
        <f>SUMIF($B$14:$B$733,T74,$D$14:$D$733)-SUM($J$18:J73)</f>
        <v>0</v>
      </c>
      <c r="K74" s="96">
        <f>SUMIF($B$14:$B$733,T74,$E$14:$E$733)-SUM($K$18:K73)</f>
        <v>0</v>
      </c>
      <c r="L74" s="90">
        <f t="shared" si="11"/>
        <v>0</v>
      </c>
      <c r="M74" s="90">
        <f t="shared" si="5"/>
        <v>0</v>
      </c>
      <c r="N74" s="62"/>
      <c r="O74" s="78"/>
      <c r="P74" s="78"/>
      <c r="Q74" s="278"/>
      <c r="R74" s="62"/>
      <c r="S74" s="62"/>
      <c r="T74" s="92" t="str">
        <f t="shared" si="12"/>
        <v>&lt;=684</v>
      </c>
    </row>
    <row r="75" spans="2:21">
      <c r="B75" s="64">
        <v>62</v>
      </c>
      <c r="C75" s="397">
        <f t="shared" si="9"/>
        <v>0</v>
      </c>
      <c r="D75" s="398">
        <f t="shared" si="10"/>
        <v>0</v>
      </c>
      <c r="E75" s="398">
        <f t="shared" si="2"/>
        <v>0</v>
      </c>
      <c r="F75" s="398">
        <f t="shared" si="3"/>
        <v>0</v>
      </c>
      <c r="G75" s="62"/>
      <c r="H75" s="88">
        <f t="shared" si="8"/>
        <v>696</v>
      </c>
      <c r="I75" s="80">
        <f t="shared" si="7"/>
        <v>1962</v>
      </c>
      <c r="J75" s="89">
        <f>SUMIF($B$14:$B$733,T75,$D$14:$D$733)-SUM($J$18:J74)</f>
        <v>0</v>
      </c>
      <c r="K75" s="96">
        <f>SUMIF($B$14:$B$733,T75,$E$14:$E$733)-SUM($K$18:K74)</f>
        <v>0</v>
      </c>
      <c r="L75" s="90">
        <f t="shared" si="11"/>
        <v>0</v>
      </c>
      <c r="M75" s="90">
        <f t="shared" si="5"/>
        <v>0</v>
      </c>
      <c r="N75" s="62"/>
      <c r="O75" s="78"/>
      <c r="P75" s="78"/>
      <c r="Q75" s="278"/>
      <c r="R75" s="62"/>
      <c r="S75" s="62"/>
      <c r="T75" s="92" t="str">
        <f t="shared" si="12"/>
        <v>&lt;=696</v>
      </c>
    </row>
    <row r="76" spans="2:21">
      <c r="B76" s="64">
        <v>63</v>
      </c>
      <c r="C76" s="397">
        <f t="shared" si="9"/>
        <v>0</v>
      </c>
      <c r="D76" s="398">
        <f t="shared" si="10"/>
        <v>0</v>
      </c>
      <c r="E76" s="398">
        <f t="shared" si="2"/>
        <v>0</v>
      </c>
      <c r="F76" s="398">
        <f t="shared" si="3"/>
        <v>0</v>
      </c>
      <c r="G76" s="62"/>
      <c r="H76" s="88">
        <f t="shared" si="8"/>
        <v>708</v>
      </c>
      <c r="I76" s="80">
        <f t="shared" si="7"/>
        <v>1963</v>
      </c>
      <c r="J76" s="89">
        <f>SUMIF($B$14:$B$733,T76,$D$14:$D$733)-SUM($J$18:J75)</f>
        <v>0</v>
      </c>
      <c r="K76" s="96">
        <f>SUMIF($B$14:$B$733,T76,$E$14:$E$733)-SUM($K$18:K75)</f>
        <v>0</v>
      </c>
      <c r="L76" s="90">
        <f t="shared" si="11"/>
        <v>0</v>
      </c>
      <c r="M76" s="90">
        <f t="shared" si="5"/>
        <v>0</v>
      </c>
      <c r="N76" s="62"/>
      <c r="O76" s="78"/>
      <c r="P76" s="78"/>
      <c r="Q76" s="278"/>
      <c r="R76" s="62"/>
      <c r="S76" s="62"/>
      <c r="T76" s="92" t="str">
        <f t="shared" si="12"/>
        <v>&lt;=708</v>
      </c>
    </row>
    <row r="77" spans="2:21">
      <c r="B77" s="64">
        <v>64</v>
      </c>
      <c r="C77" s="397">
        <f t="shared" si="9"/>
        <v>0</v>
      </c>
      <c r="D77" s="398">
        <f t="shared" si="10"/>
        <v>0</v>
      </c>
      <c r="E77" s="398">
        <f t="shared" si="2"/>
        <v>0</v>
      </c>
      <c r="F77" s="398">
        <f t="shared" si="3"/>
        <v>0</v>
      </c>
      <c r="G77" s="62"/>
      <c r="H77" s="88">
        <f t="shared" si="8"/>
        <v>720</v>
      </c>
      <c r="I77" s="80">
        <f t="shared" si="7"/>
        <v>1964</v>
      </c>
      <c r="J77" s="89">
        <f>SUMIF($B$14:$B$733,T77,$D$14:$D$733)-SUM($J$18:J76)</f>
        <v>0</v>
      </c>
      <c r="K77" s="96">
        <f>SUMIF($B$14:$B$733,T77,$E$14:$E$733)-SUM($K$18:K76)</f>
        <v>0</v>
      </c>
      <c r="L77" s="90">
        <f t="shared" si="11"/>
        <v>0</v>
      </c>
      <c r="M77" s="90">
        <f t="shared" si="5"/>
        <v>0</v>
      </c>
      <c r="N77" s="62"/>
      <c r="O77" s="78"/>
      <c r="P77" s="78"/>
      <c r="Q77" s="278"/>
      <c r="R77" s="62"/>
      <c r="S77" s="62"/>
      <c r="T77" s="92" t="str">
        <f t="shared" si="12"/>
        <v>&lt;=720</v>
      </c>
    </row>
    <row r="78" spans="2:21">
      <c r="B78" s="64">
        <v>65</v>
      </c>
      <c r="C78" s="397">
        <f t="shared" si="9"/>
        <v>0</v>
      </c>
      <c r="D78" s="398">
        <f t="shared" si="10"/>
        <v>0</v>
      </c>
      <c r="E78" s="398">
        <f t="shared" si="2"/>
        <v>0</v>
      </c>
      <c r="F78" s="398">
        <f t="shared" si="3"/>
        <v>0</v>
      </c>
      <c r="G78" s="62"/>
      <c r="H78" s="165"/>
      <c r="I78" s="163" t="s">
        <v>114</v>
      </c>
      <c r="J78" s="164">
        <v>0</v>
      </c>
      <c r="K78" s="164">
        <v>0</v>
      </c>
      <c r="L78" s="91"/>
      <c r="M78" s="164">
        <v>0</v>
      </c>
      <c r="N78" s="62"/>
      <c r="O78" s="62"/>
      <c r="P78" s="62"/>
      <c r="Q78" s="62"/>
      <c r="R78" s="62"/>
      <c r="S78" s="62"/>
      <c r="T78" s="62"/>
    </row>
    <row r="79" spans="2:21">
      <c r="B79" s="64">
        <v>66</v>
      </c>
      <c r="C79" s="397">
        <f t="shared" ref="C79" si="13">IF(F78&gt;$C$7,$C$7,F78+D79)</f>
        <v>0</v>
      </c>
      <c r="D79" s="398">
        <f t="shared" si="10"/>
        <v>0</v>
      </c>
      <c r="E79" s="398">
        <f t="shared" si="2"/>
        <v>0</v>
      </c>
      <c r="F79" s="398">
        <f t="shared" si="3"/>
        <v>0</v>
      </c>
      <c r="G79" s="66"/>
      <c r="H79" s="66"/>
      <c r="I79" s="66"/>
      <c r="J79" s="74"/>
      <c r="K79" s="66"/>
      <c r="L79" s="66"/>
      <c r="M79" s="66"/>
      <c r="N79" s="74"/>
      <c r="O79" s="62"/>
      <c r="P79" s="62"/>
      <c r="Q79" s="62"/>
      <c r="R79" s="62"/>
      <c r="S79" s="62"/>
      <c r="T79" s="62"/>
      <c r="U79" s="62"/>
    </row>
    <row r="80" spans="2:21">
      <c r="B80" s="64">
        <v>67</v>
      </c>
      <c r="C80" s="397">
        <f t="shared" ref="C80:C143" si="14">IF(F79&gt;$C$7,$C$7,F79+D80)</f>
        <v>0</v>
      </c>
      <c r="D80" s="398">
        <f t="shared" ref="D80:D143" si="15">+$C$5*F79/12</f>
        <v>0</v>
      </c>
      <c r="E80" s="398">
        <f t="shared" ref="E80:E143" si="16">+C80-D80</f>
        <v>0</v>
      </c>
      <c r="F80" s="398">
        <f t="shared" ref="F80:F143" si="17">+F79-E80</f>
        <v>0</v>
      </c>
      <c r="G80" s="66"/>
      <c r="I80" s="66"/>
      <c r="J80" s="74"/>
      <c r="K80" s="66"/>
      <c r="L80" s="66"/>
      <c r="M80" s="66"/>
      <c r="N80" s="74"/>
      <c r="O80" s="62"/>
      <c r="P80" s="62"/>
      <c r="Q80" s="62"/>
      <c r="R80" s="62"/>
      <c r="S80" s="62"/>
      <c r="T80" s="62"/>
      <c r="U80" s="62"/>
    </row>
    <row r="81" spans="2:21">
      <c r="B81" s="64">
        <v>68</v>
      </c>
      <c r="C81" s="397">
        <f t="shared" si="14"/>
        <v>0</v>
      </c>
      <c r="D81" s="398">
        <f t="shared" si="15"/>
        <v>0</v>
      </c>
      <c r="E81" s="398">
        <f t="shared" si="16"/>
        <v>0</v>
      </c>
      <c r="F81" s="398">
        <f t="shared" si="17"/>
        <v>0</v>
      </c>
      <c r="G81" s="66"/>
      <c r="H81" s="66"/>
      <c r="P81" s="62"/>
      <c r="Q81" s="62"/>
      <c r="R81" s="62"/>
      <c r="S81" s="62"/>
      <c r="T81" s="62"/>
      <c r="U81" s="62"/>
    </row>
    <row r="82" spans="2:21">
      <c r="B82" s="64">
        <v>69</v>
      </c>
      <c r="C82" s="397">
        <f t="shared" si="14"/>
        <v>0</v>
      </c>
      <c r="D82" s="398">
        <f t="shared" si="15"/>
        <v>0</v>
      </c>
      <c r="E82" s="398">
        <f t="shared" si="16"/>
        <v>0</v>
      </c>
      <c r="F82" s="398">
        <f t="shared" si="17"/>
        <v>0</v>
      </c>
      <c r="G82" s="66"/>
      <c r="P82" s="62"/>
      <c r="Q82" s="62"/>
      <c r="R82" s="62"/>
      <c r="S82" s="62"/>
      <c r="T82" s="62"/>
      <c r="U82" s="62"/>
    </row>
    <row r="83" spans="2:21">
      <c r="B83" s="64">
        <v>70</v>
      </c>
      <c r="C83" s="397">
        <f t="shared" si="14"/>
        <v>0</v>
      </c>
      <c r="D83" s="398">
        <f t="shared" si="15"/>
        <v>0</v>
      </c>
      <c r="E83" s="398">
        <f t="shared" si="16"/>
        <v>0</v>
      </c>
      <c r="F83" s="398">
        <f t="shared" si="17"/>
        <v>0</v>
      </c>
      <c r="G83" s="62"/>
    </row>
    <row r="84" spans="2:21">
      <c r="B84" s="64">
        <v>71</v>
      </c>
      <c r="C84" s="397">
        <f t="shared" si="14"/>
        <v>0</v>
      </c>
      <c r="D84" s="398">
        <f t="shared" si="15"/>
        <v>0</v>
      </c>
      <c r="E84" s="398">
        <f t="shared" si="16"/>
        <v>0</v>
      </c>
      <c r="F84" s="398">
        <f t="shared" si="17"/>
        <v>0</v>
      </c>
      <c r="G84" s="62"/>
    </row>
    <row r="85" spans="2:21">
      <c r="B85" s="64">
        <v>72</v>
      </c>
      <c r="C85" s="397">
        <f t="shared" si="14"/>
        <v>0</v>
      </c>
      <c r="D85" s="398">
        <f t="shared" si="15"/>
        <v>0</v>
      </c>
      <c r="E85" s="398">
        <f t="shared" si="16"/>
        <v>0</v>
      </c>
      <c r="F85" s="398">
        <f t="shared" si="17"/>
        <v>0</v>
      </c>
      <c r="G85" s="62"/>
    </row>
    <row r="86" spans="2:21">
      <c r="B86" s="64">
        <v>73</v>
      </c>
      <c r="C86" s="397">
        <f t="shared" si="14"/>
        <v>0</v>
      </c>
      <c r="D86" s="398">
        <f t="shared" si="15"/>
        <v>0</v>
      </c>
      <c r="E86" s="398">
        <f t="shared" si="16"/>
        <v>0</v>
      </c>
      <c r="F86" s="398">
        <f t="shared" si="17"/>
        <v>0</v>
      </c>
      <c r="G86" s="62"/>
    </row>
    <row r="87" spans="2:21">
      <c r="B87" s="64">
        <v>74</v>
      </c>
      <c r="C87" s="397">
        <f t="shared" si="14"/>
        <v>0</v>
      </c>
      <c r="D87" s="398">
        <f t="shared" si="15"/>
        <v>0</v>
      </c>
      <c r="E87" s="398">
        <f t="shared" si="16"/>
        <v>0</v>
      </c>
      <c r="F87" s="398">
        <f t="shared" si="17"/>
        <v>0</v>
      </c>
      <c r="G87" s="62"/>
    </row>
    <row r="88" spans="2:21">
      <c r="B88" s="64">
        <v>75</v>
      </c>
      <c r="C88" s="397">
        <f t="shared" si="14"/>
        <v>0</v>
      </c>
      <c r="D88" s="398">
        <f t="shared" si="15"/>
        <v>0</v>
      </c>
      <c r="E88" s="398">
        <f t="shared" si="16"/>
        <v>0</v>
      </c>
      <c r="F88" s="398">
        <f t="shared" si="17"/>
        <v>0</v>
      </c>
      <c r="G88" s="62"/>
    </row>
    <row r="89" spans="2:21">
      <c r="B89" s="64">
        <v>76</v>
      </c>
      <c r="C89" s="397">
        <f t="shared" si="14"/>
        <v>0</v>
      </c>
      <c r="D89" s="398">
        <f t="shared" si="15"/>
        <v>0</v>
      </c>
      <c r="E89" s="398">
        <f t="shared" si="16"/>
        <v>0</v>
      </c>
      <c r="F89" s="398">
        <f t="shared" si="17"/>
        <v>0</v>
      </c>
      <c r="G89" s="62"/>
    </row>
    <row r="90" spans="2:21">
      <c r="B90" s="64">
        <v>77</v>
      </c>
      <c r="C90" s="397">
        <f t="shared" si="14"/>
        <v>0</v>
      </c>
      <c r="D90" s="398">
        <f t="shared" si="15"/>
        <v>0</v>
      </c>
      <c r="E90" s="398">
        <f t="shared" si="16"/>
        <v>0</v>
      </c>
      <c r="F90" s="398">
        <f t="shared" si="17"/>
        <v>0</v>
      </c>
      <c r="G90" s="62"/>
    </row>
    <row r="91" spans="2:21">
      <c r="B91" s="64">
        <v>78</v>
      </c>
      <c r="C91" s="397">
        <f t="shared" si="14"/>
        <v>0</v>
      </c>
      <c r="D91" s="398">
        <f t="shared" si="15"/>
        <v>0</v>
      </c>
      <c r="E91" s="398">
        <f t="shared" si="16"/>
        <v>0</v>
      </c>
      <c r="F91" s="398">
        <f t="shared" si="17"/>
        <v>0</v>
      </c>
      <c r="G91" s="62"/>
    </row>
    <row r="92" spans="2:21">
      <c r="B92" s="64">
        <v>79</v>
      </c>
      <c r="C92" s="397">
        <f t="shared" si="14"/>
        <v>0</v>
      </c>
      <c r="D92" s="398">
        <f t="shared" si="15"/>
        <v>0</v>
      </c>
      <c r="E92" s="398">
        <f t="shared" si="16"/>
        <v>0</v>
      </c>
      <c r="F92" s="398">
        <f t="shared" si="17"/>
        <v>0</v>
      </c>
      <c r="G92" s="62"/>
    </row>
    <row r="93" spans="2:21">
      <c r="B93" s="64">
        <v>80</v>
      </c>
      <c r="C93" s="397">
        <f t="shared" si="14"/>
        <v>0</v>
      </c>
      <c r="D93" s="398">
        <f t="shared" si="15"/>
        <v>0</v>
      </c>
      <c r="E93" s="398">
        <f t="shared" si="16"/>
        <v>0</v>
      </c>
      <c r="F93" s="398">
        <f t="shared" si="17"/>
        <v>0</v>
      </c>
      <c r="G93" s="62"/>
    </row>
    <row r="94" spans="2:21">
      <c r="B94" s="64">
        <v>81</v>
      </c>
      <c r="C94" s="397">
        <f t="shared" si="14"/>
        <v>0</v>
      </c>
      <c r="D94" s="398">
        <f t="shared" si="15"/>
        <v>0</v>
      </c>
      <c r="E94" s="398">
        <f t="shared" si="16"/>
        <v>0</v>
      </c>
      <c r="F94" s="398">
        <f t="shared" si="17"/>
        <v>0</v>
      </c>
      <c r="G94" s="62"/>
      <c r="H94" s="66"/>
      <c r="I94" s="66"/>
      <c r="J94" s="66"/>
      <c r="K94" s="66"/>
      <c r="L94" s="66"/>
      <c r="M94" s="66"/>
      <c r="N94" s="66"/>
    </row>
    <row r="95" spans="2:21">
      <c r="B95" s="64">
        <v>82</v>
      </c>
      <c r="C95" s="397">
        <f t="shared" si="14"/>
        <v>0</v>
      </c>
      <c r="D95" s="398">
        <f t="shared" si="15"/>
        <v>0</v>
      </c>
      <c r="E95" s="398">
        <f t="shared" si="16"/>
        <v>0</v>
      </c>
      <c r="F95" s="398">
        <f t="shared" si="17"/>
        <v>0</v>
      </c>
      <c r="G95" s="62"/>
      <c r="H95" s="62"/>
      <c r="I95" s="62"/>
      <c r="J95" s="62"/>
      <c r="K95" s="62"/>
      <c r="L95" s="62"/>
      <c r="M95" s="62"/>
      <c r="N95" s="62"/>
    </row>
    <row r="96" spans="2:21">
      <c r="B96" s="64">
        <v>83</v>
      </c>
      <c r="C96" s="397">
        <f t="shared" si="14"/>
        <v>0</v>
      </c>
      <c r="D96" s="398">
        <f t="shared" si="15"/>
        <v>0</v>
      </c>
      <c r="E96" s="398">
        <f t="shared" si="16"/>
        <v>0</v>
      </c>
      <c r="F96" s="398">
        <f t="shared" si="17"/>
        <v>0</v>
      </c>
      <c r="G96" s="62"/>
      <c r="H96" s="62"/>
      <c r="I96" s="62"/>
      <c r="J96" s="62"/>
      <c r="K96" s="62"/>
      <c r="L96" s="62"/>
      <c r="M96" s="62"/>
      <c r="N96" s="62"/>
    </row>
    <row r="97" spans="1:14">
      <c r="B97" s="64">
        <v>84</v>
      </c>
      <c r="C97" s="397">
        <f t="shared" si="14"/>
        <v>0</v>
      </c>
      <c r="D97" s="398">
        <f t="shared" si="15"/>
        <v>0</v>
      </c>
      <c r="E97" s="398">
        <f t="shared" si="16"/>
        <v>0</v>
      </c>
      <c r="F97" s="398">
        <f t="shared" si="17"/>
        <v>0</v>
      </c>
      <c r="G97" s="62"/>
      <c r="H97" s="62"/>
      <c r="I97" s="62"/>
      <c r="J97" s="62"/>
      <c r="K97" s="62"/>
      <c r="L97" s="62"/>
      <c r="M97" s="62"/>
      <c r="N97" s="62"/>
    </row>
    <row r="98" spans="1:14">
      <c r="B98" s="64">
        <v>85</v>
      </c>
      <c r="C98" s="397">
        <f t="shared" si="14"/>
        <v>0</v>
      </c>
      <c r="D98" s="398">
        <f t="shared" si="15"/>
        <v>0</v>
      </c>
      <c r="E98" s="398">
        <f t="shared" si="16"/>
        <v>0</v>
      </c>
      <c r="F98" s="398">
        <f t="shared" si="17"/>
        <v>0</v>
      </c>
      <c r="G98" s="62"/>
      <c r="H98" s="62"/>
      <c r="I98" s="62"/>
      <c r="J98" s="62"/>
      <c r="K98" s="62"/>
      <c r="L98" s="62"/>
      <c r="M98" s="62"/>
      <c r="N98" s="62"/>
    </row>
    <row r="99" spans="1:14">
      <c r="A99" s="78"/>
      <c r="B99" s="64">
        <v>86</v>
      </c>
      <c r="C99" s="397">
        <f t="shared" si="14"/>
        <v>0</v>
      </c>
      <c r="D99" s="398">
        <f t="shared" si="15"/>
        <v>0</v>
      </c>
      <c r="E99" s="398">
        <f t="shared" si="16"/>
        <v>0</v>
      </c>
      <c r="F99" s="398">
        <f t="shared" si="17"/>
        <v>0</v>
      </c>
    </row>
    <row r="100" spans="1:14">
      <c r="A100" s="62"/>
      <c r="B100" s="64">
        <v>87</v>
      </c>
      <c r="C100" s="397">
        <f t="shared" si="14"/>
        <v>0</v>
      </c>
      <c r="D100" s="398">
        <f t="shared" si="15"/>
        <v>0</v>
      </c>
      <c r="E100" s="398">
        <f t="shared" si="16"/>
        <v>0</v>
      </c>
      <c r="F100" s="398">
        <f t="shared" si="17"/>
        <v>0</v>
      </c>
    </row>
    <row r="101" spans="1:14">
      <c r="A101" s="62"/>
      <c r="B101" s="64">
        <v>88</v>
      </c>
      <c r="C101" s="397">
        <f t="shared" si="14"/>
        <v>0</v>
      </c>
      <c r="D101" s="398">
        <f t="shared" si="15"/>
        <v>0</v>
      </c>
      <c r="E101" s="398">
        <f t="shared" si="16"/>
        <v>0</v>
      </c>
      <c r="F101" s="398">
        <f t="shared" si="17"/>
        <v>0</v>
      </c>
    </row>
    <row r="102" spans="1:14">
      <c r="A102" s="62"/>
      <c r="B102" s="64">
        <v>89</v>
      </c>
      <c r="C102" s="397">
        <f t="shared" si="14"/>
        <v>0</v>
      </c>
      <c r="D102" s="398">
        <f t="shared" si="15"/>
        <v>0</v>
      </c>
      <c r="E102" s="398">
        <f t="shared" si="16"/>
        <v>0</v>
      </c>
      <c r="F102" s="398">
        <f t="shared" si="17"/>
        <v>0</v>
      </c>
    </row>
    <row r="103" spans="1:14">
      <c r="A103" s="62"/>
      <c r="B103" s="64">
        <v>90</v>
      </c>
      <c r="C103" s="397">
        <f t="shared" si="14"/>
        <v>0</v>
      </c>
      <c r="D103" s="398">
        <f t="shared" si="15"/>
        <v>0</v>
      </c>
      <c r="E103" s="398">
        <f t="shared" si="16"/>
        <v>0</v>
      </c>
      <c r="F103" s="398">
        <f t="shared" si="17"/>
        <v>0</v>
      </c>
    </row>
    <row r="104" spans="1:14">
      <c r="A104" s="62"/>
      <c r="B104" s="64">
        <v>91</v>
      </c>
      <c r="C104" s="397">
        <f t="shared" si="14"/>
        <v>0</v>
      </c>
      <c r="D104" s="398">
        <f t="shared" si="15"/>
        <v>0</v>
      </c>
      <c r="E104" s="398">
        <f t="shared" si="16"/>
        <v>0</v>
      </c>
      <c r="F104" s="398">
        <f t="shared" si="17"/>
        <v>0</v>
      </c>
    </row>
    <row r="105" spans="1:14">
      <c r="A105" s="62"/>
      <c r="B105" s="64">
        <v>92</v>
      </c>
      <c r="C105" s="397">
        <f t="shared" si="14"/>
        <v>0</v>
      </c>
      <c r="D105" s="398">
        <f t="shared" si="15"/>
        <v>0</v>
      </c>
      <c r="E105" s="398">
        <f t="shared" si="16"/>
        <v>0</v>
      </c>
      <c r="F105" s="398">
        <f t="shared" si="17"/>
        <v>0</v>
      </c>
    </row>
    <row r="106" spans="1:14">
      <c r="A106" s="62"/>
      <c r="B106" s="64">
        <v>93</v>
      </c>
      <c r="C106" s="397">
        <f t="shared" si="14"/>
        <v>0</v>
      </c>
      <c r="D106" s="398">
        <f t="shared" si="15"/>
        <v>0</v>
      </c>
      <c r="E106" s="398">
        <f t="shared" si="16"/>
        <v>0</v>
      </c>
      <c r="F106" s="398">
        <f t="shared" si="17"/>
        <v>0</v>
      </c>
    </row>
    <row r="107" spans="1:14">
      <c r="A107" s="62"/>
      <c r="B107" s="64">
        <v>94</v>
      </c>
      <c r="C107" s="397">
        <f t="shared" si="14"/>
        <v>0</v>
      </c>
      <c r="D107" s="398">
        <f t="shared" si="15"/>
        <v>0</v>
      </c>
      <c r="E107" s="398">
        <f t="shared" si="16"/>
        <v>0</v>
      </c>
      <c r="F107" s="398">
        <f t="shared" si="17"/>
        <v>0</v>
      </c>
    </row>
    <row r="108" spans="1:14">
      <c r="A108" s="62"/>
      <c r="B108" s="64">
        <v>95</v>
      </c>
      <c r="C108" s="397">
        <f t="shared" si="14"/>
        <v>0</v>
      </c>
      <c r="D108" s="398">
        <f t="shared" si="15"/>
        <v>0</v>
      </c>
      <c r="E108" s="398">
        <f t="shared" si="16"/>
        <v>0</v>
      </c>
      <c r="F108" s="398">
        <f t="shared" si="17"/>
        <v>0</v>
      </c>
    </row>
    <row r="109" spans="1:14">
      <c r="A109" s="62"/>
      <c r="B109" s="64">
        <v>96</v>
      </c>
      <c r="C109" s="397">
        <f t="shared" si="14"/>
        <v>0</v>
      </c>
      <c r="D109" s="398">
        <f t="shared" si="15"/>
        <v>0</v>
      </c>
      <c r="E109" s="398">
        <f t="shared" si="16"/>
        <v>0</v>
      </c>
      <c r="F109" s="398">
        <f t="shared" si="17"/>
        <v>0</v>
      </c>
    </row>
    <row r="110" spans="1:14">
      <c r="A110" s="62"/>
      <c r="B110" s="64">
        <v>97</v>
      </c>
      <c r="C110" s="397">
        <f t="shared" si="14"/>
        <v>0</v>
      </c>
      <c r="D110" s="398">
        <f t="shared" si="15"/>
        <v>0</v>
      </c>
      <c r="E110" s="398">
        <f t="shared" si="16"/>
        <v>0</v>
      </c>
      <c r="F110" s="398">
        <f t="shared" si="17"/>
        <v>0</v>
      </c>
    </row>
    <row r="111" spans="1:14">
      <c r="A111" s="62"/>
      <c r="B111" s="64">
        <v>98</v>
      </c>
      <c r="C111" s="397">
        <f t="shared" si="14"/>
        <v>0</v>
      </c>
      <c r="D111" s="398">
        <f t="shared" si="15"/>
        <v>0</v>
      </c>
      <c r="E111" s="398">
        <f t="shared" si="16"/>
        <v>0</v>
      </c>
      <c r="F111" s="398">
        <f t="shared" si="17"/>
        <v>0</v>
      </c>
    </row>
    <row r="112" spans="1:14">
      <c r="A112" s="62"/>
      <c r="B112" s="64">
        <v>99</v>
      </c>
      <c r="C112" s="397">
        <f t="shared" si="14"/>
        <v>0</v>
      </c>
      <c r="D112" s="398">
        <f t="shared" si="15"/>
        <v>0</v>
      </c>
      <c r="E112" s="398">
        <f t="shared" si="16"/>
        <v>0</v>
      </c>
      <c r="F112" s="398">
        <f t="shared" si="17"/>
        <v>0</v>
      </c>
    </row>
    <row r="113" spans="1:6">
      <c r="A113" s="62"/>
      <c r="B113" s="64">
        <v>100</v>
      </c>
      <c r="C113" s="397">
        <f t="shared" si="14"/>
        <v>0</v>
      </c>
      <c r="D113" s="398">
        <f t="shared" si="15"/>
        <v>0</v>
      </c>
      <c r="E113" s="398">
        <f t="shared" si="16"/>
        <v>0</v>
      </c>
      <c r="F113" s="398">
        <f t="shared" si="17"/>
        <v>0</v>
      </c>
    </row>
    <row r="114" spans="1:6">
      <c r="A114" s="62"/>
      <c r="B114" s="64">
        <v>101</v>
      </c>
      <c r="C114" s="397">
        <f t="shared" si="14"/>
        <v>0</v>
      </c>
      <c r="D114" s="398">
        <f t="shared" si="15"/>
        <v>0</v>
      </c>
      <c r="E114" s="398">
        <f t="shared" si="16"/>
        <v>0</v>
      </c>
      <c r="F114" s="398">
        <f t="shared" si="17"/>
        <v>0</v>
      </c>
    </row>
    <row r="115" spans="1:6">
      <c r="B115" s="64">
        <v>102</v>
      </c>
      <c r="C115" s="397">
        <f t="shared" si="14"/>
        <v>0</v>
      </c>
      <c r="D115" s="398">
        <f t="shared" si="15"/>
        <v>0</v>
      </c>
      <c r="E115" s="398">
        <f t="shared" si="16"/>
        <v>0</v>
      </c>
      <c r="F115" s="398">
        <f t="shared" si="17"/>
        <v>0</v>
      </c>
    </row>
    <row r="116" spans="1:6">
      <c r="B116" s="64">
        <v>103</v>
      </c>
      <c r="C116" s="397">
        <f t="shared" si="14"/>
        <v>0</v>
      </c>
      <c r="D116" s="398">
        <f t="shared" si="15"/>
        <v>0</v>
      </c>
      <c r="E116" s="398">
        <f t="shared" si="16"/>
        <v>0</v>
      </c>
      <c r="F116" s="398">
        <f t="shared" si="17"/>
        <v>0</v>
      </c>
    </row>
    <row r="117" spans="1:6">
      <c r="B117" s="64">
        <v>104</v>
      </c>
      <c r="C117" s="397">
        <f t="shared" si="14"/>
        <v>0</v>
      </c>
      <c r="D117" s="398">
        <f t="shared" si="15"/>
        <v>0</v>
      </c>
      <c r="E117" s="398">
        <f t="shared" si="16"/>
        <v>0</v>
      </c>
      <c r="F117" s="398">
        <f t="shared" si="17"/>
        <v>0</v>
      </c>
    </row>
    <row r="118" spans="1:6">
      <c r="B118" s="64">
        <v>105</v>
      </c>
      <c r="C118" s="397">
        <f t="shared" si="14"/>
        <v>0</v>
      </c>
      <c r="D118" s="398">
        <f t="shared" si="15"/>
        <v>0</v>
      </c>
      <c r="E118" s="398">
        <f t="shared" si="16"/>
        <v>0</v>
      </c>
      <c r="F118" s="398">
        <f t="shared" si="17"/>
        <v>0</v>
      </c>
    </row>
    <row r="119" spans="1:6">
      <c r="B119" s="64">
        <v>106</v>
      </c>
      <c r="C119" s="397">
        <f t="shared" si="14"/>
        <v>0</v>
      </c>
      <c r="D119" s="398">
        <f t="shared" si="15"/>
        <v>0</v>
      </c>
      <c r="E119" s="398">
        <f t="shared" si="16"/>
        <v>0</v>
      </c>
      <c r="F119" s="398">
        <f t="shared" si="17"/>
        <v>0</v>
      </c>
    </row>
    <row r="120" spans="1:6">
      <c r="B120" s="64">
        <v>107</v>
      </c>
      <c r="C120" s="397">
        <f t="shared" si="14"/>
        <v>0</v>
      </c>
      <c r="D120" s="398">
        <f t="shared" si="15"/>
        <v>0</v>
      </c>
      <c r="E120" s="398">
        <f t="shared" si="16"/>
        <v>0</v>
      </c>
      <c r="F120" s="398">
        <f t="shared" si="17"/>
        <v>0</v>
      </c>
    </row>
    <row r="121" spans="1:6">
      <c r="B121" s="64">
        <v>108</v>
      </c>
      <c r="C121" s="397">
        <f t="shared" si="14"/>
        <v>0</v>
      </c>
      <c r="D121" s="398">
        <f t="shared" si="15"/>
        <v>0</v>
      </c>
      <c r="E121" s="398">
        <f t="shared" si="16"/>
        <v>0</v>
      </c>
      <c r="F121" s="398">
        <f t="shared" si="17"/>
        <v>0</v>
      </c>
    </row>
    <row r="122" spans="1:6">
      <c r="B122" s="64">
        <v>109</v>
      </c>
      <c r="C122" s="397">
        <f t="shared" si="14"/>
        <v>0</v>
      </c>
      <c r="D122" s="398">
        <f t="shared" si="15"/>
        <v>0</v>
      </c>
      <c r="E122" s="398">
        <f t="shared" si="16"/>
        <v>0</v>
      </c>
      <c r="F122" s="398">
        <f t="shared" si="17"/>
        <v>0</v>
      </c>
    </row>
    <row r="123" spans="1:6">
      <c r="B123" s="64">
        <v>110</v>
      </c>
      <c r="C123" s="397">
        <f t="shared" si="14"/>
        <v>0</v>
      </c>
      <c r="D123" s="398">
        <f t="shared" si="15"/>
        <v>0</v>
      </c>
      <c r="E123" s="398">
        <f t="shared" si="16"/>
        <v>0</v>
      </c>
      <c r="F123" s="398">
        <f t="shared" si="17"/>
        <v>0</v>
      </c>
    </row>
    <row r="124" spans="1:6">
      <c r="B124" s="64">
        <v>111</v>
      </c>
      <c r="C124" s="397">
        <f t="shared" si="14"/>
        <v>0</v>
      </c>
      <c r="D124" s="398">
        <f t="shared" si="15"/>
        <v>0</v>
      </c>
      <c r="E124" s="398">
        <f t="shared" si="16"/>
        <v>0</v>
      </c>
      <c r="F124" s="398">
        <f t="shared" si="17"/>
        <v>0</v>
      </c>
    </row>
    <row r="125" spans="1:6">
      <c r="B125" s="64">
        <v>112</v>
      </c>
      <c r="C125" s="397">
        <f t="shared" si="14"/>
        <v>0</v>
      </c>
      <c r="D125" s="398">
        <f t="shared" si="15"/>
        <v>0</v>
      </c>
      <c r="E125" s="398">
        <f t="shared" si="16"/>
        <v>0</v>
      </c>
      <c r="F125" s="398">
        <f t="shared" si="17"/>
        <v>0</v>
      </c>
    </row>
    <row r="126" spans="1:6">
      <c r="B126" s="64">
        <v>113</v>
      </c>
      <c r="C126" s="397">
        <f t="shared" si="14"/>
        <v>0</v>
      </c>
      <c r="D126" s="398">
        <f t="shared" si="15"/>
        <v>0</v>
      </c>
      <c r="E126" s="398">
        <f t="shared" si="16"/>
        <v>0</v>
      </c>
      <c r="F126" s="398">
        <f t="shared" si="17"/>
        <v>0</v>
      </c>
    </row>
    <row r="127" spans="1:6">
      <c r="B127" s="64">
        <v>114</v>
      </c>
      <c r="C127" s="397">
        <f t="shared" si="14"/>
        <v>0</v>
      </c>
      <c r="D127" s="398">
        <f t="shared" si="15"/>
        <v>0</v>
      </c>
      <c r="E127" s="398">
        <f t="shared" si="16"/>
        <v>0</v>
      </c>
      <c r="F127" s="398">
        <f t="shared" si="17"/>
        <v>0</v>
      </c>
    </row>
    <row r="128" spans="1:6">
      <c r="B128" s="64">
        <v>115</v>
      </c>
      <c r="C128" s="397">
        <f t="shared" si="14"/>
        <v>0</v>
      </c>
      <c r="D128" s="398">
        <f t="shared" si="15"/>
        <v>0</v>
      </c>
      <c r="E128" s="398">
        <f t="shared" si="16"/>
        <v>0</v>
      </c>
      <c r="F128" s="398">
        <f t="shared" si="17"/>
        <v>0</v>
      </c>
    </row>
    <row r="129" spans="2:6">
      <c r="B129" s="64">
        <v>116</v>
      </c>
      <c r="C129" s="397">
        <f t="shared" si="14"/>
        <v>0</v>
      </c>
      <c r="D129" s="398">
        <f t="shared" si="15"/>
        <v>0</v>
      </c>
      <c r="E129" s="398">
        <f t="shared" si="16"/>
        <v>0</v>
      </c>
      <c r="F129" s="398">
        <f t="shared" si="17"/>
        <v>0</v>
      </c>
    </row>
    <row r="130" spans="2:6">
      <c r="B130" s="64">
        <v>117</v>
      </c>
      <c r="C130" s="397">
        <f t="shared" si="14"/>
        <v>0</v>
      </c>
      <c r="D130" s="398">
        <f t="shared" si="15"/>
        <v>0</v>
      </c>
      <c r="E130" s="398">
        <f t="shared" si="16"/>
        <v>0</v>
      </c>
      <c r="F130" s="398">
        <f t="shared" si="17"/>
        <v>0</v>
      </c>
    </row>
    <row r="131" spans="2:6">
      <c r="B131" s="64">
        <v>118</v>
      </c>
      <c r="C131" s="397">
        <f t="shared" si="14"/>
        <v>0</v>
      </c>
      <c r="D131" s="398">
        <f t="shared" si="15"/>
        <v>0</v>
      </c>
      <c r="E131" s="398">
        <f t="shared" si="16"/>
        <v>0</v>
      </c>
      <c r="F131" s="398">
        <f t="shared" si="17"/>
        <v>0</v>
      </c>
    </row>
    <row r="132" spans="2:6">
      <c r="B132" s="64">
        <v>119</v>
      </c>
      <c r="C132" s="397">
        <f t="shared" si="14"/>
        <v>0</v>
      </c>
      <c r="D132" s="398">
        <f t="shared" si="15"/>
        <v>0</v>
      </c>
      <c r="E132" s="398">
        <f t="shared" si="16"/>
        <v>0</v>
      </c>
      <c r="F132" s="398">
        <f t="shared" si="17"/>
        <v>0</v>
      </c>
    </row>
    <row r="133" spans="2:6">
      <c r="B133" s="64">
        <v>120</v>
      </c>
      <c r="C133" s="397">
        <f t="shared" si="14"/>
        <v>0</v>
      </c>
      <c r="D133" s="398">
        <f t="shared" si="15"/>
        <v>0</v>
      </c>
      <c r="E133" s="398">
        <f t="shared" si="16"/>
        <v>0</v>
      </c>
      <c r="F133" s="398">
        <f t="shared" si="17"/>
        <v>0</v>
      </c>
    </row>
    <row r="134" spans="2:6">
      <c r="B134" s="64">
        <v>121</v>
      </c>
      <c r="C134" s="397">
        <f t="shared" si="14"/>
        <v>0</v>
      </c>
      <c r="D134" s="398">
        <f t="shared" si="15"/>
        <v>0</v>
      </c>
      <c r="E134" s="398">
        <f t="shared" si="16"/>
        <v>0</v>
      </c>
      <c r="F134" s="398">
        <f t="shared" si="17"/>
        <v>0</v>
      </c>
    </row>
    <row r="135" spans="2:6">
      <c r="B135" s="64">
        <v>122</v>
      </c>
      <c r="C135" s="397">
        <f t="shared" si="14"/>
        <v>0</v>
      </c>
      <c r="D135" s="398">
        <f t="shared" si="15"/>
        <v>0</v>
      </c>
      <c r="E135" s="398">
        <f t="shared" si="16"/>
        <v>0</v>
      </c>
      <c r="F135" s="398">
        <f t="shared" si="17"/>
        <v>0</v>
      </c>
    </row>
    <row r="136" spans="2:6">
      <c r="B136" s="64">
        <v>123</v>
      </c>
      <c r="C136" s="397">
        <f t="shared" si="14"/>
        <v>0</v>
      </c>
      <c r="D136" s="398">
        <f t="shared" si="15"/>
        <v>0</v>
      </c>
      <c r="E136" s="398">
        <f t="shared" si="16"/>
        <v>0</v>
      </c>
      <c r="F136" s="398">
        <f t="shared" si="17"/>
        <v>0</v>
      </c>
    </row>
    <row r="137" spans="2:6">
      <c r="B137" s="64">
        <v>124</v>
      </c>
      <c r="C137" s="397">
        <f t="shared" si="14"/>
        <v>0</v>
      </c>
      <c r="D137" s="398">
        <f t="shared" si="15"/>
        <v>0</v>
      </c>
      <c r="E137" s="398">
        <f t="shared" si="16"/>
        <v>0</v>
      </c>
      <c r="F137" s="398">
        <f t="shared" si="17"/>
        <v>0</v>
      </c>
    </row>
    <row r="138" spans="2:6">
      <c r="B138" s="64">
        <v>125</v>
      </c>
      <c r="C138" s="397">
        <f t="shared" si="14"/>
        <v>0</v>
      </c>
      <c r="D138" s="398">
        <f t="shared" si="15"/>
        <v>0</v>
      </c>
      <c r="E138" s="398">
        <f t="shared" si="16"/>
        <v>0</v>
      </c>
      <c r="F138" s="398">
        <f t="shared" si="17"/>
        <v>0</v>
      </c>
    </row>
    <row r="139" spans="2:6">
      <c r="B139" s="64">
        <v>126</v>
      </c>
      <c r="C139" s="397">
        <f t="shared" si="14"/>
        <v>0</v>
      </c>
      <c r="D139" s="398">
        <f t="shared" si="15"/>
        <v>0</v>
      </c>
      <c r="E139" s="398">
        <f t="shared" si="16"/>
        <v>0</v>
      </c>
      <c r="F139" s="398">
        <f t="shared" si="17"/>
        <v>0</v>
      </c>
    </row>
    <row r="140" spans="2:6">
      <c r="B140" s="64">
        <v>127</v>
      </c>
      <c r="C140" s="397">
        <f t="shared" si="14"/>
        <v>0</v>
      </c>
      <c r="D140" s="398">
        <f t="shared" si="15"/>
        <v>0</v>
      </c>
      <c r="E140" s="398">
        <f t="shared" si="16"/>
        <v>0</v>
      </c>
      <c r="F140" s="398">
        <f t="shared" si="17"/>
        <v>0</v>
      </c>
    </row>
    <row r="141" spans="2:6">
      <c r="B141" s="64">
        <v>128</v>
      </c>
      <c r="C141" s="397">
        <f t="shared" si="14"/>
        <v>0</v>
      </c>
      <c r="D141" s="398">
        <f t="shared" si="15"/>
        <v>0</v>
      </c>
      <c r="E141" s="398">
        <f t="shared" si="16"/>
        <v>0</v>
      </c>
      <c r="F141" s="398">
        <f t="shared" si="17"/>
        <v>0</v>
      </c>
    </row>
    <row r="142" spans="2:6">
      <c r="B142" s="64">
        <v>129</v>
      </c>
      <c r="C142" s="397">
        <f t="shared" si="14"/>
        <v>0</v>
      </c>
      <c r="D142" s="398">
        <f t="shared" si="15"/>
        <v>0</v>
      </c>
      <c r="E142" s="398">
        <f t="shared" si="16"/>
        <v>0</v>
      </c>
      <c r="F142" s="398">
        <f t="shared" si="17"/>
        <v>0</v>
      </c>
    </row>
    <row r="143" spans="2:6">
      <c r="B143" s="64">
        <v>130</v>
      </c>
      <c r="C143" s="397">
        <f t="shared" si="14"/>
        <v>0</v>
      </c>
      <c r="D143" s="398">
        <f t="shared" si="15"/>
        <v>0</v>
      </c>
      <c r="E143" s="398">
        <f t="shared" si="16"/>
        <v>0</v>
      </c>
      <c r="F143" s="398">
        <f t="shared" si="17"/>
        <v>0</v>
      </c>
    </row>
    <row r="144" spans="2:6">
      <c r="B144" s="64">
        <v>131</v>
      </c>
      <c r="C144" s="397">
        <f t="shared" ref="C144:C207" si="18">IF(F143&gt;$C$7,$C$7,F143+D144)</f>
        <v>0</v>
      </c>
      <c r="D144" s="398">
        <f t="shared" ref="D144:D207" si="19">+$C$5*F143/12</f>
        <v>0</v>
      </c>
      <c r="E144" s="398">
        <f t="shared" ref="E144:E207" si="20">+C144-D144</f>
        <v>0</v>
      </c>
      <c r="F144" s="398">
        <f t="shared" ref="F144:F207" si="21">+F143-E144</f>
        <v>0</v>
      </c>
    </row>
    <row r="145" spans="2:6">
      <c r="B145" s="64">
        <v>132</v>
      </c>
      <c r="C145" s="397">
        <f t="shared" si="18"/>
        <v>0</v>
      </c>
      <c r="D145" s="398">
        <f t="shared" si="19"/>
        <v>0</v>
      </c>
      <c r="E145" s="398">
        <f t="shared" si="20"/>
        <v>0</v>
      </c>
      <c r="F145" s="398">
        <f t="shared" si="21"/>
        <v>0</v>
      </c>
    </row>
    <row r="146" spans="2:6">
      <c r="B146" s="64">
        <v>133</v>
      </c>
      <c r="C146" s="397">
        <f t="shared" si="18"/>
        <v>0</v>
      </c>
      <c r="D146" s="398">
        <f t="shared" si="19"/>
        <v>0</v>
      </c>
      <c r="E146" s="398">
        <f t="shared" si="20"/>
        <v>0</v>
      </c>
      <c r="F146" s="398">
        <f t="shared" si="21"/>
        <v>0</v>
      </c>
    </row>
    <row r="147" spans="2:6">
      <c r="B147" s="64">
        <v>134</v>
      </c>
      <c r="C147" s="397">
        <f t="shared" si="18"/>
        <v>0</v>
      </c>
      <c r="D147" s="398">
        <f t="shared" si="19"/>
        <v>0</v>
      </c>
      <c r="E147" s="398">
        <f t="shared" si="20"/>
        <v>0</v>
      </c>
      <c r="F147" s="398">
        <f t="shared" si="21"/>
        <v>0</v>
      </c>
    </row>
    <row r="148" spans="2:6">
      <c r="B148" s="64">
        <v>135</v>
      </c>
      <c r="C148" s="397">
        <f t="shared" si="18"/>
        <v>0</v>
      </c>
      <c r="D148" s="398">
        <f t="shared" si="19"/>
        <v>0</v>
      </c>
      <c r="E148" s="398">
        <f t="shared" si="20"/>
        <v>0</v>
      </c>
      <c r="F148" s="398">
        <f t="shared" si="21"/>
        <v>0</v>
      </c>
    </row>
    <row r="149" spans="2:6">
      <c r="B149" s="64">
        <v>136</v>
      </c>
      <c r="C149" s="397">
        <f t="shared" si="18"/>
        <v>0</v>
      </c>
      <c r="D149" s="398">
        <f t="shared" si="19"/>
        <v>0</v>
      </c>
      <c r="E149" s="398">
        <f t="shared" si="20"/>
        <v>0</v>
      </c>
      <c r="F149" s="398">
        <f t="shared" si="21"/>
        <v>0</v>
      </c>
    </row>
    <row r="150" spans="2:6">
      <c r="B150" s="64">
        <v>137</v>
      </c>
      <c r="C150" s="397">
        <f t="shared" si="18"/>
        <v>0</v>
      </c>
      <c r="D150" s="398">
        <f t="shared" si="19"/>
        <v>0</v>
      </c>
      <c r="E150" s="398">
        <f t="shared" si="20"/>
        <v>0</v>
      </c>
      <c r="F150" s="398">
        <f t="shared" si="21"/>
        <v>0</v>
      </c>
    </row>
    <row r="151" spans="2:6">
      <c r="B151" s="64">
        <v>138</v>
      </c>
      <c r="C151" s="397">
        <f t="shared" si="18"/>
        <v>0</v>
      </c>
      <c r="D151" s="398">
        <f t="shared" si="19"/>
        <v>0</v>
      </c>
      <c r="E151" s="398">
        <f t="shared" si="20"/>
        <v>0</v>
      </c>
      <c r="F151" s="398">
        <f t="shared" si="21"/>
        <v>0</v>
      </c>
    </row>
    <row r="152" spans="2:6">
      <c r="B152" s="64">
        <v>139</v>
      </c>
      <c r="C152" s="397">
        <f t="shared" si="18"/>
        <v>0</v>
      </c>
      <c r="D152" s="398">
        <f t="shared" si="19"/>
        <v>0</v>
      </c>
      <c r="E152" s="398">
        <f t="shared" si="20"/>
        <v>0</v>
      </c>
      <c r="F152" s="398">
        <f t="shared" si="21"/>
        <v>0</v>
      </c>
    </row>
    <row r="153" spans="2:6">
      <c r="B153" s="64">
        <v>140</v>
      </c>
      <c r="C153" s="397">
        <f t="shared" si="18"/>
        <v>0</v>
      </c>
      <c r="D153" s="398">
        <f t="shared" si="19"/>
        <v>0</v>
      </c>
      <c r="E153" s="398">
        <f t="shared" si="20"/>
        <v>0</v>
      </c>
      <c r="F153" s="398">
        <f t="shared" si="21"/>
        <v>0</v>
      </c>
    </row>
    <row r="154" spans="2:6">
      <c r="B154" s="64">
        <v>141</v>
      </c>
      <c r="C154" s="397">
        <f t="shared" si="18"/>
        <v>0</v>
      </c>
      <c r="D154" s="398">
        <f t="shared" si="19"/>
        <v>0</v>
      </c>
      <c r="E154" s="398">
        <f t="shared" si="20"/>
        <v>0</v>
      </c>
      <c r="F154" s="398">
        <f t="shared" si="21"/>
        <v>0</v>
      </c>
    </row>
    <row r="155" spans="2:6">
      <c r="B155" s="64">
        <v>142</v>
      </c>
      <c r="C155" s="397">
        <f t="shared" si="18"/>
        <v>0</v>
      </c>
      <c r="D155" s="398">
        <f t="shared" si="19"/>
        <v>0</v>
      </c>
      <c r="E155" s="398">
        <f t="shared" si="20"/>
        <v>0</v>
      </c>
      <c r="F155" s="398">
        <f t="shared" si="21"/>
        <v>0</v>
      </c>
    </row>
    <row r="156" spans="2:6">
      <c r="B156" s="64">
        <v>143</v>
      </c>
      <c r="C156" s="397">
        <f t="shared" si="18"/>
        <v>0</v>
      </c>
      <c r="D156" s="398">
        <f t="shared" si="19"/>
        <v>0</v>
      </c>
      <c r="E156" s="398">
        <f t="shared" si="20"/>
        <v>0</v>
      </c>
      <c r="F156" s="398">
        <f t="shared" si="21"/>
        <v>0</v>
      </c>
    </row>
    <row r="157" spans="2:6">
      <c r="B157" s="64">
        <v>144</v>
      </c>
      <c r="C157" s="397">
        <f t="shared" si="18"/>
        <v>0</v>
      </c>
      <c r="D157" s="398">
        <f t="shared" si="19"/>
        <v>0</v>
      </c>
      <c r="E157" s="398">
        <f t="shared" si="20"/>
        <v>0</v>
      </c>
      <c r="F157" s="398">
        <f t="shared" si="21"/>
        <v>0</v>
      </c>
    </row>
    <row r="158" spans="2:6">
      <c r="B158" s="64">
        <v>145</v>
      </c>
      <c r="C158" s="397">
        <f t="shared" si="18"/>
        <v>0</v>
      </c>
      <c r="D158" s="398">
        <f t="shared" si="19"/>
        <v>0</v>
      </c>
      <c r="E158" s="398">
        <f t="shared" si="20"/>
        <v>0</v>
      </c>
      <c r="F158" s="398">
        <f t="shared" si="21"/>
        <v>0</v>
      </c>
    </row>
    <row r="159" spans="2:6">
      <c r="B159" s="64">
        <v>146</v>
      </c>
      <c r="C159" s="397">
        <f t="shared" si="18"/>
        <v>0</v>
      </c>
      <c r="D159" s="398">
        <f t="shared" si="19"/>
        <v>0</v>
      </c>
      <c r="E159" s="398">
        <f t="shared" si="20"/>
        <v>0</v>
      </c>
      <c r="F159" s="398">
        <f t="shared" si="21"/>
        <v>0</v>
      </c>
    </row>
    <row r="160" spans="2:6">
      <c r="B160" s="64">
        <v>147</v>
      </c>
      <c r="C160" s="397">
        <f t="shared" si="18"/>
        <v>0</v>
      </c>
      <c r="D160" s="398">
        <f t="shared" si="19"/>
        <v>0</v>
      </c>
      <c r="E160" s="398">
        <f t="shared" si="20"/>
        <v>0</v>
      </c>
      <c r="F160" s="398">
        <f t="shared" si="21"/>
        <v>0</v>
      </c>
    </row>
    <row r="161" spans="2:6">
      <c r="B161" s="64">
        <v>148</v>
      </c>
      <c r="C161" s="397">
        <f t="shared" si="18"/>
        <v>0</v>
      </c>
      <c r="D161" s="398">
        <f t="shared" si="19"/>
        <v>0</v>
      </c>
      <c r="E161" s="398">
        <f t="shared" si="20"/>
        <v>0</v>
      </c>
      <c r="F161" s="398">
        <f t="shared" si="21"/>
        <v>0</v>
      </c>
    </row>
    <row r="162" spans="2:6">
      <c r="B162" s="64">
        <v>149</v>
      </c>
      <c r="C162" s="397">
        <f t="shared" si="18"/>
        <v>0</v>
      </c>
      <c r="D162" s="398">
        <f t="shared" si="19"/>
        <v>0</v>
      </c>
      <c r="E162" s="398">
        <f t="shared" si="20"/>
        <v>0</v>
      </c>
      <c r="F162" s="398">
        <f t="shared" si="21"/>
        <v>0</v>
      </c>
    </row>
    <row r="163" spans="2:6">
      <c r="B163" s="64">
        <v>150</v>
      </c>
      <c r="C163" s="397">
        <f t="shared" si="18"/>
        <v>0</v>
      </c>
      <c r="D163" s="398">
        <f t="shared" si="19"/>
        <v>0</v>
      </c>
      <c r="E163" s="398">
        <f t="shared" si="20"/>
        <v>0</v>
      </c>
      <c r="F163" s="398">
        <f t="shared" si="21"/>
        <v>0</v>
      </c>
    </row>
    <row r="164" spans="2:6">
      <c r="B164" s="64">
        <v>151</v>
      </c>
      <c r="C164" s="397">
        <f t="shared" si="18"/>
        <v>0</v>
      </c>
      <c r="D164" s="398">
        <f t="shared" si="19"/>
        <v>0</v>
      </c>
      <c r="E164" s="398">
        <f t="shared" si="20"/>
        <v>0</v>
      </c>
      <c r="F164" s="398">
        <f t="shared" si="21"/>
        <v>0</v>
      </c>
    </row>
    <row r="165" spans="2:6">
      <c r="B165" s="64">
        <v>152</v>
      </c>
      <c r="C165" s="397">
        <f t="shared" si="18"/>
        <v>0</v>
      </c>
      <c r="D165" s="398">
        <f t="shared" si="19"/>
        <v>0</v>
      </c>
      <c r="E165" s="398">
        <f t="shared" si="20"/>
        <v>0</v>
      </c>
      <c r="F165" s="398">
        <f t="shared" si="21"/>
        <v>0</v>
      </c>
    </row>
    <row r="166" spans="2:6">
      <c r="B166" s="64">
        <v>153</v>
      </c>
      <c r="C166" s="397">
        <f t="shared" si="18"/>
        <v>0</v>
      </c>
      <c r="D166" s="398">
        <f t="shared" si="19"/>
        <v>0</v>
      </c>
      <c r="E166" s="398">
        <f t="shared" si="20"/>
        <v>0</v>
      </c>
      <c r="F166" s="398">
        <f t="shared" si="21"/>
        <v>0</v>
      </c>
    </row>
    <row r="167" spans="2:6">
      <c r="B167" s="64">
        <v>154</v>
      </c>
      <c r="C167" s="397">
        <f t="shared" si="18"/>
        <v>0</v>
      </c>
      <c r="D167" s="398">
        <f t="shared" si="19"/>
        <v>0</v>
      </c>
      <c r="E167" s="398">
        <f t="shared" si="20"/>
        <v>0</v>
      </c>
      <c r="F167" s="398">
        <f t="shared" si="21"/>
        <v>0</v>
      </c>
    </row>
    <row r="168" spans="2:6">
      <c r="B168" s="64">
        <v>155</v>
      </c>
      <c r="C168" s="397">
        <f t="shared" si="18"/>
        <v>0</v>
      </c>
      <c r="D168" s="398">
        <f t="shared" si="19"/>
        <v>0</v>
      </c>
      <c r="E168" s="398">
        <f t="shared" si="20"/>
        <v>0</v>
      </c>
      <c r="F168" s="398">
        <f t="shared" si="21"/>
        <v>0</v>
      </c>
    </row>
    <row r="169" spans="2:6">
      <c r="B169" s="64">
        <v>156</v>
      </c>
      <c r="C169" s="397">
        <f t="shared" si="18"/>
        <v>0</v>
      </c>
      <c r="D169" s="398">
        <f t="shared" si="19"/>
        <v>0</v>
      </c>
      <c r="E169" s="398">
        <f t="shared" si="20"/>
        <v>0</v>
      </c>
      <c r="F169" s="398">
        <f t="shared" si="21"/>
        <v>0</v>
      </c>
    </row>
    <row r="170" spans="2:6">
      <c r="B170" s="64">
        <v>157</v>
      </c>
      <c r="C170" s="397">
        <f t="shared" si="18"/>
        <v>0</v>
      </c>
      <c r="D170" s="398">
        <f t="shared" si="19"/>
        <v>0</v>
      </c>
      <c r="E170" s="398">
        <f t="shared" si="20"/>
        <v>0</v>
      </c>
      <c r="F170" s="398">
        <f t="shared" si="21"/>
        <v>0</v>
      </c>
    </row>
    <row r="171" spans="2:6">
      <c r="B171" s="64">
        <v>158</v>
      </c>
      <c r="C171" s="397">
        <f t="shared" si="18"/>
        <v>0</v>
      </c>
      <c r="D171" s="398">
        <f t="shared" si="19"/>
        <v>0</v>
      </c>
      <c r="E171" s="398">
        <f t="shared" si="20"/>
        <v>0</v>
      </c>
      <c r="F171" s="398">
        <f t="shared" si="21"/>
        <v>0</v>
      </c>
    </row>
    <row r="172" spans="2:6">
      <c r="B172" s="64">
        <v>159</v>
      </c>
      <c r="C172" s="397">
        <f t="shared" si="18"/>
        <v>0</v>
      </c>
      <c r="D172" s="398">
        <f t="shared" si="19"/>
        <v>0</v>
      </c>
      <c r="E172" s="398">
        <f t="shared" si="20"/>
        <v>0</v>
      </c>
      <c r="F172" s="398">
        <f t="shared" si="21"/>
        <v>0</v>
      </c>
    </row>
    <row r="173" spans="2:6">
      <c r="B173" s="64">
        <v>160</v>
      </c>
      <c r="C173" s="397">
        <f t="shared" si="18"/>
        <v>0</v>
      </c>
      <c r="D173" s="398">
        <f t="shared" si="19"/>
        <v>0</v>
      </c>
      <c r="E173" s="398">
        <f t="shared" si="20"/>
        <v>0</v>
      </c>
      <c r="F173" s="398">
        <f t="shared" si="21"/>
        <v>0</v>
      </c>
    </row>
    <row r="174" spans="2:6">
      <c r="B174" s="64">
        <v>161</v>
      </c>
      <c r="C174" s="397">
        <f t="shared" si="18"/>
        <v>0</v>
      </c>
      <c r="D174" s="398">
        <f t="shared" si="19"/>
        <v>0</v>
      </c>
      <c r="E174" s="398">
        <f t="shared" si="20"/>
        <v>0</v>
      </c>
      <c r="F174" s="398">
        <f t="shared" si="21"/>
        <v>0</v>
      </c>
    </row>
    <row r="175" spans="2:6">
      <c r="B175" s="64">
        <v>162</v>
      </c>
      <c r="C175" s="397">
        <f t="shared" si="18"/>
        <v>0</v>
      </c>
      <c r="D175" s="398">
        <f t="shared" si="19"/>
        <v>0</v>
      </c>
      <c r="E175" s="398">
        <f t="shared" si="20"/>
        <v>0</v>
      </c>
      <c r="F175" s="398">
        <f t="shared" si="21"/>
        <v>0</v>
      </c>
    </row>
    <row r="176" spans="2:6">
      <c r="B176" s="64">
        <v>163</v>
      </c>
      <c r="C176" s="397">
        <f t="shared" si="18"/>
        <v>0</v>
      </c>
      <c r="D176" s="398">
        <f t="shared" si="19"/>
        <v>0</v>
      </c>
      <c r="E176" s="398">
        <f t="shared" si="20"/>
        <v>0</v>
      </c>
      <c r="F176" s="398">
        <f t="shared" si="21"/>
        <v>0</v>
      </c>
    </row>
    <row r="177" spans="2:6">
      <c r="B177" s="64">
        <v>164</v>
      </c>
      <c r="C177" s="397">
        <f t="shared" si="18"/>
        <v>0</v>
      </c>
      <c r="D177" s="398">
        <f t="shared" si="19"/>
        <v>0</v>
      </c>
      <c r="E177" s="398">
        <f t="shared" si="20"/>
        <v>0</v>
      </c>
      <c r="F177" s="398">
        <f t="shared" si="21"/>
        <v>0</v>
      </c>
    </row>
    <row r="178" spans="2:6">
      <c r="B178" s="64">
        <v>165</v>
      </c>
      <c r="C178" s="397">
        <f t="shared" si="18"/>
        <v>0</v>
      </c>
      <c r="D178" s="398">
        <f t="shared" si="19"/>
        <v>0</v>
      </c>
      <c r="E178" s="398">
        <f t="shared" si="20"/>
        <v>0</v>
      </c>
      <c r="F178" s="398">
        <f t="shared" si="21"/>
        <v>0</v>
      </c>
    </row>
    <row r="179" spans="2:6">
      <c r="B179" s="64">
        <v>166</v>
      </c>
      <c r="C179" s="397">
        <f t="shared" si="18"/>
        <v>0</v>
      </c>
      <c r="D179" s="398">
        <f t="shared" si="19"/>
        <v>0</v>
      </c>
      <c r="E179" s="398">
        <f t="shared" si="20"/>
        <v>0</v>
      </c>
      <c r="F179" s="398">
        <f t="shared" si="21"/>
        <v>0</v>
      </c>
    </row>
    <row r="180" spans="2:6">
      <c r="B180" s="64">
        <v>167</v>
      </c>
      <c r="C180" s="397">
        <f t="shared" si="18"/>
        <v>0</v>
      </c>
      <c r="D180" s="398">
        <f t="shared" si="19"/>
        <v>0</v>
      </c>
      <c r="E180" s="398">
        <f t="shared" si="20"/>
        <v>0</v>
      </c>
      <c r="F180" s="398">
        <f t="shared" si="21"/>
        <v>0</v>
      </c>
    </row>
    <row r="181" spans="2:6">
      <c r="B181" s="64">
        <v>168</v>
      </c>
      <c r="C181" s="397">
        <f t="shared" si="18"/>
        <v>0</v>
      </c>
      <c r="D181" s="398">
        <f t="shared" si="19"/>
        <v>0</v>
      </c>
      <c r="E181" s="398">
        <f t="shared" si="20"/>
        <v>0</v>
      </c>
      <c r="F181" s="398">
        <f t="shared" si="21"/>
        <v>0</v>
      </c>
    </row>
    <row r="182" spans="2:6">
      <c r="B182" s="64">
        <v>169</v>
      </c>
      <c r="C182" s="397">
        <f t="shared" si="18"/>
        <v>0</v>
      </c>
      <c r="D182" s="398">
        <f t="shared" si="19"/>
        <v>0</v>
      </c>
      <c r="E182" s="398">
        <f t="shared" si="20"/>
        <v>0</v>
      </c>
      <c r="F182" s="398">
        <f t="shared" si="21"/>
        <v>0</v>
      </c>
    </row>
    <row r="183" spans="2:6">
      <c r="B183" s="64">
        <v>170</v>
      </c>
      <c r="C183" s="397">
        <f t="shared" si="18"/>
        <v>0</v>
      </c>
      <c r="D183" s="398">
        <f t="shared" si="19"/>
        <v>0</v>
      </c>
      <c r="E183" s="398">
        <f t="shared" si="20"/>
        <v>0</v>
      </c>
      <c r="F183" s="398">
        <f t="shared" si="21"/>
        <v>0</v>
      </c>
    </row>
    <row r="184" spans="2:6">
      <c r="B184" s="64">
        <v>171</v>
      </c>
      <c r="C184" s="397">
        <f t="shared" si="18"/>
        <v>0</v>
      </c>
      <c r="D184" s="398">
        <f t="shared" si="19"/>
        <v>0</v>
      </c>
      <c r="E184" s="398">
        <f t="shared" si="20"/>
        <v>0</v>
      </c>
      <c r="F184" s="398">
        <f t="shared" si="21"/>
        <v>0</v>
      </c>
    </row>
    <row r="185" spans="2:6">
      <c r="B185" s="64">
        <v>172</v>
      </c>
      <c r="C185" s="397">
        <f t="shared" si="18"/>
        <v>0</v>
      </c>
      <c r="D185" s="398">
        <f t="shared" si="19"/>
        <v>0</v>
      </c>
      <c r="E185" s="398">
        <f t="shared" si="20"/>
        <v>0</v>
      </c>
      <c r="F185" s="398">
        <f t="shared" si="21"/>
        <v>0</v>
      </c>
    </row>
    <row r="186" spans="2:6">
      <c r="B186" s="64">
        <v>173</v>
      </c>
      <c r="C186" s="397">
        <f t="shared" si="18"/>
        <v>0</v>
      </c>
      <c r="D186" s="398">
        <f t="shared" si="19"/>
        <v>0</v>
      </c>
      <c r="E186" s="398">
        <f t="shared" si="20"/>
        <v>0</v>
      </c>
      <c r="F186" s="398">
        <f t="shared" si="21"/>
        <v>0</v>
      </c>
    </row>
    <row r="187" spans="2:6">
      <c r="B187" s="64">
        <v>174</v>
      </c>
      <c r="C187" s="397">
        <f t="shared" si="18"/>
        <v>0</v>
      </c>
      <c r="D187" s="398">
        <f t="shared" si="19"/>
        <v>0</v>
      </c>
      <c r="E187" s="398">
        <f t="shared" si="20"/>
        <v>0</v>
      </c>
      <c r="F187" s="398">
        <f t="shared" si="21"/>
        <v>0</v>
      </c>
    </row>
    <row r="188" spans="2:6">
      <c r="B188" s="64">
        <v>175</v>
      </c>
      <c r="C188" s="397">
        <f t="shared" si="18"/>
        <v>0</v>
      </c>
      <c r="D188" s="398">
        <f t="shared" si="19"/>
        <v>0</v>
      </c>
      <c r="E188" s="398">
        <f t="shared" si="20"/>
        <v>0</v>
      </c>
      <c r="F188" s="398">
        <f t="shared" si="21"/>
        <v>0</v>
      </c>
    </row>
    <row r="189" spans="2:6">
      <c r="B189" s="64">
        <v>176</v>
      </c>
      <c r="C189" s="397">
        <f t="shared" si="18"/>
        <v>0</v>
      </c>
      <c r="D189" s="398">
        <f t="shared" si="19"/>
        <v>0</v>
      </c>
      <c r="E189" s="398">
        <f t="shared" si="20"/>
        <v>0</v>
      </c>
      <c r="F189" s="398">
        <f t="shared" si="21"/>
        <v>0</v>
      </c>
    </row>
    <row r="190" spans="2:6">
      <c r="B190" s="64">
        <v>177</v>
      </c>
      <c r="C190" s="397">
        <f t="shared" si="18"/>
        <v>0</v>
      </c>
      <c r="D190" s="398">
        <f t="shared" si="19"/>
        <v>0</v>
      </c>
      <c r="E190" s="398">
        <f t="shared" si="20"/>
        <v>0</v>
      </c>
      <c r="F190" s="398">
        <f t="shared" si="21"/>
        <v>0</v>
      </c>
    </row>
    <row r="191" spans="2:6">
      <c r="B191" s="64">
        <v>178</v>
      </c>
      <c r="C191" s="397">
        <f t="shared" si="18"/>
        <v>0</v>
      </c>
      <c r="D191" s="398">
        <f t="shared" si="19"/>
        <v>0</v>
      </c>
      <c r="E191" s="398">
        <f t="shared" si="20"/>
        <v>0</v>
      </c>
      <c r="F191" s="398">
        <f t="shared" si="21"/>
        <v>0</v>
      </c>
    </row>
    <row r="192" spans="2:6">
      <c r="B192" s="64">
        <v>179</v>
      </c>
      <c r="C192" s="397">
        <f t="shared" si="18"/>
        <v>0</v>
      </c>
      <c r="D192" s="398">
        <f t="shared" si="19"/>
        <v>0</v>
      </c>
      <c r="E192" s="398">
        <f t="shared" si="20"/>
        <v>0</v>
      </c>
      <c r="F192" s="398">
        <f t="shared" si="21"/>
        <v>0</v>
      </c>
    </row>
    <row r="193" spans="2:6">
      <c r="B193" s="64">
        <v>180</v>
      </c>
      <c r="C193" s="397">
        <f t="shared" si="18"/>
        <v>0</v>
      </c>
      <c r="D193" s="398">
        <f t="shared" si="19"/>
        <v>0</v>
      </c>
      <c r="E193" s="398">
        <f t="shared" si="20"/>
        <v>0</v>
      </c>
      <c r="F193" s="398">
        <f t="shared" si="21"/>
        <v>0</v>
      </c>
    </row>
    <row r="194" spans="2:6">
      <c r="B194" s="64">
        <v>181</v>
      </c>
      <c r="C194" s="397">
        <f t="shared" si="18"/>
        <v>0</v>
      </c>
      <c r="D194" s="398">
        <f t="shared" si="19"/>
        <v>0</v>
      </c>
      <c r="E194" s="398">
        <f t="shared" si="20"/>
        <v>0</v>
      </c>
      <c r="F194" s="398">
        <f t="shared" si="21"/>
        <v>0</v>
      </c>
    </row>
    <row r="195" spans="2:6">
      <c r="B195" s="64">
        <v>182</v>
      </c>
      <c r="C195" s="397">
        <f t="shared" si="18"/>
        <v>0</v>
      </c>
      <c r="D195" s="398">
        <f t="shared" si="19"/>
        <v>0</v>
      </c>
      <c r="E195" s="398">
        <f t="shared" si="20"/>
        <v>0</v>
      </c>
      <c r="F195" s="398">
        <f t="shared" si="21"/>
        <v>0</v>
      </c>
    </row>
    <row r="196" spans="2:6">
      <c r="B196" s="64">
        <v>183</v>
      </c>
      <c r="C196" s="397">
        <f t="shared" si="18"/>
        <v>0</v>
      </c>
      <c r="D196" s="398">
        <f t="shared" si="19"/>
        <v>0</v>
      </c>
      <c r="E196" s="398">
        <f t="shared" si="20"/>
        <v>0</v>
      </c>
      <c r="F196" s="398">
        <f t="shared" si="21"/>
        <v>0</v>
      </c>
    </row>
    <row r="197" spans="2:6">
      <c r="B197" s="64">
        <v>184</v>
      </c>
      <c r="C197" s="397">
        <f t="shared" si="18"/>
        <v>0</v>
      </c>
      <c r="D197" s="398">
        <f t="shared" si="19"/>
        <v>0</v>
      </c>
      <c r="E197" s="398">
        <f t="shared" si="20"/>
        <v>0</v>
      </c>
      <c r="F197" s="398">
        <f t="shared" si="21"/>
        <v>0</v>
      </c>
    </row>
    <row r="198" spans="2:6">
      <c r="B198" s="64">
        <v>185</v>
      </c>
      <c r="C198" s="397">
        <f t="shared" si="18"/>
        <v>0</v>
      </c>
      <c r="D198" s="398">
        <f t="shared" si="19"/>
        <v>0</v>
      </c>
      <c r="E198" s="398">
        <f t="shared" si="20"/>
        <v>0</v>
      </c>
      <c r="F198" s="398">
        <f t="shared" si="21"/>
        <v>0</v>
      </c>
    </row>
    <row r="199" spans="2:6">
      <c r="B199" s="64">
        <v>186</v>
      </c>
      <c r="C199" s="397">
        <f t="shared" si="18"/>
        <v>0</v>
      </c>
      <c r="D199" s="398">
        <f t="shared" si="19"/>
        <v>0</v>
      </c>
      <c r="E199" s="398">
        <f t="shared" si="20"/>
        <v>0</v>
      </c>
      <c r="F199" s="398">
        <f t="shared" si="21"/>
        <v>0</v>
      </c>
    </row>
    <row r="200" spans="2:6">
      <c r="B200" s="64">
        <v>187</v>
      </c>
      <c r="C200" s="397">
        <f t="shared" si="18"/>
        <v>0</v>
      </c>
      <c r="D200" s="398">
        <f t="shared" si="19"/>
        <v>0</v>
      </c>
      <c r="E200" s="398">
        <f t="shared" si="20"/>
        <v>0</v>
      </c>
      <c r="F200" s="398">
        <f t="shared" si="21"/>
        <v>0</v>
      </c>
    </row>
    <row r="201" spans="2:6">
      <c r="B201" s="64">
        <v>188</v>
      </c>
      <c r="C201" s="397">
        <f t="shared" si="18"/>
        <v>0</v>
      </c>
      <c r="D201" s="398">
        <f t="shared" si="19"/>
        <v>0</v>
      </c>
      <c r="E201" s="398">
        <f t="shared" si="20"/>
        <v>0</v>
      </c>
      <c r="F201" s="398">
        <f t="shared" si="21"/>
        <v>0</v>
      </c>
    </row>
    <row r="202" spans="2:6">
      <c r="B202" s="64">
        <v>189</v>
      </c>
      <c r="C202" s="397">
        <f t="shared" si="18"/>
        <v>0</v>
      </c>
      <c r="D202" s="398">
        <f t="shared" si="19"/>
        <v>0</v>
      </c>
      <c r="E202" s="398">
        <f t="shared" si="20"/>
        <v>0</v>
      </c>
      <c r="F202" s="398">
        <f t="shared" si="21"/>
        <v>0</v>
      </c>
    </row>
    <row r="203" spans="2:6">
      <c r="B203" s="64">
        <v>190</v>
      </c>
      <c r="C203" s="397">
        <f t="shared" si="18"/>
        <v>0</v>
      </c>
      <c r="D203" s="398">
        <f t="shared" si="19"/>
        <v>0</v>
      </c>
      <c r="E203" s="398">
        <f t="shared" si="20"/>
        <v>0</v>
      </c>
      <c r="F203" s="398">
        <f t="shared" si="21"/>
        <v>0</v>
      </c>
    </row>
    <row r="204" spans="2:6">
      <c r="B204" s="64">
        <v>191</v>
      </c>
      <c r="C204" s="397">
        <f t="shared" si="18"/>
        <v>0</v>
      </c>
      <c r="D204" s="398">
        <f t="shared" si="19"/>
        <v>0</v>
      </c>
      <c r="E204" s="398">
        <f t="shared" si="20"/>
        <v>0</v>
      </c>
      <c r="F204" s="398">
        <f t="shared" si="21"/>
        <v>0</v>
      </c>
    </row>
    <row r="205" spans="2:6">
      <c r="B205" s="64">
        <v>192</v>
      </c>
      <c r="C205" s="397">
        <f t="shared" si="18"/>
        <v>0</v>
      </c>
      <c r="D205" s="398">
        <f t="shared" si="19"/>
        <v>0</v>
      </c>
      <c r="E205" s="398">
        <f t="shared" si="20"/>
        <v>0</v>
      </c>
      <c r="F205" s="398">
        <f t="shared" si="21"/>
        <v>0</v>
      </c>
    </row>
    <row r="206" spans="2:6">
      <c r="B206" s="64">
        <v>193</v>
      </c>
      <c r="C206" s="397">
        <f t="shared" si="18"/>
        <v>0</v>
      </c>
      <c r="D206" s="398">
        <f t="shared" si="19"/>
        <v>0</v>
      </c>
      <c r="E206" s="398">
        <f t="shared" si="20"/>
        <v>0</v>
      </c>
      <c r="F206" s="398">
        <f t="shared" si="21"/>
        <v>0</v>
      </c>
    </row>
    <row r="207" spans="2:6">
      <c r="B207" s="64">
        <v>194</v>
      </c>
      <c r="C207" s="397">
        <f t="shared" si="18"/>
        <v>0</v>
      </c>
      <c r="D207" s="398">
        <f t="shared" si="19"/>
        <v>0</v>
      </c>
      <c r="E207" s="398">
        <f t="shared" si="20"/>
        <v>0</v>
      </c>
      <c r="F207" s="398">
        <f t="shared" si="21"/>
        <v>0</v>
      </c>
    </row>
    <row r="208" spans="2:6">
      <c r="B208" s="64">
        <v>195</v>
      </c>
      <c r="C208" s="397">
        <f t="shared" ref="C208:C271" si="22">IF(F207&gt;$C$7,$C$7,F207+D208)</f>
        <v>0</v>
      </c>
      <c r="D208" s="398">
        <f t="shared" ref="D208:D271" si="23">+$C$5*F207/12</f>
        <v>0</v>
      </c>
      <c r="E208" s="398">
        <f t="shared" ref="E208:E271" si="24">+C208-D208</f>
        <v>0</v>
      </c>
      <c r="F208" s="398">
        <f t="shared" ref="F208:F271" si="25">+F207-E208</f>
        <v>0</v>
      </c>
    </row>
    <row r="209" spans="2:6">
      <c r="B209" s="64">
        <v>196</v>
      </c>
      <c r="C209" s="397">
        <f t="shared" si="22"/>
        <v>0</v>
      </c>
      <c r="D209" s="398">
        <f t="shared" si="23"/>
        <v>0</v>
      </c>
      <c r="E209" s="398">
        <f t="shared" si="24"/>
        <v>0</v>
      </c>
      <c r="F209" s="398">
        <f t="shared" si="25"/>
        <v>0</v>
      </c>
    </row>
    <row r="210" spans="2:6">
      <c r="B210" s="64">
        <v>197</v>
      </c>
      <c r="C210" s="397">
        <f t="shared" si="22"/>
        <v>0</v>
      </c>
      <c r="D210" s="398">
        <f t="shared" si="23"/>
        <v>0</v>
      </c>
      <c r="E210" s="398">
        <f t="shared" si="24"/>
        <v>0</v>
      </c>
      <c r="F210" s="398">
        <f t="shared" si="25"/>
        <v>0</v>
      </c>
    </row>
    <row r="211" spans="2:6">
      <c r="B211" s="64">
        <v>198</v>
      </c>
      <c r="C211" s="397">
        <f t="shared" si="22"/>
        <v>0</v>
      </c>
      <c r="D211" s="398">
        <f t="shared" si="23"/>
        <v>0</v>
      </c>
      <c r="E211" s="398">
        <f t="shared" si="24"/>
        <v>0</v>
      </c>
      <c r="F211" s="398">
        <f t="shared" si="25"/>
        <v>0</v>
      </c>
    </row>
    <row r="212" spans="2:6">
      <c r="B212" s="64">
        <v>199</v>
      </c>
      <c r="C212" s="397">
        <f t="shared" si="22"/>
        <v>0</v>
      </c>
      <c r="D212" s="398">
        <f t="shared" si="23"/>
        <v>0</v>
      </c>
      <c r="E212" s="398">
        <f t="shared" si="24"/>
        <v>0</v>
      </c>
      <c r="F212" s="398">
        <f t="shared" si="25"/>
        <v>0</v>
      </c>
    </row>
    <row r="213" spans="2:6">
      <c r="B213" s="64">
        <v>200</v>
      </c>
      <c r="C213" s="397">
        <f t="shared" si="22"/>
        <v>0</v>
      </c>
      <c r="D213" s="398">
        <f t="shared" si="23"/>
        <v>0</v>
      </c>
      <c r="E213" s="398">
        <f t="shared" si="24"/>
        <v>0</v>
      </c>
      <c r="F213" s="398">
        <f t="shared" si="25"/>
        <v>0</v>
      </c>
    </row>
    <row r="214" spans="2:6">
      <c r="B214" s="64">
        <v>201</v>
      </c>
      <c r="C214" s="397">
        <f t="shared" si="22"/>
        <v>0</v>
      </c>
      <c r="D214" s="398">
        <f t="shared" si="23"/>
        <v>0</v>
      </c>
      <c r="E214" s="398">
        <f t="shared" si="24"/>
        <v>0</v>
      </c>
      <c r="F214" s="398">
        <f t="shared" si="25"/>
        <v>0</v>
      </c>
    </row>
    <row r="215" spans="2:6">
      <c r="B215" s="64">
        <v>202</v>
      </c>
      <c r="C215" s="397">
        <f t="shared" si="22"/>
        <v>0</v>
      </c>
      <c r="D215" s="398">
        <f t="shared" si="23"/>
        <v>0</v>
      </c>
      <c r="E215" s="398">
        <f t="shared" si="24"/>
        <v>0</v>
      </c>
      <c r="F215" s="398">
        <f t="shared" si="25"/>
        <v>0</v>
      </c>
    </row>
    <row r="216" spans="2:6">
      <c r="B216" s="64">
        <v>203</v>
      </c>
      <c r="C216" s="397">
        <f t="shared" si="22"/>
        <v>0</v>
      </c>
      <c r="D216" s="398">
        <f t="shared" si="23"/>
        <v>0</v>
      </c>
      <c r="E216" s="398">
        <f t="shared" si="24"/>
        <v>0</v>
      </c>
      <c r="F216" s="398">
        <f t="shared" si="25"/>
        <v>0</v>
      </c>
    </row>
    <row r="217" spans="2:6">
      <c r="B217" s="64">
        <v>204</v>
      </c>
      <c r="C217" s="397">
        <f t="shared" si="22"/>
        <v>0</v>
      </c>
      <c r="D217" s="398">
        <f t="shared" si="23"/>
        <v>0</v>
      </c>
      <c r="E217" s="398">
        <f t="shared" si="24"/>
        <v>0</v>
      </c>
      <c r="F217" s="398">
        <f t="shared" si="25"/>
        <v>0</v>
      </c>
    </row>
    <row r="218" spans="2:6">
      <c r="B218" s="64">
        <v>205</v>
      </c>
      <c r="C218" s="397">
        <f t="shared" si="22"/>
        <v>0</v>
      </c>
      <c r="D218" s="398">
        <f t="shared" si="23"/>
        <v>0</v>
      </c>
      <c r="E218" s="398">
        <f t="shared" si="24"/>
        <v>0</v>
      </c>
      <c r="F218" s="398">
        <f t="shared" si="25"/>
        <v>0</v>
      </c>
    </row>
    <row r="219" spans="2:6">
      <c r="B219" s="64">
        <v>206</v>
      </c>
      <c r="C219" s="397">
        <f t="shared" si="22"/>
        <v>0</v>
      </c>
      <c r="D219" s="398">
        <f t="shared" si="23"/>
        <v>0</v>
      </c>
      <c r="E219" s="398">
        <f t="shared" si="24"/>
        <v>0</v>
      </c>
      <c r="F219" s="398">
        <f t="shared" si="25"/>
        <v>0</v>
      </c>
    </row>
    <row r="220" spans="2:6">
      <c r="B220" s="64">
        <v>207</v>
      </c>
      <c r="C220" s="397">
        <f t="shared" si="22"/>
        <v>0</v>
      </c>
      <c r="D220" s="398">
        <f t="shared" si="23"/>
        <v>0</v>
      </c>
      <c r="E220" s="398">
        <f t="shared" si="24"/>
        <v>0</v>
      </c>
      <c r="F220" s="398">
        <f t="shared" si="25"/>
        <v>0</v>
      </c>
    </row>
    <row r="221" spans="2:6">
      <c r="B221" s="64">
        <v>208</v>
      </c>
      <c r="C221" s="397">
        <f t="shared" si="22"/>
        <v>0</v>
      </c>
      <c r="D221" s="398">
        <f t="shared" si="23"/>
        <v>0</v>
      </c>
      <c r="E221" s="398">
        <f t="shared" si="24"/>
        <v>0</v>
      </c>
      <c r="F221" s="398">
        <f t="shared" si="25"/>
        <v>0</v>
      </c>
    </row>
    <row r="222" spans="2:6">
      <c r="B222" s="64">
        <v>209</v>
      </c>
      <c r="C222" s="397">
        <f t="shared" si="22"/>
        <v>0</v>
      </c>
      <c r="D222" s="398">
        <f t="shared" si="23"/>
        <v>0</v>
      </c>
      <c r="E222" s="398">
        <f t="shared" si="24"/>
        <v>0</v>
      </c>
      <c r="F222" s="398">
        <f t="shared" si="25"/>
        <v>0</v>
      </c>
    </row>
    <row r="223" spans="2:6">
      <c r="B223" s="64">
        <v>210</v>
      </c>
      <c r="C223" s="397">
        <f t="shared" si="22"/>
        <v>0</v>
      </c>
      <c r="D223" s="398">
        <f t="shared" si="23"/>
        <v>0</v>
      </c>
      <c r="E223" s="398">
        <f t="shared" si="24"/>
        <v>0</v>
      </c>
      <c r="F223" s="398">
        <f t="shared" si="25"/>
        <v>0</v>
      </c>
    </row>
    <row r="224" spans="2:6">
      <c r="B224" s="64">
        <v>211</v>
      </c>
      <c r="C224" s="397">
        <f t="shared" si="22"/>
        <v>0</v>
      </c>
      <c r="D224" s="398">
        <f t="shared" si="23"/>
        <v>0</v>
      </c>
      <c r="E224" s="398">
        <f t="shared" si="24"/>
        <v>0</v>
      </c>
      <c r="F224" s="398">
        <f t="shared" si="25"/>
        <v>0</v>
      </c>
    </row>
    <row r="225" spans="2:6">
      <c r="B225" s="64">
        <v>212</v>
      </c>
      <c r="C225" s="397">
        <f t="shared" si="22"/>
        <v>0</v>
      </c>
      <c r="D225" s="398">
        <f t="shared" si="23"/>
        <v>0</v>
      </c>
      <c r="E225" s="398">
        <f t="shared" si="24"/>
        <v>0</v>
      </c>
      <c r="F225" s="398">
        <f t="shared" si="25"/>
        <v>0</v>
      </c>
    </row>
    <row r="226" spans="2:6">
      <c r="B226" s="64">
        <v>213</v>
      </c>
      <c r="C226" s="397">
        <f t="shared" si="22"/>
        <v>0</v>
      </c>
      <c r="D226" s="398">
        <f t="shared" si="23"/>
        <v>0</v>
      </c>
      <c r="E226" s="398">
        <f t="shared" si="24"/>
        <v>0</v>
      </c>
      <c r="F226" s="398">
        <f t="shared" si="25"/>
        <v>0</v>
      </c>
    </row>
    <row r="227" spans="2:6">
      <c r="B227" s="64">
        <v>214</v>
      </c>
      <c r="C227" s="397">
        <f t="shared" si="22"/>
        <v>0</v>
      </c>
      <c r="D227" s="398">
        <f t="shared" si="23"/>
        <v>0</v>
      </c>
      <c r="E227" s="398">
        <f t="shared" si="24"/>
        <v>0</v>
      </c>
      <c r="F227" s="398">
        <f t="shared" si="25"/>
        <v>0</v>
      </c>
    </row>
    <row r="228" spans="2:6">
      <c r="B228" s="64">
        <v>215</v>
      </c>
      <c r="C228" s="397">
        <f t="shared" si="22"/>
        <v>0</v>
      </c>
      <c r="D228" s="398">
        <f t="shared" si="23"/>
        <v>0</v>
      </c>
      <c r="E228" s="398">
        <f t="shared" si="24"/>
        <v>0</v>
      </c>
      <c r="F228" s="398">
        <f t="shared" si="25"/>
        <v>0</v>
      </c>
    </row>
    <row r="229" spans="2:6">
      <c r="B229" s="64">
        <v>216</v>
      </c>
      <c r="C229" s="397">
        <f t="shared" si="22"/>
        <v>0</v>
      </c>
      <c r="D229" s="398">
        <f t="shared" si="23"/>
        <v>0</v>
      </c>
      <c r="E229" s="398">
        <f t="shared" si="24"/>
        <v>0</v>
      </c>
      <c r="F229" s="398">
        <f t="shared" si="25"/>
        <v>0</v>
      </c>
    </row>
    <row r="230" spans="2:6">
      <c r="B230" s="64">
        <v>217</v>
      </c>
      <c r="C230" s="397">
        <f t="shared" si="22"/>
        <v>0</v>
      </c>
      <c r="D230" s="398">
        <f t="shared" si="23"/>
        <v>0</v>
      </c>
      <c r="E230" s="398">
        <f t="shared" si="24"/>
        <v>0</v>
      </c>
      <c r="F230" s="398">
        <f t="shared" si="25"/>
        <v>0</v>
      </c>
    </row>
    <row r="231" spans="2:6">
      <c r="B231" s="64">
        <v>218</v>
      </c>
      <c r="C231" s="397">
        <f t="shared" si="22"/>
        <v>0</v>
      </c>
      <c r="D231" s="398">
        <f t="shared" si="23"/>
        <v>0</v>
      </c>
      <c r="E231" s="398">
        <f t="shared" si="24"/>
        <v>0</v>
      </c>
      <c r="F231" s="398">
        <f t="shared" si="25"/>
        <v>0</v>
      </c>
    </row>
    <row r="232" spans="2:6">
      <c r="B232" s="64">
        <v>219</v>
      </c>
      <c r="C232" s="397">
        <f t="shared" si="22"/>
        <v>0</v>
      </c>
      <c r="D232" s="398">
        <f t="shared" si="23"/>
        <v>0</v>
      </c>
      <c r="E232" s="398">
        <f t="shared" si="24"/>
        <v>0</v>
      </c>
      <c r="F232" s="398">
        <f t="shared" si="25"/>
        <v>0</v>
      </c>
    </row>
    <row r="233" spans="2:6">
      <c r="B233" s="64">
        <v>220</v>
      </c>
      <c r="C233" s="397">
        <f t="shared" si="22"/>
        <v>0</v>
      </c>
      <c r="D233" s="398">
        <f t="shared" si="23"/>
        <v>0</v>
      </c>
      <c r="E233" s="398">
        <f t="shared" si="24"/>
        <v>0</v>
      </c>
      <c r="F233" s="398">
        <f t="shared" si="25"/>
        <v>0</v>
      </c>
    </row>
    <row r="234" spans="2:6">
      <c r="B234" s="64">
        <v>221</v>
      </c>
      <c r="C234" s="397">
        <f t="shared" si="22"/>
        <v>0</v>
      </c>
      <c r="D234" s="398">
        <f t="shared" si="23"/>
        <v>0</v>
      </c>
      <c r="E234" s="398">
        <f t="shared" si="24"/>
        <v>0</v>
      </c>
      <c r="F234" s="398">
        <f t="shared" si="25"/>
        <v>0</v>
      </c>
    </row>
    <row r="235" spans="2:6">
      <c r="B235" s="64">
        <v>222</v>
      </c>
      <c r="C235" s="397">
        <f t="shared" si="22"/>
        <v>0</v>
      </c>
      <c r="D235" s="398">
        <f t="shared" si="23"/>
        <v>0</v>
      </c>
      <c r="E235" s="398">
        <f t="shared" si="24"/>
        <v>0</v>
      </c>
      <c r="F235" s="398">
        <f t="shared" si="25"/>
        <v>0</v>
      </c>
    </row>
    <row r="236" spans="2:6">
      <c r="B236" s="64">
        <v>223</v>
      </c>
      <c r="C236" s="397">
        <f t="shared" si="22"/>
        <v>0</v>
      </c>
      <c r="D236" s="398">
        <f t="shared" si="23"/>
        <v>0</v>
      </c>
      <c r="E236" s="398">
        <f t="shared" si="24"/>
        <v>0</v>
      </c>
      <c r="F236" s="398">
        <f t="shared" si="25"/>
        <v>0</v>
      </c>
    </row>
    <row r="237" spans="2:6">
      <c r="B237" s="64">
        <v>224</v>
      </c>
      <c r="C237" s="397">
        <f t="shared" si="22"/>
        <v>0</v>
      </c>
      <c r="D237" s="398">
        <f t="shared" si="23"/>
        <v>0</v>
      </c>
      <c r="E237" s="398">
        <f t="shared" si="24"/>
        <v>0</v>
      </c>
      <c r="F237" s="398">
        <f t="shared" si="25"/>
        <v>0</v>
      </c>
    </row>
    <row r="238" spans="2:6">
      <c r="B238" s="64">
        <v>225</v>
      </c>
      <c r="C238" s="397">
        <f t="shared" si="22"/>
        <v>0</v>
      </c>
      <c r="D238" s="398">
        <f t="shared" si="23"/>
        <v>0</v>
      </c>
      <c r="E238" s="398">
        <f t="shared" si="24"/>
        <v>0</v>
      </c>
      <c r="F238" s="398">
        <f t="shared" si="25"/>
        <v>0</v>
      </c>
    </row>
    <row r="239" spans="2:6">
      <c r="B239" s="64">
        <v>226</v>
      </c>
      <c r="C239" s="397">
        <f t="shared" si="22"/>
        <v>0</v>
      </c>
      <c r="D239" s="398">
        <f t="shared" si="23"/>
        <v>0</v>
      </c>
      <c r="E239" s="398">
        <f t="shared" si="24"/>
        <v>0</v>
      </c>
      <c r="F239" s="398">
        <f t="shared" si="25"/>
        <v>0</v>
      </c>
    </row>
    <row r="240" spans="2:6">
      <c r="B240" s="64">
        <v>227</v>
      </c>
      <c r="C240" s="397">
        <f t="shared" si="22"/>
        <v>0</v>
      </c>
      <c r="D240" s="398">
        <f t="shared" si="23"/>
        <v>0</v>
      </c>
      <c r="E240" s="398">
        <f t="shared" si="24"/>
        <v>0</v>
      </c>
      <c r="F240" s="398">
        <f t="shared" si="25"/>
        <v>0</v>
      </c>
    </row>
    <row r="241" spans="2:6">
      <c r="B241" s="64">
        <v>228</v>
      </c>
      <c r="C241" s="397">
        <f t="shared" si="22"/>
        <v>0</v>
      </c>
      <c r="D241" s="398">
        <f t="shared" si="23"/>
        <v>0</v>
      </c>
      <c r="E241" s="398">
        <f t="shared" si="24"/>
        <v>0</v>
      </c>
      <c r="F241" s="398">
        <f t="shared" si="25"/>
        <v>0</v>
      </c>
    </row>
    <row r="242" spans="2:6">
      <c r="B242" s="64">
        <v>229</v>
      </c>
      <c r="C242" s="397">
        <f t="shared" si="22"/>
        <v>0</v>
      </c>
      <c r="D242" s="398">
        <f t="shared" si="23"/>
        <v>0</v>
      </c>
      <c r="E242" s="398">
        <f t="shared" si="24"/>
        <v>0</v>
      </c>
      <c r="F242" s="398">
        <f t="shared" si="25"/>
        <v>0</v>
      </c>
    </row>
    <row r="243" spans="2:6">
      <c r="B243" s="64">
        <v>230</v>
      </c>
      <c r="C243" s="397">
        <f t="shared" si="22"/>
        <v>0</v>
      </c>
      <c r="D243" s="398">
        <f t="shared" si="23"/>
        <v>0</v>
      </c>
      <c r="E243" s="398">
        <f t="shared" si="24"/>
        <v>0</v>
      </c>
      <c r="F243" s="398">
        <f t="shared" si="25"/>
        <v>0</v>
      </c>
    </row>
    <row r="244" spans="2:6">
      <c r="B244" s="64">
        <v>231</v>
      </c>
      <c r="C244" s="397">
        <f t="shared" si="22"/>
        <v>0</v>
      </c>
      <c r="D244" s="398">
        <f t="shared" si="23"/>
        <v>0</v>
      </c>
      <c r="E244" s="398">
        <f t="shared" si="24"/>
        <v>0</v>
      </c>
      <c r="F244" s="398">
        <f t="shared" si="25"/>
        <v>0</v>
      </c>
    </row>
    <row r="245" spans="2:6">
      <c r="B245" s="64">
        <v>232</v>
      </c>
      <c r="C245" s="397">
        <f t="shared" si="22"/>
        <v>0</v>
      </c>
      <c r="D245" s="398">
        <f t="shared" si="23"/>
        <v>0</v>
      </c>
      <c r="E245" s="398">
        <f t="shared" si="24"/>
        <v>0</v>
      </c>
      <c r="F245" s="398">
        <f t="shared" si="25"/>
        <v>0</v>
      </c>
    </row>
    <row r="246" spans="2:6">
      <c r="B246" s="64">
        <v>233</v>
      </c>
      <c r="C246" s="397">
        <f t="shared" si="22"/>
        <v>0</v>
      </c>
      <c r="D246" s="398">
        <f t="shared" si="23"/>
        <v>0</v>
      </c>
      <c r="E246" s="398">
        <f t="shared" si="24"/>
        <v>0</v>
      </c>
      <c r="F246" s="398">
        <f t="shared" si="25"/>
        <v>0</v>
      </c>
    </row>
    <row r="247" spans="2:6">
      <c r="B247" s="64">
        <v>234</v>
      </c>
      <c r="C247" s="397">
        <f t="shared" si="22"/>
        <v>0</v>
      </c>
      <c r="D247" s="398">
        <f t="shared" si="23"/>
        <v>0</v>
      </c>
      <c r="E247" s="398">
        <f t="shared" si="24"/>
        <v>0</v>
      </c>
      <c r="F247" s="398">
        <f t="shared" si="25"/>
        <v>0</v>
      </c>
    </row>
    <row r="248" spans="2:6">
      <c r="B248" s="64">
        <v>235</v>
      </c>
      <c r="C248" s="397">
        <f t="shared" si="22"/>
        <v>0</v>
      </c>
      <c r="D248" s="398">
        <f t="shared" si="23"/>
        <v>0</v>
      </c>
      <c r="E248" s="398">
        <f t="shared" si="24"/>
        <v>0</v>
      </c>
      <c r="F248" s="398">
        <f t="shared" si="25"/>
        <v>0</v>
      </c>
    </row>
    <row r="249" spans="2:6">
      <c r="B249" s="64">
        <v>236</v>
      </c>
      <c r="C249" s="397">
        <f t="shared" si="22"/>
        <v>0</v>
      </c>
      <c r="D249" s="398">
        <f t="shared" si="23"/>
        <v>0</v>
      </c>
      <c r="E249" s="398">
        <f t="shared" si="24"/>
        <v>0</v>
      </c>
      <c r="F249" s="398">
        <f t="shared" si="25"/>
        <v>0</v>
      </c>
    </row>
    <row r="250" spans="2:6">
      <c r="B250" s="64">
        <v>237</v>
      </c>
      <c r="C250" s="397">
        <f t="shared" si="22"/>
        <v>0</v>
      </c>
      <c r="D250" s="398">
        <f t="shared" si="23"/>
        <v>0</v>
      </c>
      <c r="E250" s="398">
        <f t="shared" si="24"/>
        <v>0</v>
      </c>
      <c r="F250" s="398">
        <f t="shared" si="25"/>
        <v>0</v>
      </c>
    </row>
    <row r="251" spans="2:6">
      <c r="B251" s="64">
        <v>238</v>
      </c>
      <c r="C251" s="397">
        <f t="shared" si="22"/>
        <v>0</v>
      </c>
      <c r="D251" s="398">
        <f t="shared" si="23"/>
        <v>0</v>
      </c>
      <c r="E251" s="398">
        <f t="shared" si="24"/>
        <v>0</v>
      </c>
      <c r="F251" s="398">
        <f t="shared" si="25"/>
        <v>0</v>
      </c>
    </row>
    <row r="252" spans="2:6">
      <c r="B252" s="64">
        <v>239</v>
      </c>
      <c r="C252" s="397">
        <f t="shared" si="22"/>
        <v>0</v>
      </c>
      <c r="D252" s="398">
        <f t="shared" si="23"/>
        <v>0</v>
      </c>
      <c r="E252" s="398">
        <f t="shared" si="24"/>
        <v>0</v>
      </c>
      <c r="F252" s="398">
        <f t="shared" si="25"/>
        <v>0</v>
      </c>
    </row>
    <row r="253" spans="2:6">
      <c r="B253" s="64">
        <v>240</v>
      </c>
      <c r="C253" s="397">
        <f t="shared" si="22"/>
        <v>0</v>
      </c>
      <c r="D253" s="398">
        <f t="shared" si="23"/>
        <v>0</v>
      </c>
      <c r="E253" s="398">
        <f t="shared" si="24"/>
        <v>0</v>
      </c>
      <c r="F253" s="398">
        <f t="shared" si="25"/>
        <v>0</v>
      </c>
    </row>
    <row r="254" spans="2:6">
      <c r="B254" s="64">
        <v>241</v>
      </c>
      <c r="C254" s="397">
        <f t="shared" si="22"/>
        <v>0</v>
      </c>
      <c r="D254" s="398">
        <f t="shared" si="23"/>
        <v>0</v>
      </c>
      <c r="E254" s="398">
        <f t="shared" si="24"/>
        <v>0</v>
      </c>
      <c r="F254" s="398">
        <f t="shared" si="25"/>
        <v>0</v>
      </c>
    </row>
    <row r="255" spans="2:6">
      <c r="B255" s="64">
        <v>242</v>
      </c>
      <c r="C255" s="397">
        <f t="shared" si="22"/>
        <v>0</v>
      </c>
      <c r="D255" s="398">
        <f t="shared" si="23"/>
        <v>0</v>
      </c>
      <c r="E255" s="398">
        <f t="shared" si="24"/>
        <v>0</v>
      </c>
      <c r="F255" s="398">
        <f t="shared" si="25"/>
        <v>0</v>
      </c>
    </row>
    <row r="256" spans="2:6">
      <c r="B256" s="64">
        <v>243</v>
      </c>
      <c r="C256" s="397">
        <f t="shared" si="22"/>
        <v>0</v>
      </c>
      <c r="D256" s="398">
        <f t="shared" si="23"/>
        <v>0</v>
      </c>
      <c r="E256" s="398">
        <f t="shared" si="24"/>
        <v>0</v>
      </c>
      <c r="F256" s="398">
        <f t="shared" si="25"/>
        <v>0</v>
      </c>
    </row>
    <row r="257" spans="2:6">
      <c r="B257" s="64">
        <v>244</v>
      </c>
      <c r="C257" s="397">
        <f t="shared" si="22"/>
        <v>0</v>
      </c>
      <c r="D257" s="398">
        <f t="shared" si="23"/>
        <v>0</v>
      </c>
      <c r="E257" s="398">
        <f t="shared" si="24"/>
        <v>0</v>
      </c>
      <c r="F257" s="398">
        <f t="shared" si="25"/>
        <v>0</v>
      </c>
    </row>
    <row r="258" spans="2:6">
      <c r="B258" s="64">
        <v>245</v>
      </c>
      <c r="C258" s="397">
        <f t="shared" si="22"/>
        <v>0</v>
      </c>
      <c r="D258" s="398">
        <f t="shared" si="23"/>
        <v>0</v>
      </c>
      <c r="E258" s="398">
        <f t="shared" si="24"/>
        <v>0</v>
      </c>
      <c r="F258" s="398">
        <f t="shared" si="25"/>
        <v>0</v>
      </c>
    </row>
    <row r="259" spans="2:6">
      <c r="B259" s="64">
        <v>246</v>
      </c>
      <c r="C259" s="397">
        <f t="shared" si="22"/>
        <v>0</v>
      </c>
      <c r="D259" s="398">
        <f t="shared" si="23"/>
        <v>0</v>
      </c>
      <c r="E259" s="398">
        <f t="shared" si="24"/>
        <v>0</v>
      </c>
      <c r="F259" s="398">
        <f t="shared" si="25"/>
        <v>0</v>
      </c>
    </row>
    <row r="260" spans="2:6">
      <c r="B260" s="64">
        <v>247</v>
      </c>
      <c r="C260" s="397">
        <f t="shared" si="22"/>
        <v>0</v>
      </c>
      <c r="D260" s="398">
        <f t="shared" si="23"/>
        <v>0</v>
      </c>
      <c r="E260" s="398">
        <f t="shared" si="24"/>
        <v>0</v>
      </c>
      <c r="F260" s="398">
        <f t="shared" si="25"/>
        <v>0</v>
      </c>
    </row>
    <row r="261" spans="2:6">
      <c r="B261" s="64">
        <v>248</v>
      </c>
      <c r="C261" s="397">
        <f t="shared" si="22"/>
        <v>0</v>
      </c>
      <c r="D261" s="398">
        <f t="shared" si="23"/>
        <v>0</v>
      </c>
      <c r="E261" s="398">
        <f t="shared" si="24"/>
        <v>0</v>
      </c>
      <c r="F261" s="398">
        <f t="shared" si="25"/>
        <v>0</v>
      </c>
    </row>
    <row r="262" spans="2:6">
      <c r="B262" s="64">
        <v>249</v>
      </c>
      <c r="C262" s="397">
        <f t="shared" si="22"/>
        <v>0</v>
      </c>
      <c r="D262" s="398">
        <f t="shared" si="23"/>
        <v>0</v>
      </c>
      <c r="E262" s="398">
        <f t="shared" si="24"/>
        <v>0</v>
      </c>
      <c r="F262" s="398">
        <f t="shared" si="25"/>
        <v>0</v>
      </c>
    </row>
    <row r="263" spans="2:6">
      <c r="B263" s="64">
        <v>250</v>
      </c>
      <c r="C263" s="397">
        <f t="shared" si="22"/>
        <v>0</v>
      </c>
      <c r="D263" s="398">
        <f t="shared" si="23"/>
        <v>0</v>
      </c>
      <c r="E263" s="398">
        <f t="shared" si="24"/>
        <v>0</v>
      </c>
      <c r="F263" s="398">
        <f t="shared" si="25"/>
        <v>0</v>
      </c>
    </row>
    <row r="264" spans="2:6">
      <c r="B264" s="64">
        <v>251</v>
      </c>
      <c r="C264" s="397">
        <f t="shared" si="22"/>
        <v>0</v>
      </c>
      <c r="D264" s="398">
        <f t="shared" si="23"/>
        <v>0</v>
      </c>
      <c r="E264" s="398">
        <f t="shared" si="24"/>
        <v>0</v>
      </c>
      <c r="F264" s="398">
        <f t="shared" si="25"/>
        <v>0</v>
      </c>
    </row>
    <row r="265" spans="2:6">
      <c r="B265" s="64">
        <v>252</v>
      </c>
      <c r="C265" s="397">
        <f t="shared" si="22"/>
        <v>0</v>
      </c>
      <c r="D265" s="398">
        <f t="shared" si="23"/>
        <v>0</v>
      </c>
      <c r="E265" s="398">
        <f t="shared" si="24"/>
        <v>0</v>
      </c>
      <c r="F265" s="398">
        <f t="shared" si="25"/>
        <v>0</v>
      </c>
    </row>
    <row r="266" spans="2:6">
      <c r="B266" s="64">
        <v>253</v>
      </c>
      <c r="C266" s="397">
        <f t="shared" si="22"/>
        <v>0</v>
      </c>
      <c r="D266" s="398">
        <f t="shared" si="23"/>
        <v>0</v>
      </c>
      <c r="E266" s="398">
        <f t="shared" si="24"/>
        <v>0</v>
      </c>
      <c r="F266" s="398">
        <f t="shared" si="25"/>
        <v>0</v>
      </c>
    </row>
    <row r="267" spans="2:6">
      <c r="B267" s="64">
        <v>254</v>
      </c>
      <c r="C267" s="397">
        <f t="shared" si="22"/>
        <v>0</v>
      </c>
      <c r="D267" s="398">
        <f t="shared" si="23"/>
        <v>0</v>
      </c>
      <c r="E267" s="398">
        <f t="shared" si="24"/>
        <v>0</v>
      </c>
      <c r="F267" s="398">
        <f t="shared" si="25"/>
        <v>0</v>
      </c>
    </row>
    <row r="268" spans="2:6">
      <c r="B268" s="64">
        <v>255</v>
      </c>
      <c r="C268" s="397">
        <f t="shared" si="22"/>
        <v>0</v>
      </c>
      <c r="D268" s="398">
        <f t="shared" si="23"/>
        <v>0</v>
      </c>
      <c r="E268" s="398">
        <f t="shared" si="24"/>
        <v>0</v>
      </c>
      <c r="F268" s="398">
        <f t="shared" si="25"/>
        <v>0</v>
      </c>
    </row>
    <row r="269" spans="2:6">
      <c r="B269" s="64">
        <v>256</v>
      </c>
      <c r="C269" s="397">
        <f t="shared" si="22"/>
        <v>0</v>
      </c>
      <c r="D269" s="398">
        <f t="shared" si="23"/>
        <v>0</v>
      </c>
      <c r="E269" s="398">
        <f t="shared" si="24"/>
        <v>0</v>
      </c>
      <c r="F269" s="398">
        <f t="shared" si="25"/>
        <v>0</v>
      </c>
    </row>
    <row r="270" spans="2:6">
      <c r="B270" s="64">
        <v>257</v>
      </c>
      <c r="C270" s="397">
        <f t="shared" si="22"/>
        <v>0</v>
      </c>
      <c r="D270" s="398">
        <f t="shared" si="23"/>
        <v>0</v>
      </c>
      <c r="E270" s="398">
        <f t="shared" si="24"/>
        <v>0</v>
      </c>
      <c r="F270" s="398">
        <f t="shared" si="25"/>
        <v>0</v>
      </c>
    </row>
    <row r="271" spans="2:6">
      <c r="B271" s="64">
        <v>258</v>
      </c>
      <c r="C271" s="397">
        <f t="shared" si="22"/>
        <v>0</v>
      </c>
      <c r="D271" s="398">
        <f t="shared" si="23"/>
        <v>0</v>
      </c>
      <c r="E271" s="398">
        <f t="shared" si="24"/>
        <v>0</v>
      </c>
      <c r="F271" s="398">
        <f t="shared" si="25"/>
        <v>0</v>
      </c>
    </row>
    <row r="272" spans="2:6">
      <c r="B272" s="64">
        <v>259</v>
      </c>
      <c r="C272" s="397">
        <f t="shared" ref="C272:C335" si="26">IF(F271&gt;$C$7,$C$7,F271+D272)</f>
        <v>0</v>
      </c>
      <c r="D272" s="398">
        <f t="shared" ref="D272:D335" si="27">+$C$5*F271/12</f>
        <v>0</v>
      </c>
      <c r="E272" s="398">
        <f t="shared" ref="E272:E335" si="28">+C272-D272</f>
        <v>0</v>
      </c>
      <c r="F272" s="398">
        <f t="shared" ref="F272:F335" si="29">+F271-E272</f>
        <v>0</v>
      </c>
    </row>
    <row r="273" spans="2:6">
      <c r="B273" s="64">
        <v>260</v>
      </c>
      <c r="C273" s="397">
        <f t="shared" si="26"/>
        <v>0</v>
      </c>
      <c r="D273" s="398">
        <f t="shared" si="27"/>
        <v>0</v>
      </c>
      <c r="E273" s="398">
        <f t="shared" si="28"/>
        <v>0</v>
      </c>
      <c r="F273" s="398">
        <f t="shared" si="29"/>
        <v>0</v>
      </c>
    </row>
    <row r="274" spans="2:6">
      <c r="B274" s="64">
        <v>261</v>
      </c>
      <c r="C274" s="397">
        <f t="shared" si="26"/>
        <v>0</v>
      </c>
      <c r="D274" s="398">
        <f t="shared" si="27"/>
        <v>0</v>
      </c>
      <c r="E274" s="398">
        <f t="shared" si="28"/>
        <v>0</v>
      </c>
      <c r="F274" s="398">
        <f t="shared" si="29"/>
        <v>0</v>
      </c>
    </row>
    <row r="275" spans="2:6">
      <c r="B275" s="64">
        <v>262</v>
      </c>
      <c r="C275" s="397">
        <f t="shared" si="26"/>
        <v>0</v>
      </c>
      <c r="D275" s="398">
        <f t="shared" si="27"/>
        <v>0</v>
      </c>
      <c r="E275" s="398">
        <f t="shared" si="28"/>
        <v>0</v>
      </c>
      <c r="F275" s="398">
        <f t="shared" si="29"/>
        <v>0</v>
      </c>
    </row>
    <row r="276" spans="2:6">
      <c r="B276" s="64">
        <v>263</v>
      </c>
      <c r="C276" s="397">
        <f t="shared" si="26"/>
        <v>0</v>
      </c>
      <c r="D276" s="398">
        <f t="shared" si="27"/>
        <v>0</v>
      </c>
      <c r="E276" s="398">
        <f t="shared" si="28"/>
        <v>0</v>
      </c>
      <c r="F276" s="398">
        <f t="shared" si="29"/>
        <v>0</v>
      </c>
    </row>
    <row r="277" spans="2:6">
      <c r="B277" s="64">
        <v>264</v>
      </c>
      <c r="C277" s="397">
        <f t="shared" si="26"/>
        <v>0</v>
      </c>
      <c r="D277" s="398">
        <f t="shared" si="27"/>
        <v>0</v>
      </c>
      <c r="E277" s="398">
        <f t="shared" si="28"/>
        <v>0</v>
      </c>
      <c r="F277" s="398">
        <f t="shared" si="29"/>
        <v>0</v>
      </c>
    </row>
    <row r="278" spans="2:6">
      <c r="B278" s="64">
        <v>265</v>
      </c>
      <c r="C278" s="397">
        <f t="shared" si="26"/>
        <v>0</v>
      </c>
      <c r="D278" s="398">
        <f t="shared" si="27"/>
        <v>0</v>
      </c>
      <c r="E278" s="398">
        <f t="shared" si="28"/>
        <v>0</v>
      </c>
      <c r="F278" s="398">
        <f t="shared" si="29"/>
        <v>0</v>
      </c>
    </row>
    <row r="279" spans="2:6">
      <c r="B279" s="64">
        <v>266</v>
      </c>
      <c r="C279" s="397">
        <f t="shared" si="26"/>
        <v>0</v>
      </c>
      <c r="D279" s="398">
        <f t="shared" si="27"/>
        <v>0</v>
      </c>
      <c r="E279" s="398">
        <f t="shared" si="28"/>
        <v>0</v>
      </c>
      <c r="F279" s="398">
        <f t="shared" si="29"/>
        <v>0</v>
      </c>
    </row>
    <row r="280" spans="2:6">
      <c r="B280" s="64">
        <v>267</v>
      </c>
      <c r="C280" s="397">
        <f t="shared" si="26"/>
        <v>0</v>
      </c>
      <c r="D280" s="398">
        <f t="shared" si="27"/>
        <v>0</v>
      </c>
      <c r="E280" s="398">
        <f t="shared" si="28"/>
        <v>0</v>
      </c>
      <c r="F280" s="398">
        <f t="shared" si="29"/>
        <v>0</v>
      </c>
    </row>
    <row r="281" spans="2:6">
      <c r="B281" s="64">
        <v>268</v>
      </c>
      <c r="C281" s="397">
        <f t="shared" si="26"/>
        <v>0</v>
      </c>
      <c r="D281" s="398">
        <f t="shared" si="27"/>
        <v>0</v>
      </c>
      <c r="E281" s="398">
        <f t="shared" si="28"/>
        <v>0</v>
      </c>
      <c r="F281" s="398">
        <f t="shared" si="29"/>
        <v>0</v>
      </c>
    </row>
    <row r="282" spans="2:6">
      <c r="B282" s="64">
        <v>269</v>
      </c>
      <c r="C282" s="397">
        <f t="shared" si="26"/>
        <v>0</v>
      </c>
      <c r="D282" s="398">
        <f t="shared" si="27"/>
        <v>0</v>
      </c>
      <c r="E282" s="398">
        <f t="shared" si="28"/>
        <v>0</v>
      </c>
      <c r="F282" s="398">
        <f t="shared" si="29"/>
        <v>0</v>
      </c>
    </row>
    <row r="283" spans="2:6">
      <c r="B283" s="64">
        <v>270</v>
      </c>
      <c r="C283" s="397">
        <f t="shared" si="26"/>
        <v>0</v>
      </c>
      <c r="D283" s="398">
        <f t="shared" si="27"/>
        <v>0</v>
      </c>
      <c r="E283" s="398">
        <f t="shared" si="28"/>
        <v>0</v>
      </c>
      <c r="F283" s="398">
        <f t="shared" si="29"/>
        <v>0</v>
      </c>
    </row>
    <row r="284" spans="2:6">
      <c r="B284" s="64">
        <v>271</v>
      </c>
      <c r="C284" s="397">
        <f t="shared" si="26"/>
        <v>0</v>
      </c>
      <c r="D284" s="398">
        <f t="shared" si="27"/>
        <v>0</v>
      </c>
      <c r="E284" s="398">
        <f t="shared" si="28"/>
        <v>0</v>
      </c>
      <c r="F284" s="398">
        <f t="shared" si="29"/>
        <v>0</v>
      </c>
    </row>
    <row r="285" spans="2:6">
      <c r="B285" s="64">
        <v>272</v>
      </c>
      <c r="C285" s="397">
        <f t="shared" si="26"/>
        <v>0</v>
      </c>
      <c r="D285" s="398">
        <f t="shared" si="27"/>
        <v>0</v>
      </c>
      <c r="E285" s="398">
        <f t="shared" si="28"/>
        <v>0</v>
      </c>
      <c r="F285" s="398">
        <f t="shared" si="29"/>
        <v>0</v>
      </c>
    </row>
    <row r="286" spans="2:6">
      <c r="B286" s="64">
        <v>273</v>
      </c>
      <c r="C286" s="397">
        <f t="shared" si="26"/>
        <v>0</v>
      </c>
      <c r="D286" s="398">
        <f t="shared" si="27"/>
        <v>0</v>
      </c>
      <c r="E286" s="398">
        <f t="shared" si="28"/>
        <v>0</v>
      </c>
      <c r="F286" s="398">
        <f t="shared" si="29"/>
        <v>0</v>
      </c>
    </row>
    <row r="287" spans="2:6">
      <c r="B287" s="64">
        <v>274</v>
      </c>
      <c r="C287" s="397">
        <f t="shared" si="26"/>
        <v>0</v>
      </c>
      <c r="D287" s="398">
        <f t="shared" si="27"/>
        <v>0</v>
      </c>
      <c r="E287" s="398">
        <f t="shared" si="28"/>
        <v>0</v>
      </c>
      <c r="F287" s="398">
        <f t="shared" si="29"/>
        <v>0</v>
      </c>
    </row>
    <row r="288" spans="2:6">
      <c r="B288" s="64">
        <v>275</v>
      </c>
      <c r="C288" s="397">
        <f t="shared" si="26"/>
        <v>0</v>
      </c>
      <c r="D288" s="398">
        <f t="shared" si="27"/>
        <v>0</v>
      </c>
      <c r="E288" s="398">
        <f t="shared" si="28"/>
        <v>0</v>
      </c>
      <c r="F288" s="398">
        <f t="shared" si="29"/>
        <v>0</v>
      </c>
    </row>
    <row r="289" spans="2:6">
      <c r="B289" s="64">
        <v>276</v>
      </c>
      <c r="C289" s="397">
        <f t="shared" si="26"/>
        <v>0</v>
      </c>
      <c r="D289" s="398">
        <f t="shared" si="27"/>
        <v>0</v>
      </c>
      <c r="E289" s="398">
        <f t="shared" si="28"/>
        <v>0</v>
      </c>
      <c r="F289" s="398">
        <f t="shared" si="29"/>
        <v>0</v>
      </c>
    </row>
    <row r="290" spans="2:6">
      <c r="B290" s="64">
        <v>277</v>
      </c>
      <c r="C290" s="397">
        <f t="shared" si="26"/>
        <v>0</v>
      </c>
      <c r="D290" s="398">
        <f t="shared" si="27"/>
        <v>0</v>
      </c>
      <c r="E290" s="398">
        <f t="shared" si="28"/>
        <v>0</v>
      </c>
      <c r="F290" s="398">
        <f t="shared" si="29"/>
        <v>0</v>
      </c>
    </row>
    <row r="291" spans="2:6">
      <c r="B291" s="64">
        <v>278</v>
      </c>
      <c r="C291" s="397">
        <f t="shared" si="26"/>
        <v>0</v>
      </c>
      <c r="D291" s="398">
        <f t="shared" si="27"/>
        <v>0</v>
      </c>
      <c r="E291" s="398">
        <f t="shared" si="28"/>
        <v>0</v>
      </c>
      <c r="F291" s="398">
        <f t="shared" si="29"/>
        <v>0</v>
      </c>
    </row>
    <row r="292" spans="2:6">
      <c r="B292" s="64">
        <v>279</v>
      </c>
      <c r="C292" s="397">
        <f t="shared" si="26"/>
        <v>0</v>
      </c>
      <c r="D292" s="398">
        <f t="shared" si="27"/>
        <v>0</v>
      </c>
      <c r="E292" s="398">
        <f t="shared" si="28"/>
        <v>0</v>
      </c>
      <c r="F292" s="398">
        <f t="shared" si="29"/>
        <v>0</v>
      </c>
    </row>
    <row r="293" spans="2:6">
      <c r="B293" s="64">
        <v>280</v>
      </c>
      <c r="C293" s="397">
        <f t="shared" si="26"/>
        <v>0</v>
      </c>
      <c r="D293" s="398">
        <f t="shared" si="27"/>
        <v>0</v>
      </c>
      <c r="E293" s="398">
        <f t="shared" si="28"/>
        <v>0</v>
      </c>
      <c r="F293" s="398">
        <f t="shared" si="29"/>
        <v>0</v>
      </c>
    </row>
    <row r="294" spans="2:6">
      <c r="B294" s="64">
        <v>281</v>
      </c>
      <c r="C294" s="397">
        <f t="shared" si="26"/>
        <v>0</v>
      </c>
      <c r="D294" s="398">
        <f t="shared" si="27"/>
        <v>0</v>
      </c>
      <c r="E294" s="398">
        <f t="shared" si="28"/>
        <v>0</v>
      </c>
      <c r="F294" s="398">
        <f t="shared" si="29"/>
        <v>0</v>
      </c>
    </row>
    <row r="295" spans="2:6">
      <c r="B295" s="64">
        <v>282</v>
      </c>
      <c r="C295" s="397">
        <f t="shared" si="26"/>
        <v>0</v>
      </c>
      <c r="D295" s="398">
        <f t="shared" si="27"/>
        <v>0</v>
      </c>
      <c r="E295" s="398">
        <f t="shared" si="28"/>
        <v>0</v>
      </c>
      <c r="F295" s="398">
        <f t="shared" si="29"/>
        <v>0</v>
      </c>
    </row>
    <row r="296" spans="2:6">
      <c r="B296" s="64">
        <v>283</v>
      </c>
      <c r="C296" s="397">
        <f t="shared" si="26"/>
        <v>0</v>
      </c>
      <c r="D296" s="398">
        <f t="shared" si="27"/>
        <v>0</v>
      </c>
      <c r="E296" s="398">
        <f t="shared" si="28"/>
        <v>0</v>
      </c>
      <c r="F296" s="398">
        <f t="shared" si="29"/>
        <v>0</v>
      </c>
    </row>
    <row r="297" spans="2:6">
      <c r="B297" s="64">
        <v>284</v>
      </c>
      <c r="C297" s="397">
        <f t="shared" si="26"/>
        <v>0</v>
      </c>
      <c r="D297" s="398">
        <f t="shared" si="27"/>
        <v>0</v>
      </c>
      <c r="E297" s="398">
        <f t="shared" si="28"/>
        <v>0</v>
      </c>
      <c r="F297" s="398">
        <f t="shared" si="29"/>
        <v>0</v>
      </c>
    </row>
    <row r="298" spans="2:6">
      <c r="B298" s="64">
        <v>285</v>
      </c>
      <c r="C298" s="397">
        <f t="shared" si="26"/>
        <v>0</v>
      </c>
      <c r="D298" s="398">
        <f t="shared" si="27"/>
        <v>0</v>
      </c>
      <c r="E298" s="398">
        <f t="shared" si="28"/>
        <v>0</v>
      </c>
      <c r="F298" s="398">
        <f t="shared" si="29"/>
        <v>0</v>
      </c>
    </row>
    <row r="299" spans="2:6">
      <c r="B299" s="64">
        <v>286</v>
      </c>
      <c r="C299" s="397">
        <f t="shared" si="26"/>
        <v>0</v>
      </c>
      <c r="D299" s="398">
        <f t="shared" si="27"/>
        <v>0</v>
      </c>
      <c r="E299" s="398">
        <f t="shared" si="28"/>
        <v>0</v>
      </c>
      <c r="F299" s="398">
        <f t="shared" si="29"/>
        <v>0</v>
      </c>
    </row>
    <row r="300" spans="2:6">
      <c r="B300" s="64">
        <v>287</v>
      </c>
      <c r="C300" s="397">
        <f t="shared" si="26"/>
        <v>0</v>
      </c>
      <c r="D300" s="398">
        <f t="shared" si="27"/>
        <v>0</v>
      </c>
      <c r="E300" s="398">
        <f t="shared" si="28"/>
        <v>0</v>
      </c>
      <c r="F300" s="398">
        <f t="shared" si="29"/>
        <v>0</v>
      </c>
    </row>
    <row r="301" spans="2:6">
      <c r="B301" s="64">
        <v>288</v>
      </c>
      <c r="C301" s="397">
        <f t="shared" si="26"/>
        <v>0</v>
      </c>
      <c r="D301" s="398">
        <f t="shared" si="27"/>
        <v>0</v>
      </c>
      <c r="E301" s="398">
        <f t="shared" si="28"/>
        <v>0</v>
      </c>
      <c r="F301" s="398">
        <f t="shared" si="29"/>
        <v>0</v>
      </c>
    </row>
    <row r="302" spans="2:6">
      <c r="B302" s="64">
        <v>289</v>
      </c>
      <c r="C302" s="397">
        <f t="shared" si="26"/>
        <v>0</v>
      </c>
      <c r="D302" s="398">
        <f t="shared" si="27"/>
        <v>0</v>
      </c>
      <c r="E302" s="398">
        <f t="shared" si="28"/>
        <v>0</v>
      </c>
      <c r="F302" s="398">
        <f t="shared" si="29"/>
        <v>0</v>
      </c>
    </row>
    <row r="303" spans="2:6">
      <c r="B303" s="64">
        <v>290</v>
      </c>
      <c r="C303" s="397">
        <f t="shared" si="26"/>
        <v>0</v>
      </c>
      <c r="D303" s="398">
        <f t="shared" si="27"/>
        <v>0</v>
      </c>
      <c r="E303" s="398">
        <f t="shared" si="28"/>
        <v>0</v>
      </c>
      <c r="F303" s="398">
        <f t="shared" si="29"/>
        <v>0</v>
      </c>
    </row>
    <row r="304" spans="2:6">
      <c r="B304" s="64">
        <v>291</v>
      </c>
      <c r="C304" s="397">
        <f t="shared" si="26"/>
        <v>0</v>
      </c>
      <c r="D304" s="398">
        <f t="shared" si="27"/>
        <v>0</v>
      </c>
      <c r="E304" s="398">
        <f t="shared" si="28"/>
        <v>0</v>
      </c>
      <c r="F304" s="398">
        <f t="shared" si="29"/>
        <v>0</v>
      </c>
    </row>
    <row r="305" spans="2:6">
      <c r="B305" s="64">
        <v>292</v>
      </c>
      <c r="C305" s="397">
        <f t="shared" si="26"/>
        <v>0</v>
      </c>
      <c r="D305" s="398">
        <f t="shared" si="27"/>
        <v>0</v>
      </c>
      <c r="E305" s="398">
        <f t="shared" si="28"/>
        <v>0</v>
      </c>
      <c r="F305" s="398">
        <f t="shared" si="29"/>
        <v>0</v>
      </c>
    </row>
    <row r="306" spans="2:6">
      <c r="B306" s="64">
        <v>293</v>
      </c>
      <c r="C306" s="397">
        <f t="shared" si="26"/>
        <v>0</v>
      </c>
      <c r="D306" s="398">
        <f t="shared" si="27"/>
        <v>0</v>
      </c>
      <c r="E306" s="398">
        <f t="shared" si="28"/>
        <v>0</v>
      </c>
      <c r="F306" s="398">
        <f t="shared" si="29"/>
        <v>0</v>
      </c>
    </row>
    <row r="307" spans="2:6">
      <c r="B307" s="64">
        <v>294</v>
      </c>
      <c r="C307" s="397">
        <f t="shared" si="26"/>
        <v>0</v>
      </c>
      <c r="D307" s="398">
        <f t="shared" si="27"/>
        <v>0</v>
      </c>
      <c r="E307" s="398">
        <f t="shared" si="28"/>
        <v>0</v>
      </c>
      <c r="F307" s="398">
        <f t="shared" si="29"/>
        <v>0</v>
      </c>
    </row>
    <row r="308" spans="2:6">
      <c r="B308" s="64">
        <v>295</v>
      </c>
      <c r="C308" s="397">
        <f t="shared" si="26"/>
        <v>0</v>
      </c>
      <c r="D308" s="398">
        <f t="shared" si="27"/>
        <v>0</v>
      </c>
      <c r="E308" s="398">
        <f t="shared" si="28"/>
        <v>0</v>
      </c>
      <c r="F308" s="398">
        <f t="shared" si="29"/>
        <v>0</v>
      </c>
    </row>
    <row r="309" spans="2:6">
      <c r="B309" s="64">
        <v>296</v>
      </c>
      <c r="C309" s="397">
        <f t="shared" si="26"/>
        <v>0</v>
      </c>
      <c r="D309" s="398">
        <f t="shared" si="27"/>
        <v>0</v>
      </c>
      <c r="E309" s="398">
        <f t="shared" si="28"/>
        <v>0</v>
      </c>
      <c r="F309" s="398">
        <f t="shared" si="29"/>
        <v>0</v>
      </c>
    </row>
    <row r="310" spans="2:6">
      <c r="B310" s="64">
        <v>297</v>
      </c>
      <c r="C310" s="397">
        <f t="shared" si="26"/>
        <v>0</v>
      </c>
      <c r="D310" s="398">
        <f t="shared" si="27"/>
        <v>0</v>
      </c>
      <c r="E310" s="398">
        <f t="shared" si="28"/>
        <v>0</v>
      </c>
      <c r="F310" s="398">
        <f t="shared" si="29"/>
        <v>0</v>
      </c>
    </row>
    <row r="311" spans="2:6">
      <c r="B311" s="64">
        <v>298</v>
      </c>
      <c r="C311" s="397">
        <f t="shared" si="26"/>
        <v>0</v>
      </c>
      <c r="D311" s="398">
        <f t="shared" si="27"/>
        <v>0</v>
      </c>
      <c r="E311" s="398">
        <f t="shared" si="28"/>
        <v>0</v>
      </c>
      <c r="F311" s="398">
        <f t="shared" si="29"/>
        <v>0</v>
      </c>
    </row>
    <row r="312" spans="2:6">
      <c r="B312" s="64">
        <v>299</v>
      </c>
      <c r="C312" s="397">
        <f t="shared" si="26"/>
        <v>0</v>
      </c>
      <c r="D312" s="398">
        <f t="shared" si="27"/>
        <v>0</v>
      </c>
      <c r="E312" s="398">
        <f t="shared" si="28"/>
        <v>0</v>
      </c>
      <c r="F312" s="398">
        <f t="shared" si="29"/>
        <v>0</v>
      </c>
    </row>
    <row r="313" spans="2:6">
      <c r="B313" s="64">
        <v>300</v>
      </c>
      <c r="C313" s="397">
        <f t="shared" si="26"/>
        <v>0</v>
      </c>
      <c r="D313" s="398">
        <f t="shared" si="27"/>
        <v>0</v>
      </c>
      <c r="E313" s="398">
        <f t="shared" si="28"/>
        <v>0</v>
      </c>
      <c r="F313" s="398">
        <f t="shared" si="29"/>
        <v>0</v>
      </c>
    </row>
    <row r="314" spans="2:6">
      <c r="B314" s="64">
        <v>301</v>
      </c>
      <c r="C314" s="397">
        <f t="shared" si="26"/>
        <v>0</v>
      </c>
      <c r="D314" s="398">
        <f t="shared" si="27"/>
        <v>0</v>
      </c>
      <c r="E314" s="398">
        <f t="shared" si="28"/>
        <v>0</v>
      </c>
      <c r="F314" s="398">
        <f t="shared" si="29"/>
        <v>0</v>
      </c>
    </row>
    <row r="315" spans="2:6">
      <c r="B315" s="64">
        <v>302</v>
      </c>
      <c r="C315" s="397">
        <f t="shared" si="26"/>
        <v>0</v>
      </c>
      <c r="D315" s="398">
        <f t="shared" si="27"/>
        <v>0</v>
      </c>
      <c r="E315" s="398">
        <f t="shared" si="28"/>
        <v>0</v>
      </c>
      <c r="F315" s="398">
        <f t="shared" si="29"/>
        <v>0</v>
      </c>
    </row>
    <row r="316" spans="2:6">
      <c r="B316" s="64">
        <v>303</v>
      </c>
      <c r="C316" s="397">
        <f t="shared" si="26"/>
        <v>0</v>
      </c>
      <c r="D316" s="398">
        <f t="shared" si="27"/>
        <v>0</v>
      </c>
      <c r="E316" s="398">
        <f t="shared" si="28"/>
        <v>0</v>
      </c>
      <c r="F316" s="398">
        <f t="shared" si="29"/>
        <v>0</v>
      </c>
    </row>
    <row r="317" spans="2:6">
      <c r="B317" s="64">
        <v>304</v>
      </c>
      <c r="C317" s="397">
        <f t="shared" si="26"/>
        <v>0</v>
      </c>
      <c r="D317" s="398">
        <f t="shared" si="27"/>
        <v>0</v>
      </c>
      <c r="E317" s="398">
        <f t="shared" si="28"/>
        <v>0</v>
      </c>
      <c r="F317" s="398">
        <f t="shared" si="29"/>
        <v>0</v>
      </c>
    </row>
    <row r="318" spans="2:6">
      <c r="B318" s="64">
        <v>305</v>
      </c>
      <c r="C318" s="397">
        <f t="shared" si="26"/>
        <v>0</v>
      </c>
      <c r="D318" s="398">
        <f t="shared" si="27"/>
        <v>0</v>
      </c>
      <c r="E318" s="398">
        <f t="shared" si="28"/>
        <v>0</v>
      </c>
      <c r="F318" s="398">
        <f t="shared" si="29"/>
        <v>0</v>
      </c>
    </row>
    <row r="319" spans="2:6">
      <c r="B319" s="64">
        <v>306</v>
      </c>
      <c r="C319" s="397">
        <f t="shared" si="26"/>
        <v>0</v>
      </c>
      <c r="D319" s="398">
        <f t="shared" si="27"/>
        <v>0</v>
      </c>
      <c r="E319" s="398">
        <f t="shared" si="28"/>
        <v>0</v>
      </c>
      <c r="F319" s="398">
        <f t="shared" si="29"/>
        <v>0</v>
      </c>
    </row>
    <row r="320" spans="2:6">
      <c r="B320" s="64">
        <v>307</v>
      </c>
      <c r="C320" s="397">
        <f t="shared" si="26"/>
        <v>0</v>
      </c>
      <c r="D320" s="398">
        <f t="shared" si="27"/>
        <v>0</v>
      </c>
      <c r="E320" s="398">
        <f t="shared" si="28"/>
        <v>0</v>
      </c>
      <c r="F320" s="398">
        <f t="shared" si="29"/>
        <v>0</v>
      </c>
    </row>
    <row r="321" spans="2:6">
      <c r="B321" s="64">
        <v>308</v>
      </c>
      <c r="C321" s="397">
        <f t="shared" si="26"/>
        <v>0</v>
      </c>
      <c r="D321" s="398">
        <f t="shared" si="27"/>
        <v>0</v>
      </c>
      <c r="E321" s="398">
        <f t="shared" si="28"/>
        <v>0</v>
      </c>
      <c r="F321" s="398">
        <f t="shared" si="29"/>
        <v>0</v>
      </c>
    </row>
    <row r="322" spans="2:6">
      <c r="B322" s="64">
        <v>309</v>
      </c>
      <c r="C322" s="397">
        <f t="shared" si="26"/>
        <v>0</v>
      </c>
      <c r="D322" s="398">
        <f t="shared" si="27"/>
        <v>0</v>
      </c>
      <c r="E322" s="398">
        <f t="shared" si="28"/>
        <v>0</v>
      </c>
      <c r="F322" s="398">
        <f t="shared" si="29"/>
        <v>0</v>
      </c>
    </row>
    <row r="323" spans="2:6">
      <c r="B323" s="64">
        <v>310</v>
      </c>
      <c r="C323" s="397">
        <f t="shared" si="26"/>
        <v>0</v>
      </c>
      <c r="D323" s="398">
        <f t="shared" si="27"/>
        <v>0</v>
      </c>
      <c r="E323" s="398">
        <f t="shared" si="28"/>
        <v>0</v>
      </c>
      <c r="F323" s="398">
        <f t="shared" si="29"/>
        <v>0</v>
      </c>
    </row>
    <row r="324" spans="2:6">
      <c r="B324" s="64">
        <v>311</v>
      </c>
      <c r="C324" s="397">
        <f t="shared" si="26"/>
        <v>0</v>
      </c>
      <c r="D324" s="398">
        <f t="shared" si="27"/>
        <v>0</v>
      </c>
      <c r="E324" s="398">
        <f t="shared" si="28"/>
        <v>0</v>
      </c>
      <c r="F324" s="398">
        <f t="shared" si="29"/>
        <v>0</v>
      </c>
    </row>
    <row r="325" spans="2:6">
      <c r="B325" s="64">
        <v>312</v>
      </c>
      <c r="C325" s="397">
        <f t="shared" si="26"/>
        <v>0</v>
      </c>
      <c r="D325" s="398">
        <f t="shared" si="27"/>
        <v>0</v>
      </c>
      <c r="E325" s="398">
        <f t="shared" si="28"/>
        <v>0</v>
      </c>
      <c r="F325" s="398">
        <f t="shared" si="29"/>
        <v>0</v>
      </c>
    </row>
    <row r="326" spans="2:6">
      <c r="B326" s="64">
        <v>313</v>
      </c>
      <c r="C326" s="397">
        <f t="shared" si="26"/>
        <v>0</v>
      </c>
      <c r="D326" s="398">
        <f t="shared" si="27"/>
        <v>0</v>
      </c>
      <c r="E326" s="398">
        <f t="shared" si="28"/>
        <v>0</v>
      </c>
      <c r="F326" s="398">
        <f t="shared" si="29"/>
        <v>0</v>
      </c>
    </row>
    <row r="327" spans="2:6">
      <c r="B327" s="64">
        <v>314</v>
      </c>
      <c r="C327" s="397">
        <f t="shared" si="26"/>
        <v>0</v>
      </c>
      <c r="D327" s="398">
        <f t="shared" si="27"/>
        <v>0</v>
      </c>
      <c r="E327" s="398">
        <f t="shared" si="28"/>
        <v>0</v>
      </c>
      <c r="F327" s="398">
        <f t="shared" si="29"/>
        <v>0</v>
      </c>
    </row>
    <row r="328" spans="2:6">
      <c r="B328" s="64">
        <v>315</v>
      </c>
      <c r="C328" s="397">
        <f t="shared" si="26"/>
        <v>0</v>
      </c>
      <c r="D328" s="398">
        <f t="shared" si="27"/>
        <v>0</v>
      </c>
      <c r="E328" s="398">
        <f t="shared" si="28"/>
        <v>0</v>
      </c>
      <c r="F328" s="398">
        <f t="shared" si="29"/>
        <v>0</v>
      </c>
    </row>
    <row r="329" spans="2:6">
      <c r="B329" s="64">
        <v>316</v>
      </c>
      <c r="C329" s="397">
        <f t="shared" si="26"/>
        <v>0</v>
      </c>
      <c r="D329" s="398">
        <f t="shared" si="27"/>
        <v>0</v>
      </c>
      <c r="E329" s="398">
        <f t="shared" si="28"/>
        <v>0</v>
      </c>
      <c r="F329" s="398">
        <f t="shared" si="29"/>
        <v>0</v>
      </c>
    </row>
    <row r="330" spans="2:6">
      <c r="B330" s="64">
        <v>317</v>
      </c>
      <c r="C330" s="397">
        <f t="shared" si="26"/>
        <v>0</v>
      </c>
      <c r="D330" s="398">
        <f t="shared" si="27"/>
        <v>0</v>
      </c>
      <c r="E330" s="398">
        <f t="shared" si="28"/>
        <v>0</v>
      </c>
      <c r="F330" s="398">
        <f t="shared" si="29"/>
        <v>0</v>
      </c>
    </row>
    <row r="331" spans="2:6">
      <c r="B331" s="64">
        <v>318</v>
      </c>
      <c r="C331" s="397">
        <f t="shared" si="26"/>
        <v>0</v>
      </c>
      <c r="D331" s="398">
        <f t="shared" si="27"/>
        <v>0</v>
      </c>
      <c r="E331" s="398">
        <f t="shared" si="28"/>
        <v>0</v>
      </c>
      <c r="F331" s="398">
        <f t="shared" si="29"/>
        <v>0</v>
      </c>
    </row>
    <row r="332" spans="2:6">
      <c r="B332" s="64">
        <v>319</v>
      </c>
      <c r="C332" s="397">
        <f t="shared" si="26"/>
        <v>0</v>
      </c>
      <c r="D332" s="398">
        <f t="shared" si="27"/>
        <v>0</v>
      </c>
      <c r="E332" s="398">
        <f t="shared" si="28"/>
        <v>0</v>
      </c>
      <c r="F332" s="398">
        <f t="shared" si="29"/>
        <v>0</v>
      </c>
    </row>
    <row r="333" spans="2:6">
      <c r="B333" s="64">
        <v>320</v>
      </c>
      <c r="C333" s="397">
        <f t="shared" si="26"/>
        <v>0</v>
      </c>
      <c r="D333" s="398">
        <f t="shared" si="27"/>
        <v>0</v>
      </c>
      <c r="E333" s="398">
        <f t="shared" si="28"/>
        <v>0</v>
      </c>
      <c r="F333" s="398">
        <f t="shared" si="29"/>
        <v>0</v>
      </c>
    </row>
    <row r="334" spans="2:6">
      <c r="B334" s="64">
        <v>321</v>
      </c>
      <c r="C334" s="397">
        <f t="shared" si="26"/>
        <v>0</v>
      </c>
      <c r="D334" s="398">
        <f t="shared" si="27"/>
        <v>0</v>
      </c>
      <c r="E334" s="398">
        <f t="shared" si="28"/>
        <v>0</v>
      </c>
      <c r="F334" s="398">
        <f t="shared" si="29"/>
        <v>0</v>
      </c>
    </row>
    <row r="335" spans="2:6">
      <c r="B335" s="64">
        <v>322</v>
      </c>
      <c r="C335" s="397">
        <f t="shared" si="26"/>
        <v>0</v>
      </c>
      <c r="D335" s="398">
        <f t="shared" si="27"/>
        <v>0</v>
      </c>
      <c r="E335" s="398">
        <f t="shared" si="28"/>
        <v>0</v>
      </c>
      <c r="F335" s="398">
        <f t="shared" si="29"/>
        <v>0</v>
      </c>
    </row>
    <row r="336" spans="2:6">
      <c r="B336" s="64">
        <v>323</v>
      </c>
      <c r="C336" s="397">
        <f t="shared" ref="C336:C399" si="30">IF(F335&gt;$C$7,$C$7,F335+D336)</f>
        <v>0</v>
      </c>
      <c r="D336" s="398">
        <f t="shared" ref="D336:D399" si="31">+$C$5*F335/12</f>
        <v>0</v>
      </c>
      <c r="E336" s="398">
        <f t="shared" ref="E336:E399" si="32">+C336-D336</f>
        <v>0</v>
      </c>
      <c r="F336" s="398">
        <f t="shared" ref="F336:F399" si="33">+F335-E336</f>
        <v>0</v>
      </c>
    </row>
    <row r="337" spans="2:6">
      <c r="B337" s="64">
        <v>324</v>
      </c>
      <c r="C337" s="397">
        <f t="shared" si="30"/>
        <v>0</v>
      </c>
      <c r="D337" s="398">
        <f t="shared" si="31"/>
        <v>0</v>
      </c>
      <c r="E337" s="398">
        <f t="shared" si="32"/>
        <v>0</v>
      </c>
      <c r="F337" s="398">
        <f t="shared" si="33"/>
        <v>0</v>
      </c>
    </row>
    <row r="338" spans="2:6">
      <c r="B338" s="64">
        <v>325</v>
      </c>
      <c r="C338" s="397">
        <f t="shared" si="30"/>
        <v>0</v>
      </c>
      <c r="D338" s="398">
        <f t="shared" si="31"/>
        <v>0</v>
      </c>
      <c r="E338" s="398">
        <f t="shared" si="32"/>
        <v>0</v>
      </c>
      <c r="F338" s="398">
        <f t="shared" si="33"/>
        <v>0</v>
      </c>
    </row>
    <row r="339" spans="2:6">
      <c r="B339" s="64">
        <v>326</v>
      </c>
      <c r="C339" s="397">
        <f t="shared" si="30"/>
        <v>0</v>
      </c>
      <c r="D339" s="398">
        <f t="shared" si="31"/>
        <v>0</v>
      </c>
      <c r="E339" s="398">
        <f t="shared" si="32"/>
        <v>0</v>
      </c>
      <c r="F339" s="398">
        <f t="shared" si="33"/>
        <v>0</v>
      </c>
    </row>
    <row r="340" spans="2:6">
      <c r="B340" s="64">
        <v>327</v>
      </c>
      <c r="C340" s="397">
        <f t="shared" si="30"/>
        <v>0</v>
      </c>
      <c r="D340" s="398">
        <f t="shared" si="31"/>
        <v>0</v>
      </c>
      <c r="E340" s="398">
        <f t="shared" si="32"/>
        <v>0</v>
      </c>
      <c r="F340" s="398">
        <f t="shared" si="33"/>
        <v>0</v>
      </c>
    </row>
    <row r="341" spans="2:6">
      <c r="B341" s="64">
        <v>328</v>
      </c>
      <c r="C341" s="397">
        <f t="shared" si="30"/>
        <v>0</v>
      </c>
      <c r="D341" s="398">
        <f t="shared" si="31"/>
        <v>0</v>
      </c>
      <c r="E341" s="398">
        <f t="shared" si="32"/>
        <v>0</v>
      </c>
      <c r="F341" s="398">
        <f t="shared" si="33"/>
        <v>0</v>
      </c>
    </row>
    <row r="342" spans="2:6">
      <c r="B342" s="64">
        <v>329</v>
      </c>
      <c r="C342" s="397">
        <f t="shared" si="30"/>
        <v>0</v>
      </c>
      <c r="D342" s="398">
        <f t="shared" si="31"/>
        <v>0</v>
      </c>
      <c r="E342" s="398">
        <f t="shared" si="32"/>
        <v>0</v>
      </c>
      <c r="F342" s="398">
        <f t="shared" si="33"/>
        <v>0</v>
      </c>
    </row>
    <row r="343" spans="2:6">
      <c r="B343" s="64">
        <v>330</v>
      </c>
      <c r="C343" s="397">
        <f t="shared" si="30"/>
        <v>0</v>
      </c>
      <c r="D343" s="398">
        <f t="shared" si="31"/>
        <v>0</v>
      </c>
      <c r="E343" s="398">
        <f t="shared" si="32"/>
        <v>0</v>
      </c>
      <c r="F343" s="398">
        <f t="shared" si="33"/>
        <v>0</v>
      </c>
    </row>
    <row r="344" spans="2:6">
      <c r="B344" s="64">
        <v>331</v>
      </c>
      <c r="C344" s="397">
        <f t="shared" si="30"/>
        <v>0</v>
      </c>
      <c r="D344" s="398">
        <f t="shared" si="31"/>
        <v>0</v>
      </c>
      <c r="E344" s="398">
        <f t="shared" si="32"/>
        <v>0</v>
      </c>
      <c r="F344" s="398">
        <f t="shared" si="33"/>
        <v>0</v>
      </c>
    </row>
    <row r="345" spans="2:6">
      <c r="B345" s="64">
        <v>332</v>
      </c>
      <c r="C345" s="397">
        <f t="shared" si="30"/>
        <v>0</v>
      </c>
      <c r="D345" s="398">
        <f t="shared" si="31"/>
        <v>0</v>
      </c>
      <c r="E345" s="398">
        <f t="shared" si="32"/>
        <v>0</v>
      </c>
      <c r="F345" s="398">
        <f t="shared" si="33"/>
        <v>0</v>
      </c>
    </row>
    <row r="346" spans="2:6">
      <c r="B346" s="64">
        <v>333</v>
      </c>
      <c r="C346" s="397">
        <f t="shared" si="30"/>
        <v>0</v>
      </c>
      <c r="D346" s="398">
        <f t="shared" si="31"/>
        <v>0</v>
      </c>
      <c r="E346" s="398">
        <f t="shared" si="32"/>
        <v>0</v>
      </c>
      <c r="F346" s="398">
        <f t="shared" si="33"/>
        <v>0</v>
      </c>
    </row>
    <row r="347" spans="2:6">
      <c r="B347" s="64">
        <v>334</v>
      </c>
      <c r="C347" s="397">
        <f t="shared" si="30"/>
        <v>0</v>
      </c>
      <c r="D347" s="398">
        <f t="shared" si="31"/>
        <v>0</v>
      </c>
      <c r="E347" s="398">
        <f t="shared" si="32"/>
        <v>0</v>
      </c>
      <c r="F347" s="398">
        <f t="shared" si="33"/>
        <v>0</v>
      </c>
    </row>
    <row r="348" spans="2:6">
      <c r="B348" s="64">
        <v>335</v>
      </c>
      <c r="C348" s="397">
        <f t="shared" si="30"/>
        <v>0</v>
      </c>
      <c r="D348" s="398">
        <f t="shared" si="31"/>
        <v>0</v>
      </c>
      <c r="E348" s="398">
        <f t="shared" si="32"/>
        <v>0</v>
      </c>
      <c r="F348" s="398">
        <f t="shared" si="33"/>
        <v>0</v>
      </c>
    </row>
    <row r="349" spans="2:6">
      <c r="B349" s="64">
        <v>336</v>
      </c>
      <c r="C349" s="397">
        <f t="shared" si="30"/>
        <v>0</v>
      </c>
      <c r="D349" s="398">
        <f t="shared" si="31"/>
        <v>0</v>
      </c>
      <c r="E349" s="398">
        <f t="shared" si="32"/>
        <v>0</v>
      </c>
      <c r="F349" s="398">
        <f t="shared" si="33"/>
        <v>0</v>
      </c>
    </row>
    <row r="350" spans="2:6">
      <c r="B350" s="64">
        <v>337</v>
      </c>
      <c r="C350" s="397">
        <f t="shared" si="30"/>
        <v>0</v>
      </c>
      <c r="D350" s="398">
        <f t="shared" si="31"/>
        <v>0</v>
      </c>
      <c r="E350" s="398">
        <f t="shared" si="32"/>
        <v>0</v>
      </c>
      <c r="F350" s="398">
        <f t="shared" si="33"/>
        <v>0</v>
      </c>
    </row>
    <row r="351" spans="2:6">
      <c r="B351" s="64">
        <v>338</v>
      </c>
      <c r="C351" s="397">
        <f t="shared" si="30"/>
        <v>0</v>
      </c>
      <c r="D351" s="398">
        <f t="shared" si="31"/>
        <v>0</v>
      </c>
      <c r="E351" s="398">
        <f t="shared" si="32"/>
        <v>0</v>
      </c>
      <c r="F351" s="398">
        <f t="shared" si="33"/>
        <v>0</v>
      </c>
    </row>
    <row r="352" spans="2:6">
      <c r="B352" s="64">
        <v>339</v>
      </c>
      <c r="C352" s="397">
        <f t="shared" si="30"/>
        <v>0</v>
      </c>
      <c r="D352" s="398">
        <f t="shared" si="31"/>
        <v>0</v>
      </c>
      <c r="E352" s="398">
        <f t="shared" si="32"/>
        <v>0</v>
      </c>
      <c r="F352" s="398">
        <f t="shared" si="33"/>
        <v>0</v>
      </c>
    </row>
    <row r="353" spans="2:6">
      <c r="B353" s="64">
        <v>340</v>
      </c>
      <c r="C353" s="397">
        <f t="shared" si="30"/>
        <v>0</v>
      </c>
      <c r="D353" s="398">
        <f t="shared" si="31"/>
        <v>0</v>
      </c>
      <c r="E353" s="398">
        <f t="shared" si="32"/>
        <v>0</v>
      </c>
      <c r="F353" s="398">
        <f t="shared" si="33"/>
        <v>0</v>
      </c>
    </row>
    <row r="354" spans="2:6">
      <c r="B354" s="64">
        <v>341</v>
      </c>
      <c r="C354" s="397">
        <f t="shared" si="30"/>
        <v>0</v>
      </c>
      <c r="D354" s="398">
        <f t="shared" si="31"/>
        <v>0</v>
      </c>
      <c r="E354" s="398">
        <f t="shared" si="32"/>
        <v>0</v>
      </c>
      <c r="F354" s="398">
        <f t="shared" si="33"/>
        <v>0</v>
      </c>
    </row>
    <row r="355" spans="2:6">
      <c r="B355" s="64">
        <v>342</v>
      </c>
      <c r="C355" s="397">
        <f t="shared" si="30"/>
        <v>0</v>
      </c>
      <c r="D355" s="398">
        <f t="shared" si="31"/>
        <v>0</v>
      </c>
      <c r="E355" s="398">
        <f t="shared" si="32"/>
        <v>0</v>
      </c>
      <c r="F355" s="398">
        <f t="shared" si="33"/>
        <v>0</v>
      </c>
    </row>
    <row r="356" spans="2:6">
      <c r="B356" s="64">
        <v>343</v>
      </c>
      <c r="C356" s="397">
        <f t="shared" si="30"/>
        <v>0</v>
      </c>
      <c r="D356" s="398">
        <f t="shared" si="31"/>
        <v>0</v>
      </c>
      <c r="E356" s="398">
        <f t="shared" si="32"/>
        <v>0</v>
      </c>
      <c r="F356" s="398">
        <f t="shared" si="33"/>
        <v>0</v>
      </c>
    </row>
    <row r="357" spans="2:6">
      <c r="B357" s="64">
        <v>344</v>
      </c>
      <c r="C357" s="397">
        <f t="shared" si="30"/>
        <v>0</v>
      </c>
      <c r="D357" s="398">
        <f t="shared" si="31"/>
        <v>0</v>
      </c>
      <c r="E357" s="398">
        <f t="shared" si="32"/>
        <v>0</v>
      </c>
      <c r="F357" s="398">
        <f t="shared" si="33"/>
        <v>0</v>
      </c>
    </row>
    <row r="358" spans="2:6">
      <c r="B358" s="64">
        <v>345</v>
      </c>
      <c r="C358" s="397">
        <f t="shared" si="30"/>
        <v>0</v>
      </c>
      <c r="D358" s="398">
        <f t="shared" si="31"/>
        <v>0</v>
      </c>
      <c r="E358" s="398">
        <f t="shared" si="32"/>
        <v>0</v>
      </c>
      <c r="F358" s="398">
        <f t="shared" si="33"/>
        <v>0</v>
      </c>
    </row>
    <row r="359" spans="2:6">
      <c r="B359" s="64">
        <v>346</v>
      </c>
      <c r="C359" s="397">
        <f t="shared" si="30"/>
        <v>0</v>
      </c>
      <c r="D359" s="398">
        <f t="shared" si="31"/>
        <v>0</v>
      </c>
      <c r="E359" s="398">
        <f t="shared" si="32"/>
        <v>0</v>
      </c>
      <c r="F359" s="398">
        <f t="shared" si="33"/>
        <v>0</v>
      </c>
    </row>
    <row r="360" spans="2:6">
      <c r="B360" s="64">
        <v>347</v>
      </c>
      <c r="C360" s="397">
        <f t="shared" si="30"/>
        <v>0</v>
      </c>
      <c r="D360" s="398">
        <f t="shared" si="31"/>
        <v>0</v>
      </c>
      <c r="E360" s="398">
        <f t="shared" si="32"/>
        <v>0</v>
      </c>
      <c r="F360" s="398">
        <f t="shared" si="33"/>
        <v>0</v>
      </c>
    </row>
    <row r="361" spans="2:6">
      <c r="B361" s="64">
        <v>348</v>
      </c>
      <c r="C361" s="397">
        <f t="shared" si="30"/>
        <v>0</v>
      </c>
      <c r="D361" s="398">
        <f t="shared" si="31"/>
        <v>0</v>
      </c>
      <c r="E361" s="398">
        <f t="shared" si="32"/>
        <v>0</v>
      </c>
      <c r="F361" s="398">
        <f t="shared" si="33"/>
        <v>0</v>
      </c>
    </row>
    <row r="362" spans="2:6">
      <c r="B362" s="64">
        <v>349</v>
      </c>
      <c r="C362" s="397">
        <f t="shared" si="30"/>
        <v>0</v>
      </c>
      <c r="D362" s="398">
        <f t="shared" si="31"/>
        <v>0</v>
      </c>
      <c r="E362" s="398">
        <f t="shared" si="32"/>
        <v>0</v>
      </c>
      <c r="F362" s="398">
        <f t="shared" si="33"/>
        <v>0</v>
      </c>
    </row>
    <row r="363" spans="2:6">
      <c r="B363" s="64">
        <v>350</v>
      </c>
      <c r="C363" s="397">
        <f t="shared" si="30"/>
        <v>0</v>
      </c>
      <c r="D363" s="398">
        <f t="shared" si="31"/>
        <v>0</v>
      </c>
      <c r="E363" s="398">
        <f t="shared" si="32"/>
        <v>0</v>
      </c>
      <c r="F363" s="398">
        <f t="shared" si="33"/>
        <v>0</v>
      </c>
    </row>
    <row r="364" spans="2:6">
      <c r="B364" s="64">
        <v>351</v>
      </c>
      <c r="C364" s="397">
        <f t="shared" si="30"/>
        <v>0</v>
      </c>
      <c r="D364" s="398">
        <f t="shared" si="31"/>
        <v>0</v>
      </c>
      <c r="E364" s="398">
        <f t="shared" si="32"/>
        <v>0</v>
      </c>
      <c r="F364" s="398">
        <f t="shared" si="33"/>
        <v>0</v>
      </c>
    </row>
    <row r="365" spans="2:6">
      <c r="B365" s="64">
        <v>352</v>
      </c>
      <c r="C365" s="397">
        <f t="shared" si="30"/>
        <v>0</v>
      </c>
      <c r="D365" s="398">
        <f t="shared" si="31"/>
        <v>0</v>
      </c>
      <c r="E365" s="398">
        <f t="shared" si="32"/>
        <v>0</v>
      </c>
      <c r="F365" s="398">
        <f t="shared" si="33"/>
        <v>0</v>
      </c>
    </row>
    <row r="366" spans="2:6">
      <c r="B366" s="64">
        <v>353</v>
      </c>
      <c r="C366" s="397">
        <f t="shared" si="30"/>
        <v>0</v>
      </c>
      <c r="D366" s="398">
        <f t="shared" si="31"/>
        <v>0</v>
      </c>
      <c r="E366" s="398">
        <f t="shared" si="32"/>
        <v>0</v>
      </c>
      <c r="F366" s="398">
        <f t="shared" si="33"/>
        <v>0</v>
      </c>
    </row>
    <row r="367" spans="2:6">
      <c r="B367" s="64">
        <v>354</v>
      </c>
      <c r="C367" s="397">
        <f t="shared" si="30"/>
        <v>0</v>
      </c>
      <c r="D367" s="398">
        <f t="shared" si="31"/>
        <v>0</v>
      </c>
      <c r="E367" s="398">
        <f t="shared" si="32"/>
        <v>0</v>
      </c>
      <c r="F367" s="398">
        <f t="shared" si="33"/>
        <v>0</v>
      </c>
    </row>
    <row r="368" spans="2:6">
      <c r="B368" s="64">
        <v>355</v>
      </c>
      <c r="C368" s="397">
        <f t="shared" si="30"/>
        <v>0</v>
      </c>
      <c r="D368" s="398">
        <f t="shared" si="31"/>
        <v>0</v>
      </c>
      <c r="E368" s="398">
        <f t="shared" si="32"/>
        <v>0</v>
      </c>
      <c r="F368" s="398">
        <f t="shared" si="33"/>
        <v>0</v>
      </c>
    </row>
    <row r="369" spans="2:6">
      <c r="B369" s="64">
        <v>356</v>
      </c>
      <c r="C369" s="397">
        <f t="shared" si="30"/>
        <v>0</v>
      </c>
      <c r="D369" s="398">
        <f t="shared" si="31"/>
        <v>0</v>
      </c>
      <c r="E369" s="398">
        <f t="shared" si="32"/>
        <v>0</v>
      </c>
      <c r="F369" s="398">
        <f t="shared" si="33"/>
        <v>0</v>
      </c>
    </row>
    <row r="370" spans="2:6">
      <c r="B370" s="64">
        <v>357</v>
      </c>
      <c r="C370" s="397">
        <f t="shared" si="30"/>
        <v>0</v>
      </c>
      <c r="D370" s="398">
        <f t="shared" si="31"/>
        <v>0</v>
      </c>
      <c r="E370" s="398">
        <f t="shared" si="32"/>
        <v>0</v>
      </c>
      <c r="F370" s="398">
        <f t="shared" si="33"/>
        <v>0</v>
      </c>
    </row>
    <row r="371" spans="2:6">
      <c r="B371" s="64">
        <v>358</v>
      </c>
      <c r="C371" s="397">
        <f t="shared" si="30"/>
        <v>0</v>
      </c>
      <c r="D371" s="398">
        <f t="shared" si="31"/>
        <v>0</v>
      </c>
      <c r="E371" s="398">
        <f t="shared" si="32"/>
        <v>0</v>
      </c>
      <c r="F371" s="398">
        <f t="shared" si="33"/>
        <v>0</v>
      </c>
    </row>
    <row r="372" spans="2:6">
      <c r="B372" s="64">
        <v>359</v>
      </c>
      <c r="C372" s="397">
        <f t="shared" si="30"/>
        <v>0</v>
      </c>
      <c r="D372" s="398">
        <f t="shared" si="31"/>
        <v>0</v>
      </c>
      <c r="E372" s="398">
        <f t="shared" si="32"/>
        <v>0</v>
      </c>
      <c r="F372" s="398">
        <f t="shared" si="33"/>
        <v>0</v>
      </c>
    </row>
    <row r="373" spans="2:6">
      <c r="B373" s="64">
        <v>360</v>
      </c>
      <c r="C373" s="397">
        <f t="shared" si="30"/>
        <v>0</v>
      </c>
      <c r="D373" s="398">
        <f t="shared" si="31"/>
        <v>0</v>
      </c>
      <c r="E373" s="398">
        <f t="shared" si="32"/>
        <v>0</v>
      </c>
      <c r="F373" s="398">
        <f t="shared" si="33"/>
        <v>0</v>
      </c>
    </row>
    <row r="374" spans="2:6">
      <c r="B374" s="64">
        <v>361</v>
      </c>
      <c r="C374" s="397">
        <f t="shared" si="30"/>
        <v>0</v>
      </c>
      <c r="D374" s="398">
        <f t="shared" si="31"/>
        <v>0</v>
      </c>
      <c r="E374" s="398">
        <f t="shared" si="32"/>
        <v>0</v>
      </c>
      <c r="F374" s="398">
        <f t="shared" si="33"/>
        <v>0</v>
      </c>
    </row>
    <row r="375" spans="2:6">
      <c r="B375" s="64">
        <v>362</v>
      </c>
      <c r="C375" s="397">
        <f t="shared" si="30"/>
        <v>0</v>
      </c>
      <c r="D375" s="398">
        <f t="shared" si="31"/>
        <v>0</v>
      </c>
      <c r="E375" s="398">
        <f t="shared" si="32"/>
        <v>0</v>
      </c>
      <c r="F375" s="398">
        <f t="shared" si="33"/>
        <v>0</v>
      </c>
    </row>
    <row r="376" spans="2:6">
      <c r="B376" s="64">
        <v>363</v>
      </c>
      <c r="C376" s="397">
        <f t="shared" si="30"/>
        <v>0</v>
      </c>
      <c r="D376" s="398">
        <f t="shared" si="31"/>
        <v>0</v>
      </c>
      <c r="E376" s="398">
        <f t="shared" si="32"/>
        <v>0</v>
      </c>
      <c r="F376" s="398">
        <f t="shared" si="33"/>
        <v>0</v>
      </c>
    </row>
    <row r="377" spans="2:6">
      <c r="B377" s="64">
        <v>364</v>
      </c>
      <c r="C377" s="397">
        <f t="shared" si="30"/>
        <v>0</v>
      </c>
      <c r="D377" s="398">
        <f t="shared" si="31"/>
        <v>0</v>
      </c>
      <c r="E377" s="398">
        <f t="shared" si="32"/>
        <v>0</v>
      </c>
      <c r="F377" s="398">
        <f t="shared" si="33"/>
        <v>0</v>
      </c>
    </row>
    <row r="378" spans="2:6">
      <c r="B378" s="64">
        <v>365</v>
      </c>
      <c r="C378" s="397">
        <f t="shared" si="30"/>
        <v>0</v>
      </c>
      <c r="D378" s="398">
        <f t="shared" si="31"/>
        <v>0</v>
      </c>
      <c r="E378" s="398">
        <f t="shared" si="32"/>
        <v>0</v>
      </c>
      <c r="F378" s="398">
        <f t="shared" si="33"/>
        <v>0</v>
      </c>
    </row>
    <row r="379" spans="2:6">
      <c r="B379" s="64">
        <v>366</v>
      </c>
      <c r="C379" s="397">
        <f t="shared" si="30"/>
        <v>0</v>
      </c>
      <c r="D379" s="398">
        <f t="shared" si="31"/>
        <v>0</v>
      </c>
      <c r="E379" s="398">
        <f t="shared" si="32"/>
        <v>0</v>
      </c>
      <c r="F379" s="398">
        <f t="shared" si="33"/>
        <v>0</v>
      </c>
    </row>
    <row r="380" spans="2:6">
      <c r="B380" s="64">
        <v>367</v>
      </c>
      <c r="C380" s="397">
        <f t="shared" si="30"/>
        <v>0</v>
      </c>
      <c r="D380" s="398">
        <f t="shared" si="31"/>
        <v>0</v>
      </c>
      <c r="E380" s="398">
        <f t="shared" si="32"/>
        <v>0</v>
      </c>
      <c r="F380" s="398">
        <f t="shared" si="33"/>
        <v>0</v>
      </c>
    </row>
    <row r="381" spans="2:6">
      <c r="B381" s="64">
        <v>368</v>
      </c>
      <c r="C381" s="397">
        <f t="shared" si="30"/>
        <v>0</v>
      </c>
      <c r="D381" s="398">
        <f t="shared" si="31"/>
        <v>0</v>
      </c>
      <c r="E381" s="398">
        <f t="shared" si="32"/>
        <v>0</v>
      </c>
      <c r="F381" s="398">
        <f t="shared" si="33"/>
        <v>0</v>
      </c>
    </row>
    <row r="382" spans="2:6">
      <c r="B382" s="64">
        <v>369</v>
      </c>
      <c r="C382" s="397">
        <f t="shared" si="30"/>
        <v>0</v>
      </c>
      <c r="D382" s="398">
        <f t="shared" si="31"/>
        <v>0</v>
      </c>
      <c r="E382" s="398">
        <f t="shared" si="32"/>
        <v>0</v>
      </c>
      <c r="F382" s="398">
        <f t="shared" si="33"/>
        <v>0</v>
      </c>
    </row>
    <row r="383" spans="2:6">
      <c r="B383" s="64">
        <v>370</v>
      </c>
      <c r="C383" s="397">
        <f t="shared" si="30"/>
        <v>0</v>
      </c>
      <c r="D383" s="398">
        <f t="shared" si="31"/>
        <v>0</v>
      </c>
      <c r="E383" s="398">
        <f t="shared" si="32"/>
        <v>0</v>
      </c>
      <c r="F383" s="398">
        <f t="shared" si="33"/>
        <v>0</v>
      </c>
    </row>
    <row r="384" spans="2:6">
      <c r="B384" s="64">
        <v>371</v>
      </c>
      <c r="C384" s="397">
        <f t="shared" si="30"/>
        <v>0</v>
      </c>
      <c r="D384" s="398">
        <f t="shared" si="31"/>
        <v>0</v>
      </c>
      <c r="E384" s="398">
        <f t="shared" si="32"/>
        <v>0</v>
      </c>
      <c r="F384" s="398">
        <f t="shared" si="33"/>
        <v>0</v>
      </c>
    </row>
    <row r="385" spans="2:6">
      <c r="B385" s="64">
        <v>372</v>
      </c>
      <c r="C385" s="397">
        <f t="shared" si="30"/>
        <v>0</v>
      </c>
      <c r="D385" s="398">
        <f t="shared" si="31"/>
        <v>0</v>
      </c>
      <c r="E385" s="398">
        <f t="shared" si="32"/>
        <v>0</v>
      </c>
      <c r="F385" s="398">
        <f t="shared" si="33"/>
        <v>0</v>
      </c>
    </row>
    <row r="386" spans="2:6">
      <c r="B386" s="64">
        <v>373</v>
      </c>
      <c r="C386" s="397">
        <f t="shared" si="30"/>
        <v>0</v>
      </c>
      <c r="D386" s="398">
        <f t="shared" si="31"/>
        <v>0</v>
      </c>
      <c r="E386" s="398">
        <f t="shared" si="32"/>
        <v>0</v>
      </c>
      <c r="F386" s="398">
        <f t="shared" si="33"/>
        <v>0</v>
      </c>
    </row>
    <row r="387" spans="2:6">
      <c r="B387" s="64">
        <v>374</v>
      </c>
      <c r="C387" s="397">
        <f t="shared" si="30"/>
        <v>0</v>
      </c>
      <c r="D387" s="398">
        <f t="shared" si="31"/>
        <v>0</v>
      </c>
      <c r="E387" s="398">
        <f t="shared" si="32"/>
        <v>0</v>
      </c>
      <c r="F387" s="398">
        <f t="shared" si="33"/>
        <v>0</v>
      </c>
    </row>
    <row r="388" spans="2:6">
      <c r="B388" s="64">
        <v>375</v>
      </c>
      <c r="C388" s="397">
        <f t="shared" si="30"/>
        <v>0</v>
      </c>
      <c r="D388" s="398">
        <f t="shared" si="31"/>
        <v>0</v>
      </c>
      <c r="E388" s="398">
        <f t="shared" si="32"/>
        <v>0</v>
      </c>
      <c r="F388" s="398">
        <f t="shared" si="33"/>
        <v>0</v>
      </c>
    </row>
    <row r="389" spans="2:6">
      <c r="B389" s="64">
        <v>376</v>
      </c>
      <c r="C389" s="397">
        <f t="shared" si="30"/>
        <v>0</v>
      </c>
      <c r="D389" s="398">
        <f t="shared" si="31"/>
        <v>0</v>
      </c>
      <c r="E389" s="398">
        <f t="shared" si="32"/>
        <v>0</v>
      </c>
      <c r="F389" s="398">
        <f t="shared" si="33"/>
        <v>0</v>
      </c>
    </row>
    <row r="390" spans="2:6">
      <c r="B390" s="64">
        <v>377</v>
      </c>
      <c r="C390" s="397">
        <f t="shared" si="30"/>
        <v>0</v>
      </c>
      <c r="D390" s="398">
        <f t="shared" si="31"/>
        <v>0</v>
      </c>
      <c r="E390" s="398">
        <f t="shared" si="32"/>
        <v>0</v>
      </c>
      <c r="F390" s="398">
        <f t="shared" si="33"/>
        <v>0</v>
      </c>
    </row>
    <row r="391" spans="2:6">
      <c r="B391" s="64">
        <v>378</v>
      </c>
      <c r="C391" s="397">
        <f t="shared" si="30"/>
        <v>0</v>
      </c>
      <c r="D391" s="398">
        <f t="shared" si="31"/>
        <v>0</v>
      </c>
      <c r="E391" s="398">
        <f t="shared" si="32"/>
        <v>0</v>
      </c>
      <c r="F391" s="398">
        <f t="shared" si="33"/>
        <v>0</v>
      </c>
    </row>
    <row r="392" spans="2:6">
      <c r="B392" s="64">
        <v>379</v>
      </c>
      <c r="C392" s="397">
        <f t="shared" si="30"/>
        <v>0</v>
      </c>
      <c r="D392" s="398">
        <f t="shared" si="31"/>
        <v>0</v>
      </c>
      <c r="E392" s="398">
        <f t="shared" si="32"/>
        <v>0</v>
      </c>
      <c r="F392" s="398">
        <f t="shared" si="33"/>
        <v>0</v>
      </c>
    </row>
    <row r="393" spans="2:6">
      <c r="B393" s="64">
        <v>380</v>
      </c>
      <c r="C393" s="397">
        <f t="shared" si="30"/>
        <v>0</v>
      </c>
      <c r="D393" s="398">
        <f t="shared" si="31"/>
        <v>0</v>
      </c>
      <c r="E393" s="398">
        <f t="shared" si="32"/>
        <v>0</v>
      </c>
      <c r="F393" s="398">
        <f t="shared" si="33"/>
        <v>0</v>
      </c>
    </row>
    <row r="394" spans="2:6">
      <c r="B394" s="64">
        <v>381</v>
      </c>
      <c r="C394" s="397">
        <f t="shared" si="30"/>
        <v>0</v>
      </c>
      <c r="D394" s="398">
        <f t="shared" si="31"/>
        <v>0</v>
      </c>
      <c r="E394" s="398">
        <f t="shared" si="32"/>
        <v>0</v>
      </c>
      <c r="F394" s="398">
        <f t="shared" si="33"/>
        <v>0</v>
      </c>
    </row>
    <row r="395" spans="2:6">
      <c r="B395" s="64">
        <v>382</v>
      </c>
      <c r="C395" s="397">
        <f t="shared" si="30"/>
        <v>0</v>
      </c>
      <c r="D395" s="398">
        <f t="shared" si="31"/>
        <v>0</v>
      </c>
      <c r="E395" s="398">
        <f t="shared" si="32"/>
        <v>0</v>
      </c>
      <c r="F395" s="398">
        <f t="shared" si="33"/>
        <v>0</v>
      </c>
    </row>
    <row r="396" spans="2:6">
      <c r="B396" s="64">
        <v>383</v>
      </c>
      <c r="C396" s="397">
        <f t="shared" si="30"/>
        <v>0</v>
      </c>
      <c r="D396" s="398">
        <f t="shared" si="31"/>
        <v>0</v>
      </c>
      <c r="E396" s="398">
        <f t="shared" si="32"/>
        <v>0</v>
      </c>
      <c r="F396" s="398">
        <f t="shared" si="33"/>
        <v>0</v>
      </c>
    </row>
    <row r="397" spans="2:6">
      <c r="B397" s="64">
        <v>384</v>
      </c>
      <c r="C397" s="397">
        <f t="shared" si="30"/>
        <v>0</v>
      </c>
      <c r="D397" s="398">
        <f t="shared" si="31"/>
        <v>0</v>
      </c>
      <c r="E397" s="398">
        <f t="shared" si="32"/>
        <v>0</v>
      </c>
      <c r="F397" s="398">
        <f t="shared" si="33"/>
        <v>0</v>
      </c>
    </row>
    <row r="398" spans="2:6">
      <c r="B398" s="64">
        <v>385</v>
      </c>
      <c r="C398" s="397">
        <f t="shared" si="30"/>
        <v>0</v>
      </c>
      <c r="D398" s="398">
        <f t="shared" si="31"/>
        <v>0</v>
      </c>
      <c r="E398" s="398">
        <f t="shared" si="32"/>
        <v>0</v>
      </c>
      <c r="F398" s="398">
        <f t="shared" si="33"/>
        <v>0</v>
      </c>
    </row>
    <row r="399" spans="2:6">
      <c r="B399" s="64">
        <v>386</v>
      </c>
      <c r="C399" s="397">
        <f t="shared" si="30"/>
        <v>0</v>
      </c>
      <c r="D399" s="398">
        <f t="shared" si="31"/>
        <v>0</v>
      </c>
      <c r="E399" s="398">
        <f t="shared" si="32"/>
        <v>0</v>
      </c>
      <c r="F399" s="398">
        <f t="shared" si="33"/>
        <v>0</v>
      </c>
    </row>
    <row r="400" spans="2:6">
      <c r="B400" s="64">
        <v>387</v>
      </c>
      <c r="C400" s="397">
        <f t="shared" ref="C400:C463" si="34">IF(F399&gt;$C$7,$C$7,F399+D400)</f>
        <v>0</v>
      </c>
      <c r="D400" s="398">
        <f t="shared" ref="D400:D463" si="35">+$C$5*F399/12</f>
        <v>0</v>
      </c>
      <c r="E400" s="398">
        <f t="shared" ref="E400:E463" si="36">+C400-D400</f>
        <v>0</v>
      </c>
      <c r="F400" s="398">
        <f t="shared" ref="F400:F463" si="37">+F399-E400</f>
        <v>0</v>
      </c>
    </row>
    <row r="401" spans="2:6">
      <c r="B401" s="64">
        <v>388</v>
      </c>
      <c r="C401" s="397">
        <f t="shared" si="34"/>
        <v>0</v>
      </c>
      <c r="D401" s="398">
        <f t="shared" si="35"/>
        <v>0</v>
      </c>
      <c r="E401" s="398">
        <f t="shared" si="36"/>
        <v>0</v>
      </c>
      <c r="F401" s="398">
        <f t="shared" si="37"/>
        <v>0</v>
      </c>
    </row>
    <row r="402" spans="2:6">
      <c r="B402" s="64">
        <v>389</v>
      </c>
      <c r="C402" s="397">
        <f t="shared" si="34"/>
        <v>0</v>
      </c>
      <c r="D402" s="398">
        <f t="shared" si="35"/>
        <v>0</v>
      </c>
      <c r="E402" s="398">
        <f t="shared" si="36"/>
        <v>0</v>
      </c>
      <c r="F402" s="398">
        <f t="shared" si="37"/>
        <v>0</v>
      </c>
    </row>
    <row r="403" spans="2:6">
      <c r="B403" s="64">
        <v>390</v>
      </c>
      <c r="C403" s="397">
        <f t="shared" si="34"/>
        <v>0</v>
      </c>
      <c r="D403" s="398">
        <f t="shared" si="35"/>
        <v>0</v>
      </c>
      <c r="E403" s="398">
        <f t="shared" si="36"/>
        <v>0</v>
      </c>
      <c r="F403" s="398">
        <f t="shared" si="37"/>
        <v>0</v>
      </c>
    </row>
    <row r="404" spans="2:6">
      <c r="B404" s="64">
        <v>391</v>
      </c>
      <c r="C404" s="397">
        <f t="shared" si="34"/>
        <v>0</v>
      </c>
      <c r="D404" s="398">
        <f t="shared" si="35"/>
        <v>0</v>
      </c>
      <c r="E404" s="398">
        <f t="shared" si="36"/>
        <v>0</v>
      </c>
      <c r="F404" s="398">
        <f t="shared" si="37"/>
        <v>0</v>
      </c>
    </row>
    <row r="405" spans="2:6">
      <c r="B405" s="64">
        <v>392</v>
      </c>
      <c r="C405" s="397">
        <f t="shared" si="34"/>
        <v>0</v>
      </c>
      <c r="D405" s="398">
        <f t="shared" si="35"/>
        <v>0</v>
      </c>
      <c r="E405" s="398">
        <f t="shared" si="36"/>
        <v>0</v>
      </c>
      <c r="F405" s="398">
        <f t="shared" si="37"/>
        <v>0</v>
      </c>
    </row>
    <row r="406" spans="2:6">
      <c r="B406" s="64">
        <v>393</v>
      </c>
      <c r="C406" s="397">
        <f t="shared" si="34"/>
        <v>0</v>
      </c>
      <c r="D406" s="398">
        <f t="shared" si="35"/>
        <v>0</v>
      </c>
      <c r="E406" s="398">
        <f t="shared" si="36"/>
        <v>0</v>
      </c>
      <c r="F406" s="398">
        <f t="shared" si="37"/>
        <v>0</v>
      </c>
    </row>
    <row r="407" spans="2:6">
      <c r="B407" s="64">
        <v>394</v>
      </c>
      <c r="C407" s="397">
        <f t="shared" si="34"/>
        <v>0</v>
      </c>
      <c r="D407" s="398">
        <f t="shared" si="35"/>
        <v>0</v>
      </c>
      <c r="E407" s="398">
        <f t="shared" si="36"/>
        <v>0</v>
      </c>
      <c r="F407" s="398">
        <f t="shared" si="37"/>
        <v>0</v>
      </c>
    </row>
    <row r="408" spans="2:6">
      <c r="B408" s="64">
        <v>395</v>
      </c>
      <c r="C408" s="397">
        <f t="shared" si="34"/>
        <v>0</v>
      </c>
      <c r="D408" s="398">
        <f t="shared" si="35"/>
        <v>0</v>
      </c>
      <c r="E408" s="398">
        <f t="shared" si="36"/>
        <v>0</v>
      </c>
      <c r="F408" s="398">
        <f t="shared" si="37"/>
        <v>0</v>
      </c>
    </row>
    <row r="409" spans="2:6">
      <c r="B409" s="64">
        <v>396</v>
      </c>
      <c r="C409" s="397">
        <f t="shared" si="34"/>
        <v>0</v>
      </c>
      <c r="D409" s="398">
        <f t="shared" si="35"/>
        <v>0</v>
      </c>
      <c r="E409" s="398">
        <f t="shared" si="36"/>
        <v>0</v>
      </c>
      <c r="F409" s="398">
        <f t="shared" si="37"/>
        <v>0</v>
      </c>
    </row>
    <row r="410" spans="2:6">
      <c r="B410" s="64">
        <v>397</v>
      </c>
      <c r="C410" s="397">
        <f t="shared" si="34"/>
        <v>0</v>
      </c>
      <c r="D410" s="398">
        <f t="shared" si="35"/>
        <v>0</v>
      </c>
      <c r="E410" s="398">
        <f t="shared" si="36"/>
        <v>0</v>
      </c>
      <c r="F410" s="398">
        <f t="shared" si="37"/>
        <v>0</v>
      </c>
    </row>
    <row r="411" spans="2:6">
      <c r="B411" s="64">
        <v>398</v>
      </c>
      <c r="C411" s="397">
        <f t="shared" si="34"/>
        <v>0</v>
      </c>
      <c r="D411" s="398">
        <f t="shared" si="35"/>
        <v>0</v>
      </c>
      <c r="E411" s="398">
        <f t="shared" si="36"/>
        <v>0</v>
      </c>
      <c r="F411" s="398">
        <f t="shared" si="37"/>
        <v>0</v>
      </c>
    </row>
    <row r="412" spans="2:6">
      <c r="B412" s="64">
        <v>399</v>
      </c>
      <c r="C412" s="397">
        <f t="shared" si="34"/>
        <v>0</v>
      </c>
      <c r="D412" s="398">
        <f t="shared" si="35"/>
        <v>0</v>
      </c>
      <c r="E412" s="398">
        <f t="shared" si="36"/>
        <v>0</v>
      </c>
      <c r="F412" s="398">
        <f t="shared" si="37"/>
        <v>0</v>
      </c>
    </row>
    <row r="413" spans="2:6">
      <c r="B413" s="64">
        <v>400</v>
      </c>
      <c r="C413" s="397">
        <f t="shared" si="34"/>
        <v>0</v>
      </c>
      <c r="D413" s="398">
        <f t="shared" si="35"/>
        <v>0</v>
      </c>
      <c r="E413" s="398">
        <f t="shared" si="36"/>
        <v>0</v>
      </c>
      <c r="F413" s="398">
        <f t="shared" si="37"/>
        <v>0</v>
      </c>
    </row>
    <row r="414" spans="2:6">
      <c r="B414" s="64">
        <v>401</v>
      </c>
      <c r="C414" s="397">
        <f t="shared" si="34"/>
        <v>0</v>
      </c>
      <c r="D414" s="398">
        <f t="shared" si="35"/>
        <v>0</v>
      </c>
      <c r="E414" s="398">
        <f t="shared" si="36"/>
        <v>0</v>
      </c>
      <c r="F414" s="398">
        <f t="shared" si="37"/>
        <v>0</v>
      </c>
    </row>
    <row r="415" spans="2:6">
      <c r="B415" s="64">
        <v>402</v>
      </c>
      <c r="C415" s="397">
        <f t="shared" si="34"/>
        <v>0</v>
      </c>
      <c r="D415" s="398">
        <f t="shared" si="35"/>
        <v>0</v>
      </c>
      <c r="E415" s="398">
        <f t="shared" si="36"/>
        <v>0</v>
      </c>
      <c r="F415" s="398">
        <f t="shared" si="37"/>
        <v>0</v>
      </c>
    </row>
    <row r="416" spans="2:6">
      <c r="B416" s="64">
        <v>403</v>
      </c>
      <c r="C416" s="397">
        <f t="shared" si="34"/>
        <v>0</v>
      </c>
      <c r="D416" s="398">
        <f t="shared" si="35"/>
        <v>0</v>
      </c>
      <c r="E416" s="398">
        <f t="shared" si="36"/>
        <v>0</v>
      </c>
      <c r="F416" s="398">
        <f t="shared" si="37"/>
        <v>0</v>
      </c>
    </row>
    <row r="417" spans="2:6">
      <c r="B417" s="64">
        <v>404</v>
      </c>
      <c r="C417" s="397">
        <f t="shared" si="34"/>
        <v>0</v>
      </c>
      <c r="D417" s="398">
        <f t="shared" si="35"/>
        <v>0</v>
      </c>
      <c r="E417" s="398">
        <f t="shared" si="36"/>
        <v>0</v>
      </c>
      <c r="F417" s="398">
        <f t="shared" si="37"/>
        <v>0</v>
      </c>
    </row>
    <row r="418" spans="2:6">
      <c r="B418" s="64">
        <v>405</v>
      </c>
      <c r="C418" s="397">
        <f t="shared" si="34"/>
        <v>0</v>
      </c>
      <c r="D418" s="398">
        <f t="shared" si="35"/>
        <v>0</v>
      </c>
      <c r="E418" s="398">
        <f t="shared" si="36"/>
        <v>0</v>
      </c>
      <c r="F418" s="398">
        <f t="shared" si="37"/>
        <v>0</v>
      </c>
    </row>
    <row r="419" spans="2:6">
      <c r="B419" s="64">
        <v>406</v>
      </c>
      <c r="C419" s="397">
        <f t="shared" si="34"/>
        <v>0</v>
      </c>
      <c r="D419" s="398">
        <f t="shared" si="35"/>
        <v>0</v>
      </c>
      <c r="E419" s="398">
        <f t="shared" si="36"/>
        <v>0</v>
      </c>
      <c r="F419" s="398">
        <f t="shared" si="37"/>
        <v>0</v>
      </c>
    </row>
    <row r="420" spans="2:6">
      <c r="B420" s="64">
        <v>407</v>
      </c>
      <c r="C420" s="397">
        <f t="shared" si="34"/>
        <v>0</v>
      </c>
      <c r="D420" s="398">
        <f t="shared" si="35"/>
        <v>0</v>
      </c>
      <c r="E420" s="398">
        <f t="shared" si="36"/>
        <v>0</v>
      </c>
      <c r="F420" s="398">
        <f t="shared" si="37"/>
        <v>0</v>
      </c>
    </row>
    <row r="421" spans="2:6">
      <c r="B421" s="64">
        <v>408</v>
      </c>
      <c r="C421" s="397">
        <f t="shared" si="34"/>
        <v>0</v>
      </c>
      <c r="D421" s="398">
        <f t="shared" si="35"/>
        <v>0</v>
      </c>
      <c r="E421" s="398">
        <f t="shared" si="36"/>
        <v>0</v>
      </c>
      <c r="F421" s="398">
        <f t="shared" si="37"/>
        <v>0</v>
      </c>
    </row>
    <row r="422" spans="2:6">
      <c r="B422" s="64">
        <v>409</v>
      </c>
      <c r="C422" s="397">
        <f t="shared" si="34"/>
        <v>0</v>
      </c>
      <c r="D422" s="398">
        <f t="shared" si="35"/>
        <v>0</v>
      </c>
      <c r="E422" s="398">
        <f t="shared" si="36"/>
        <v>0</v>
      </c>
      <c r="F422" s="398">
        <f t="shared" si="37"/>
        <v>0</v>
      </c>
    </row>
    <row r="423" spans="2:6">
      <c r="B423" s="64">
        <v>410</v>
      </c>
      <c r="C423" s="397">
        <f t="shared" si="34"/>
        <v>0</v>
      </c>
      <c r="D423" s="398">
        <f t="shared" si="35"/>
        <v>0</v>
      </c>
      <c r="E423" s="398">
        <f t="shared" si="36"/>
        <v>0</v>
      </c>
      <c r="F423" s="398">
        <f t="shared" si="37"/>
        <v>0</v>
      </c>
    </row>
    <row r="424" spans="2:6">
      <c r="B424" s="64">
        <v>411</v>
      </c>
      <c r="C424" s="397">
        <f t="shared" si="34"/>
        <v>0</v>
      </c>
      <c r="D424" s="398">
        <f t="shared" si="35"/>
        <v>0</v>
      </c>
      <c r="E424" s="398">
        <f t="shared" si="36"/>
        <v>0</v>
      </c>
      <c r="F424" s="398">
        <f t="shared" si="37"/>
        <v>0</v>
      </c>
    </row>
    <row r="425" spans="2:6">
      <c r="B425" s="64">
        <v>412</v>
      </c>
      <c r="C425" s="397">
        <f t="shared" si="34"/>
        <v>0</v>
      </c>
      <c r="D425" s="398">
        <f t="shared" si="35"/>
        <v>0</v>
      </c>
      <c r="E425" s="398">
        <f t="shared" si="36"/>
        <v>0</v>
      </c>
      <c r="F425" s="398">
        <f t="shared" si="37"/>
        <v>0</v>
      </c>
    </row>
    <row r="426" spans="2:6">
      <c r="B426" s="64">
        <v>413</v>
      </c>
      <c r="C426" s="397">
        <f t="shared" si="34"/>
        <v>0</v>
      </c>
      <c r="D426" s="398">
        <f t="shared" si="35"/>
        <v>0</v>
      </c>
      <c r="E426" s="398">
        <f t="shared" si="36"/>
        <v>0</v>
      </c>
      <c r="F426" s="398">
        <f t="shared" si="37"/>
        <v>0</v>
      </c>
    </row>
    <row r="427" spans="2:6">
      <c r="B427" s="64">
        <v>414</v>
      </c>
      <c r="C427" s="397">
        <f t="shared" si="34"/>
        <v>0</v>
      </c>
      <c r="D427" s="398">
        <f t="shared" si="35"/>
        <v>0</v>
      </c>
      <c r="E427" s="398">
        <f t="shared" si="36"/>
        <v>0</v>
      </c>
      <c r="F427" s="398">
        <f t="shared" si="37"/>
        <v>0</v>
      </c>
    </row>
    <row r="428" spans="2:6">
      <c r="B428" s="64">
        <v>415</v>
      </c>
      <c r="C428" s="397">
        <f t="shared" si="34"/>
        <v>0</v>
      </c>
      <c r="D428" s="398">
        <f t="shared" si="35"/>
        <v>0</v>
      </c>
      <c r="E428" s="398">
        <f t="shared" si="36"/>
        <v>0</v>
      </c>
      <c r="F428" s="398">
        <f t="shared" si="37"/>
        <v>0</v>
      </c>
    </row>
    <row r="429" spans="2:6">
      <c r="B429" s="64">
        <v>416</v>
      </c>
      <c r="C429" s="397">
        <f t="shared" si="34"/>
        <v>0</v>
      </c>
      <c r="D429" s="398">
        <f t="shared" si="35"/>
        <v>0</v>
      </c>
      <c r="E429" s="398">
        <f t="shared" si="36"/>
        <v>0</v>
      </c>
      <c r="F429" s="398">
        <f t="shared" si="37"/>
        <v>0</v>
      </c>
    </row>
    <row r="430" spans="2:6">
      <c r="B430" s="64">
        <v>417</v>
      </c>
      <c r="C430" s="397">
        <f t="shared" si="34"/>
        <v>0</v>
      </c>
      <c r="D430" s="398">
        <f t="shared" si="35"/>
        <v>0</v>
      </c>
      <c r="E430" s="398">
        <f t="shared" si="36"/>
        <v>0</v>
      </c>
      <c r="F430" s="398">
        <f t="shared" si="37"/>
        <v>0</v>
      </c>
    </row>
    <row r="431" spans="2:6">
      <c r="B431" s="64">
        <v>418</v>
      </c>
      <c r="C431" s="397">
        <f t="shared" si="34"/>
        <v>0</v>
      </c>
      <c r="D431" s="398">
        <f t="shared" si="35"/>
        <v>0</v>
      </c>
      <c r="E431" s="398">
        <f t="shared" si="36"/>
        <v>0</v>
      </c>
      <c r="F431" s="398">
        <f t="shared" si="37"/>
        <v>0</v>
      </c>
    </row>
    <row r="432" spans="2:6">
      <c r="B432" s="64">
        <v>419</v>
      </c>
      <c r="C432" s="397">
        <f t="shared" si="34"/>
        <v>0</v>
      </c>
      <c r="D432" s="398">
        <f t="shared" si="35"/>
        <v>0</v>
      </c>
      <c r="E432" s="398">
        <f t="shared" si="36"/>
        <v>0</v>
      </c>
      <c r="F432" s="398">
        <f t="shared" si="37"/>
        <v>0</v>
      </c>
    </row>
    <row r="433" spans="2:6">
      <c r="B433" s="64">
        <v>420</v>
      </c>
      <c r="C433" s="397">
        <f t="shared" si="34"/>
        <v>0</v>
      </c>
      <c r="D433" s="398">
        <f t="shared" si="35"/>
        <v>0</v>
      </c>
      <c r="E433" s="398">
        <f t="shared" si="36"/>
        <v>0</v>
      </c>
      <c r="F433" s="398">
        <f t="shared" si="37"/>
        <v>0</v>
      </c>
    </row>
    <row r="434" spans="2:6">
      <c r="B434" s="64">
        <v>421</v>
      </c>
      <c r="C434" s="397">
        <f t="shared" si="34"/>
        <v>0</v>
      </c>
      <c r="D434" s="398">
        <f t="shared" si="35"/>
        <v>0</v>
      </c>
      <c r="E434" s="398">
        <f t="shared" si="36"/>
        <v>0</v>
      </c>
      <c r="F434" s="398">
        <f t="shared" si="37"/>
        <v>0</v>
      </c>
    </row>
    <row r="435" spans="2:6">
      <c r="B435" s="64">
        <v>422</v>
      </c>
      <c r="C435" s="397">
        <f t="shared" si="34"/>
        <v>0</v>
      </c>
      <c r="D435" s="398">
        <f t="shared" si="35"/>
        <v>0</v>
      </c>
      <c r="E435" s="398">
        <f t="shared" si="36"/>
        <v>0</v>
      </c>
      <c r="F435" s="398">
        <f t="shared" si="37"/>
        <v>0</v>
      </c>
    </row>
    <row r="436" spans="2:6">
      <c r="B436" s="64">
        <v>423</v>
      </c>
      <c r="C436" s="397">
        <f t="shared" si="34"/>
        <v>0</v>
      </c>
      <c r="D436" s="398">
        <f t="shared" si="35"/>
        <v>0</v>
      </c>
      <c r="E436" s="398">
        <f t="shared" si="36"/>
        <v>0</v>
      </c>
      <c r="F436" s="398">
        <f t="shared" si="37"/>
        <v>0</v>
      </c>
    </row>
    <row r="437" spans="2:6">
      <c r="B437" s="64">
        <v>424</v>
      </c>
      <c r="C437" s="397">
        <f t="shared" si="34"/>
        <v>0</v>
      </c>
      <c r="D437" s="398">
        <f t="shared" si="35"/>
        <v>0</v>
      </c>
      <c r="E437" s="398">
        <f t="shared" si="36"/>
        <v>0</v>
      </c>
      <c r="F437" s="398">
        <f t="shared" si="37"/>
        <v>0</v>
      </c>
    </row>
    <row r="438" spans="2:6">
      <c r="B438" s="64">
        <v>425</v>
      </c>
      <c r="C438" s="397">
        <f t="shared" si="34"/>
        <v>0</v>
      </c>
      <c r="D438" s="398">
        <f t="shared" si="35"/>
        <v>0</v>
      </c>
      <c r="E438" s="398">
        <f t="shared" si="36"/>
        <v>0</v>
      </c>
      <c r="F438" s="398">
        <f t="shared" si="37"/>
        <v>0</v>
      </c>
    </row>
    <row r="439" spans="2:6">
      <c r="B439" s="64">
        <v>426</v>
      </c>
      <c r="C439" s="397">
        <f t="shared" si="34"/>
        <v>0</v>
      </c>
      <c r="D439" s="398">
        <f t="shared" si="35"/>
        <v>0</v>
      </c>
      <c r="E439" s="398">
        <f t="shared" si="36"/>
        <v>0</v>
      </c>
      <c r="F439" s="398">
        <f t="shared" si="37"/>
        <v>0</v>
      </c>
    </row>
    <row r="440" spans="2:6">
      <c r="B440" s="64">
        <v>427</v>
      </c>
      <c r="C440" s="397">
        <f t="shared" si="34"/>
        <v>0</v>
      </c>
      <c r="D440" s="398">
        <f t="shared" si="35"/>
        <v>0</v>
      </c>
      <c r="E440" s="398">
        <f t="shared" si="36"/>
        <v>0</v>
      </c>
      <c r="F440" s="398">
        <f t="shared" si="37"/>
        <v>0</v>
      </c>
    </row>
    <row r="441" spans="2:6">
      <c r="B441" s="64">
        <v>428</v>
      </c>
      <c r="C441" s="397">
        <f t="shared" si="34"/>
        <v>0</v>
      </c>
      <c r="D441" s="398">
        <f t="shared" si="35"/>
        <v>0</v>
      </c>
      <c r="E441" s="398">
        <f t="shared" si="36"/>
        <v>0</v>
      </c>
      <c r="F441" s="398">
        <f t="shared" si="37"/>
        <v>0</v>
      </c>
    </row>
    <row r="442" spans="2:6">
      <c r="B442" s="64">
        <v>429</v>
      </c>
      <c r="C442" s="397">
        <f t="shared" si="34"/>
        <v>0</v>
      </c>
      <c r="D442" s="398">
        <f t="shared" si="35"/>
        <v>0</v>
      </c>
      <c r="E442" s="398">
        <f t="shared" si="36"/>
        <v>0</v>
      </c>
      <c r="F442" s="398">
        <f t="shared" si="37"/>
        <v>0</v>
      </c>
    </row>
    <row r="443" spans="2:6">
      <c r="B443" s="64">
        <v>430</v>
      </c>
      <c r="C443" s="397">
        <f t="shared" si="34"/>
        <v>0</v>
      </c>
      <c r="D443" s="398">
        <f t="shared" si="35"/>
        <v>0</v>
      </c>
      <c r="E443" s="398">
        <f t="shared" si="36"/>
        <v>0</v>
      </c>
      <c r="F443" s="398">
        <f t="shared" si="37"/>
        <v>0</v>
      </c>
    </row>
    <row r="444" spans="2:6">
      <c r="B444" s="64">
        <v>431</v>
      </c>
      <c r="C444" s="397">
        <f t="shared" si="34"/>
        <v>0</v>
      </c>
      <c r="D444" s="398">
        <f t="shared" si="35"/>
        <v>0</v>
      </c>
      <c r="E444" s="398">
        <f t="shared" si="36"/>
        <v>0</v>
      </c>
      <c r="F444" s="398">
        <f t="shared" si="37"/>
        <v>0</v>
      </c>
    </row>
    <row r="445" spans="2:6">
      <c r="B445" s="64">
        <v>432</v>
      </c>
      <c r="C445" s="397">
        <f t="shared" si="34"/>
        <v>0</v>
      </c>
      <c r="D445" s="398">
        <f t="shared" si="35"/>
        <v>0</v>
      </c>
      <c r="E445" s="398">
        <f t="shared" si="36"/>
        <v>0</v>
      </c>
      <c r="F445" s="398">
        <f t="shared" si="37"/>
        <v>0</v>
      </c>
    </row>
    <row r="446" spans="2:6">
      <c r="B446" s="64">
        <v>433</v>
      </c>
      <c r="C446" s="397">
        <f t="shared" si="34"/>
        <v>0</v>
      </c>
      <c r="D446" s="398">
        <f t="shared" si="35"/>
        <v>0</v>
      </c>
      <c r="E446" s="398">
        <f t="shared" si="36"/>
        <v>0</v>
      </c>
      <c r="F446" s="398">
        <f t="shared" si="37"/>
        <v>0</v>
      </c>
    </row>
    <row r="447" spans="2:6">
      <c r="B447" s="64">
        <v>434</v>
      </c>
      <c r="C447" s="397">
        <f t="shared" si="34"/>
        <v>0</v>
      </c>
      <c r="D447" s="398">
        <f t="shared" si="35"/>
        <v>0</v>
      </c>
      <c r="E447" s="398">
        <f t="shared" si="36"/>
        <v>0</v>
      </c>
      <c r="F447" s="398">
        <f t="shared" si="37"/>
        <v>0</v>
      </c>
    </row>
    <row r="448" spans="2:6">
      <c r="B448" s="64">
        <v>435</v>
      </c>
      <c r="C448" s="397">
        <f t="shared" si="34"/>
        <v>0</v>
      </c>
      <c r="D448" s="398">
        <f t="shared" si="35"/>
        <v>0</v>
      </c>
      <c r="E448" s="398">
        <f t="shared" si="36"/>
        <v>0</v>
      </c>
      <c r="F448" s="398">
        <f t="shared" si="37"/>
        <v>0</v>
      </c>
    </row>
    <row r="449" spans="2:6">
      <c r="B449" s="64">
        <v>436</v>
      </c>
      <c r="C449" s="397">
        <f t="shared" si="34"/>
        <v>0</v>
      </c>
      <c r="D449" s="398">
        <f t="shared" si="35"/>
        <v>0</v>
      </c>
      <c r="E449" s="398">
        <f t="shared" si="36"/>
        <v>0</v>
      </c>
      <c r="F449" s="398">
        <f t="shared" si="37"/>
        <v>0</v>
      </c>
    </row>
    <row r="450" spans="2:6">
      <c r="B450" s="64">
        <v>437</v>
      </c>
      <c r="C450" s="397">
        <f t="shared" si="34"/>
        <v>0</v>
      </c>
      <c r="D450" s="398">
        <f t="shared" si="35"/>
        <v>0</v>
      </c>
      <c r="E450" s="398">
        <f t="shared" si="36"/>
        <v>0</v>
      </c>
      <c r="F450" s="398">
        <f t="shared" si="37"/>
        <v>0</v>
      </c>
    </row>
    <row r="451" spans="2:6">
      <c r="B451" s="64">
        <v>438</v>
      </c>
      <c r="C451" s="397">
        <f t="shared" si="34"/>
        <v>0</v>
      </c>
      <c r="D451" s="398">
        <f t="shared" si="35"/>
        <v>0</v>
      </c>
      <c r="E451" s="398">
        <f t="shared" si="36"/>
        <v>0</v>
      </c>
      <c r="F451" s="398">
        <f t="shared" si="37"/>
        <v>0</v>
      </c>
    </row>
    <row r="452" spans="2:6">
      <c r="B452" s="64">
        <v>439</v>
      </c>
      <c r="C452" s="397">
        <f t="shared" si="34"/>
        <v>0</v>
      </c>
      <c r="D452" s="398">
        <f t="shared" si="35"/>
        <v>0</v>
      </c>
      <c r="E452" s="398">
        <f t="shared" si="36"/>
        <v>0</v>
      </c>
      <c r="F452" s="398">
        <f t="shared" si="37"/>
        <v>0</v>
      </c>
    </row>
    <row r="453" spans="2:6">
      <c r="B453" s="64">
        <v>440</v>
      </c>
      <c r="C453" s="397">
        <f t="shared" si="34"/>
        <v>0</v>
      </c>
      <c r="D453" s="398">
        <f t="shared" si="35"/>
        <v>0</v>
      </c>
      <c r="E453" s="398">
        <f t="shared" si="36"/>
        <v>0</v>
      </c>
      <c r="F453" s="398">
        <f t="shared" si="37"/>
        <v>0</v>
      </c>
    </row>
    <row r="454" spans="2:6">
      <c r="B454" s="64">
        <v>441</v>
      </c>
      <c r="C454" s="397">
        <f t="shared" si="34"/>
        <v>0</v>
      </c>
      <c r="D454" s="398">
        <f t="shared" si="35"/>
        <v>0</v>
      </c>
      <c r="E454" s="398">
        <f t="shared" si="36"/>
        <v>0</v>
      </c>
      <c r="F454" s="398">
        <f t="shared" si="37"/>
        <v>0</v>
      </c>
    </row>
    <row r="455" spans="2:6">
      <c r="B455" s="64">
        <v>442</v>
      </c>
      <c r="C455" s="397">
        <f t="shared" si="34"/>
        <v>0</v>
      </c>
      <c r="D455" s="398">
        <f t="shared" si="35"/>
        <v>0</v>
      </c>
      <c r="E455" s="398">
        <f t="shared" si="36"/>
        <v>0</v>
      </c>
      <c r="F455" s="398">
        <f t="shared" si="37"/>
        <v>0</v>
      </c>
    </row>
    <row r="456" spans="2:6">
      <c r="B456" s="64">
        <v>443</v>
      </c>
      <c r="C456" s="397">
        <f t="shared" si="34"/>
        <v>0</v>
      </c>
      <c r="D456" s="398">
        <f t="shared" si="35"/>
        <v>0</v>
      </c>
      <c r="E456" s="398">
        <f t="shared" si="36"/>
        <v>0</v>
      </c>
      <c r="F456" s="398">
        <f t="shared" si="37"/>
        <v>0</v>
      </c>
    </row>
    <row r="457" spans="2:6">
      <c r="B457" s="64">
        <v>444</v>
      </c>
      <c r="C457" s="397">
        <f t="shared" si="34"/>
        <v>0</v>
      </c>
      <c r="D457" s="398">
        <f t="shared" si="35"/>
        <v>0</v>
      </c>
      <c r="E457" s="398">
        <f t="shared" si="36"/>
        <v>0</v>
      </c>
      <c r="F457" s="398">
        <f t="shared" si="37"/>
        <v>0</v>
      </c>
    </row>
    <row r="458" spans="2:6">
      <c r="B458" s="64">
        <v>445</v>
      </c>
      <c r="C458" s="397">
        <f t="shared" si="34"/>
        <v>0</v>
      </c>
      <c r="D458" s="398">
        <f t="shared" si="35"/>
        <v>0</v>
      </c>
      <c r="E458" s="398">
        <f t="shared" si="36"/>
        <v>0</v>
      </c>
      <c r="F458" s="398">
        <f t="shared" si="37"/>
        <v>0</v>
      </c>
    </row>
    <row r="459" spans="2:6">
      <c r="B459" s="64">
        <v>446</v>
      </c>
      <c r="C459" s="397">
        <f t="shared" si="34"/>
        <v>0</v>
      </c>
      <c r="D459" s="398">
        <f t="shared" si="35"/>
        <v>0</v>
      </c>
      <c r="E459" s="398">
        <f t="shared" si="36"/>
        <v>0</v>
      </c>
      <c r="F459" s="398">
        <f t="shared" si="37"/>
        <v>0</v>
      </c>
    </row>
    <row r="460" spans="2:6">
      <c r="B460" s="64">
        <v>447</v>
      </c>
      <c r="C460" s="397">
        <f t="shared" si="34"/>
        <v>0</v>
      </c>
      <c r="D460" s="398">
        <f t="shared" si="35"/>
        <v>0</v>
      </c>
      <c r="E460" s="398">
        <f t="shared" si="36"/>
        <v>0</v>
      </c>
      <c r="F460" s="398">
        <f t="shared" si="37"/>
        <v>0</v>
      </c>
    </row>
    <row r="461" spans="2:6">
      <c r="B461" s="64">
        <v>448</v>
      </c>
      <c r="C461" s="397">
        <f t="shared" si="34"/>
        <v>0</v>
      </c>
      <c r="D461" s="398">
        <f t="shared" si="35"/>
        <v>0</v>
      </c>
      <c r="E461" s="398">
        <f t="shared" si="36"/>
        <v>0</v>
      </c>
      <c r="F461" s="398">
        <f t="shared" si="37"/>
        <v>0</v>
      </c>
    </row>
    <row r="462" spans="2:6">
      <c r="B462" s="64">
        <v>449</v>
      </c>
      <c r="C462" s="397">
        <f t="shared" si="34"/>
        <v>0</v>
      </c>
      <c r="D462" s="398">
        <f t="shared" si="35"/>
        <v>0</v>
      </c>
      <c r="E462" s="398">
        <f t="shared" si="36"/>
        <v>0</v>
      </c>
      <c r="F462" s="398">
        <f t="shared" si="37"/>
        <v>0</v>
      </c>
    </row>
    <row r="463" spans="2:6">
      <c r="B463" s="64">
        <v>450</v>
      </c>
      <c r="C463" s="397">
        <f t="shared" si="34"/>
        <v>0</v>
      </c>
      <c r="D463" s="398">
        <f t="shared" si="35"/>
        <v>0</v>
      </c>
      <c r="E463" s="398">
        <f t="shared" si="36"/>
        <v>0</v>
      </c>
      <c r="F463" s="398">
        <f t="shared" si="37"/>
        <v>0</v>
      </c>
    </row>
    <row r="464" spans="2:6">
      <c r="B464" s="64">
        <v>451</v>
      </c>
      <c r="C464" s="397">
        <f t="shared" ref="C464:C527" si="38">IF(F463&gt;$C$7,$C$7,F463+D464)</f>
        <v>0</v>
      </c>
      <c r="D464" s="398">
        <f t="shared" ref="D464:D527" si="39">+$C$5*F463/12</f>
        <v>0</v>
      </c>
      <c r="E464" s="398">
        <f t="shared" ref="E464:E527" si="40">+C464-D464</f>
        <v>0</v>
      </c>
      <c r="F464" s="398">
        <f t="shared" ref="F464:F527" si="41">+F463-E464</f>
        <v>0</v>
      </c>
    </row>
    <row r="465" spans="2:6">
      <c r="B465" s="64">
        <v>452</v>
      </c>
      <c r="C465" s="397">
        <f t="shared" si="38"/>
        <v>0</v>
      </c>
      <c r="D465" s="398">
        <f t="shared" si="39"/>
        <v>0</v>
      </c>
      <c r="E465" s="398">
        <f t="shared" si="40"/>
        <v>0</v>
      </c>
      <c r="F465" s="398">
        <f t="shared" si="41"/>
        <v>0</v>
      </c>
    </row>
    <row r="466" spans="2:6">
      <c r="B466" s="64">
        <v>453</v>
      </c>
      <c r="C466" s="397">
        <f t="shared" si="38"/>
        <v>0</v>
      </c>
      <c r="D466" s="398">
        <f t="shared" si="39"/>
        <v>0</v>
      </c>
      <c r="E466" s="398">
        <f t="shared" si="40"/>
        <v>0</v>
      </c>
      <c r="F466" s="398">
        <f t="shared" si="41"/>
        <v>0</v>
      </c>
    </row>
    <row r="467" spans="2:6">
      <c r="B467" s="64">
        <v>454</v>
      </c>
      <c r="C467" s="397">
        <f t="shared" si="38"/>
        <v>0</v>
      </c>
      <c r="D467" s="398">
        <f t="shared" si="39"/>
        <v>0</v>
      </c>
      <c r="E467" s="398">
        <f t="shared" si="40"/>
        <v>0</v>
      </c>
      <c r="F467" s="398">
        <f t="shared" si="41"/>
        <v>0</v>
      </c>
    </row>
    <row r="468" spans="2:6">
      <c r="B468" s="64">
        <v>455</v>
      </c>
      <c r="C468" s="397">
        <f t="shared" si="38"/>
        <v>0</v>
      </c>
      <c r="D468" s="398">
        <f t="shared" si="39"/>
        <v>0</v>
      </c>
      <c r="E468" s="398">
        <f t="shared" si="40"/>
        <v>0</v>
      </c>
      <c r="F468" s="398">
        <f t="shared" si="41"/>
        <v>0</v>
      </c>
    </row>
    <row r="469" spans="2:6">
      <c r="B469" s="64">
        <v>456</v>
      </c>
      <c r="C469" s="397">
        <f t="shared" si="38"/>
        <v>0</v>
      </c>
      <c r="D469" s="398">
        <f t="shared" si="39"/>
        <v>0</v>
      </c>
      <c r="E469" s="398">
        <f t="shared" si="40"/>
        <v>0</v>
      </c>
      <c r="F469" s="398">
        <f t="shared" si="41"/>
        <v>0</v>
      </c>
    </row>
    <row r="470" spans="2:6">
      <c r="B470" s="64">
        <v>457</v>
      </c>
      <c r="C470" s="397">
        <f t="shared" si="38"/>
        <v>0</v>
      </c>
      <c r="D470" s="398">
        <f t="shared" si="39"/>
        <v>0</v>
      </c>
      <c r="E470" s="398">
        <f t="shared" si="40"/>
        <v>0</v>
      </c>
      <c r="F470" s="398">
        <f t="shared" si="41"/>
        <v>0</v>
      </c>
    </row>
    <row r="471" spans="2:6">
      <c r="B471" s="64">
        <v>458</v>
      </c>
      <c r="C471" s="397">
        <f t="shared" si="38"/>
        <v>0</v>
      </c>
      <c r="D471" s="398">
        <f t="shared" si="39"/>
        <v>0</v>
      </c>
      <c r="E471" s="398">
        <f t="shared" si="40"/>
        <v>0</v>
      </c>
      <c r="F471" s="398">
        <f t="shared" si="41"/>
        <v>0</v>
      </c>
    </row>
    <row r="472" spans="2:6">
      <c r="B472" s="64">
        <v>459</v>
      </c>
      <c r="C472" s="397">
        <f t="shared" si="38"/>
        <v>0</v>
      </c>
      <c r="D472" s="398">
        <f t="shared" si="39"/>
        <v>0</v>
      </c>
      <c r="E472" s="398">
        <f t="shared" si="40"/>
        <v>0</v>
      </c>
      <c r="F472" s="398">
        <f t="shared" si="41"/>
        <v>0</v>
      </c>
    </row>
    <row r="473" spans="2:6">
      <c r="B473" s="64">
        <v>460</v>
      </c>
      <c r="C473" s="397">
        <f t="shared" si="38"/>
        <v>0</v>
      </c>
      <c r="D473" s="398">
        <f t="shared" si="39"/>
        <v>0</v>
      </c>
      <c r="E473" s="398">
        <f t="shared" si="40"/>
        <v>0</v>
      </c>
      <c r="F473" s="398">
        <f t="shared" si="41"/>
        <v>0</v>
      </c>
    </row>
    <row r="474" spans="2:6">
      <c r="B474" s="64">
        <v>461</v>
      </c>
      <c r="C474" s="397">
        <f t="shared" si="38"/>
        <v>0</v>
      </c>
      <c r="D474" s="398">
        <f t="shared" si="39"/>
        <v>0</v>
      </c>
      <c r="E474" s="398">
        <f t="shared" si="40"/>
        <v>0</v>
      </c>
      <c r="F474" s="398">
        <f t="shared" si="41"/>
        <v>0</v>
      </c>
    </row>
    <row r="475" spans="2:6">
      <c r="B475" s="64">
        <v>462</v>
      </c>
      <c r="C475" s="397">
        <f t="shared" si="38"/>
        <v>0</v>
      </c>
      <c r="D475" s="398">
        <f t="shared" si="39"/>
        <v>0</v>
      </c>
      <c r="E475" s="398">
        <f t="shared" si="40"/>
        <v>0</v>
      </c>
      <c r="F475" s="398">
        <f t="shared" si="41"/>
        <v>0</v>
      </c>
    </row>
    <row r="476" spans="2:6">
      <c r="B476" s="64">
        <v>463</v>
      </c>
      <c r="C476" s="397">
        <f t="shared" si="38"/>
        <v>0</v>
      </c>
      <c r="D476" s="398">
        <f t="shared" si="39"/>
        <v>0</v>
      </c>
      <c r="E476" s="398">
        <f t="shared" si="40"/>
        <v>0</v>
      </c>
      <c r="F476" s="398">
        <f t="shared" si="41"/>
        <v>0</v>
      </c>
    </row>
    <row r="477" spans="2:6">
      <c r="B477" s="64">
        <v>464</v>
      </c>
      <c r="C477" s="397">
        <f t="shared" si="38"/>
        <v>0</v>
      </c>
      <c r="D477" s="398">
        <f t="shared" si="39"/>
        <v>0</v>
      </c>
      <c r="E477" s="398">
        <f t="shared" si="40"/>
        <v>0</v>
      </c>
      <c r="F477" s="398">
        <f t="shared" si="41"/>
        <v>0</v>
      </c>
    </row>
    <row r="478" spans="2:6">
      <c r="B478" s="64">
        <v>465</v>
      </c>
      <c r="C478" s="397">
        <f t="shared" si="38"/>
        <v>0</v>
      </c>
      <c r="D478" s="398">
        <f t="shared" si="39"/>
        <v>0</v>
      </c>
      <c r="E478" s="398">
        <f t="shared" si="40"/>
        <v>0</v>
      </c>
      <c r="F478" s="398">
        <f t="shared" si="41"/>
        <v>0</v>
      </c>
    </row>
    <row r="479" spans="2:6">
      <c r="B479" s="64">
        <v>466</v>
      </c>
      <c r="C479" s="397">
        <f t="shared" si="38"/>
        <v>0</v>
      </c>
      <c r="D479" s="398">
        <f t="shared" si="39"/>
        <v>0</v>
      </c>
      <c r="E479" s="398">
        <f t="shared" si="40"/>
        <v>0</v>
      </c>
      <c r="F479" s="398">
        <f t="shared" si="41"/>
        <v>0</v>
      </c>
    </row>
    <row r="480" spans="2:6">
      <c r="B480" s="64">
        <v>467</v>
      </c>
      <c r="C480" s="397">
        <f t="shared" si="38"/>
        <v>0</v>
      </c>
      <c r="D480" s="398">
        <f t="shared" si="39"/>
        <v>0</v>
      </c>
      <c r="E480" s="398">
        <f t="shared" si="40"/>
        <v>0</v>
      </c>
      <c r="F480" s="398">
        <f t="shared" si="41"/>
        <v>0</v>
      </c>
    </row>
    <row r="481" spans="2:6">
      <c r="B481" s="64">
        <v>468</v>
      </c>
      <c r="C481" s="397">
        <f t="shared" si="38"/>
        <v>0</v>
      </c>
      <c r="D481" s="398">
        <f t="shared" si="39"/>
        <v>0</v>
      </c>
      <c r="E481" s="398">
        <f t="shared" si="40"/>
        <v>0</v>
      </c>
      <c r="F481" s="398">
        <f t="shared" si="41"/>
        <v>0</v>
      </c>
    </row>
    <row r="482" spans="2:6">
      <c r="B482" s="64">
        <v>469</v>
      </c>
      <c r="C482" s="397">
        <f t="shared" si="38"/>
        <v>0</v>
      </c>
      <c r="D482" s="398">
        <f t="shared" si="39"/>
        <v>0</v>
      </c>
      <c r="E482" s="398">
        <f t="shared" si="40"/>
        <v>0</v>
      </c>
      <c r="F482" s="398">
        <f t="shared" si="41"/>
        <v>0</v>
      </c>
    </row>
    <row r="483" spans="2:6">
      <c r="B483" s="64">
        <v>470</v>
      </c>
      <c r="C483" s="397">
        <f t="shared" si="38"/>
        <v>0</v>
      </c>
      <c r="D483" s="398">
        <f t="shared" si="39"/>
        <v>0</v>
      </c>
      <c r="E483" s="398">
        <f t="shared" si="40"/>
        <v>0</v>
      </c>
      <c r="F483" s="398">
        <f t="shared" si="41"/>
        <v>0</v>
      </c>
    </row>
    <row r="484" spans="2:6">
      <c r="B484" s="64">
        <v>471</v>
      </c>
      <c r="C484" s="397">
        <f t="shared" si="38"/>
        <v>0</v>
      </c>
      <c r="D484" s="398">
        <f t="shared" si="39"/>
        <v>0</v>
      </c>
      <c r="E484" s="398">
        <f t="shared" si="40"/>
        <v>0</v>
      </c>
      <c r="F484" s="398">
        <f t="shared" si="41"/>
        <v>0</v>
      </c>
    </row>
    <row r="485" spans="2:6">
      <c r="B485" s="64">
        <v>472</v>
      </c>
      <c r="C485" s="397">
        <f t="shared" si="38"/>
        <v>0</v>
      </c>
      <c r="D485" s="398">
        <f t="shared" si="39"/>
        <v>0</v>
      </c>
      <c r="E485" s="398">
        <f t="shared" si="40"/>
        <v>0</v>
      </c>
      <c r="F485" s="398">
        <f t="shared" si="41"/>
        <v>0</v>
      </c>
    </row>
    <row r="486" spans="2:6">
      <c r="B486" s="64">
        <v>473</v>
      </c>
      <c r="C486" s="397">
        <f t="shared" si="38"/>
        <v>0</v>
      </c>
      <c r="D486" s="398">
        <f t="shared" si="39"/>
        <v>0</v>
      </c>
      <c r="E486" s="398">
        <f t="shared" si="40"/>
        <v>0</v>
      </c>
      <c r="F486" s="398">
        <f t="shared" si="41"/>
        <v>0</v>
      </c>
    </row>
    <row r="487" spans="2:6">
      <c r="B487" s="64">
        <v>474</v>
      </c>
      <c r="C487" s="397">
        <f t="shared" si="38"/>
        <v>0</v>
      </c>
      <c r="D487" s="398">
        <f t="shared" si="39"/>
        <v>0</v>
      </c>
      <c r="E487" s="398">
        <f t="shared" si="40"/>
        <v>0</v>
      </c>
      <c r="F487" s="398">
        <f t="shared" si="41"/>
        <v>0</v>
      </c>
    </row>
    <row r="488" spans="2:6">
      <c r="B488" s="64">
        <v>475</v>
      </c>
      <c r="C488" s="397">
        <f t="shared" si="38"/>
        <v>0</v>
      </c>
      <c r="D488" s="398">
        <f t="shared" si="39"/>
        <v>0</v>
      </c>
      <c r="E488" s="398">
        <f t="shared" si="40"/>
        <v>0</v>
      </c>
      <c r="F488" s="398">
        <f t="shared" si="41"/>
        <v>0</v>
      </c>
    </row>
    <row r="489" spans="2:6">
      <c r="B489" s="64">
        <v>476</v>
      </c>
      <c r="C489" s="397">
        <f t="shared" si="38"/>
        <v>0</v>
      </c>
      <c r="D489" s="398">
        <f t="shared" si="39"/>
        <v>0</v>
      </c>
      <c r="E489" s="398">
        <f t="shared" si="40"/>
        <v>0</v>
      </c>
      <c r="F489" s="398">
        <f t="shared" si="41"/>
        <v>0</v>
      </c>
    </row>
    <row r="490" spans="2:6">
      <c r="B490" s="64">
        <v>477</v>
      </c>
      <c r="C490" s="397">
        <f t="shared" si="38"/>
        <v>0</v>
      </c>
      <c r="D490" s="398">
        <f t="shared" si="39"/>
        <v>0</v>
      </c>
      <c r="E490" s="398">
        <f t="shared" si="40"/>
        <v>0</v>
      </c>
      <c r="F490" s="398">
        <f t="shared" si="41"/>
        <v>0</v>
      </c>
    </row>
    <row r="491" spans="2:6">
      <c r="B491" s="64">
        <v>478</v>
      </c>
      <c r="C491" s="397">
        <f t="shared" si="38"/>
        <v>0</v>
      </c>
      <c r="D491" s="398">
        <f t="shared" si="39"/>
        <v>0</v>
      </c>
      <c r="E491" s="398">
        <f t="shared" si="40"/>
        <v>0</v>
      </c>
      <c r="F491" s="398">
        <f t="shared" si="41"/>
        <v>0</v>
      </c>
    </row>
    <row r="492" spans="2:6">
      <c r="B492" s="64">
        <v>479</v>
      </c>
      <c r="C492" s="397">
        <f t="shared" si="38"/>
        <v>0</v>
      </c>
      <c r="D492" s="398">
        <f t="shared" si="39"/>
        <v>0</v>
      </c>
      <c r="E492" s="398">
        <f t="shared" si="40"/>
        <v>0</v>
      </c>
      <c r="F492" s="398">
        <f t="shared" si="41"/>
        <v>0</v>
      </c>
    </row>
    <row r="493" spans="2:6">
      <c r="B493" s="64">
        <v>480</v>
      </c>
      <c r="C493" s="397">
        <f t="shared" si="38"/>
        <v>0</v>
      </c>
      <c r="D493" s="398">
        <f t="shared" si="39"/>
        <v>0</v>
      </c>
      <c r="E493" s="398">
        <f t="shared" si="40"/>
        <v>0</v>
      </c>
      <c r="F493" s="398">
        <f t="shared" si="41"/>
        <v>0</v>
      </c>
    </row>
    <row r="494" spans="2:6">
      <c r="B494" s="64">
        <v>481</v>
      </c>
      <c r="C494" s="397">
        <f t="shared" si="38"/>
        <v>0</v>
      </c>
      <c r="D494" s="398">
        <f t="shared" si="39"/>
        <v>0</v>
      </c>
      <c r="E494" s="398">
        <f t="shared" si="40"/>
        <v>0</v>
      </c>
      <c r="F494" s="398">
        <f t="shared" si="41"/>
        <v>0</v>
      </c>
    </row>
    <row r="495" spans="2:6">
      <c r="B495" s="64">
        <v>482</v>
      </c>
      <c r="C495" s="397">
        <f t="shared" si="38"/>
        <v>0</v>
      </c>
      <c r="D495" s="398">
        <f t="shared" si="39"/>
        <v>0</v>
      </c>
      <c r="E495" s="398">
        <f t="shared" si="40"/>
        <v>0</v>
      </c>
      <c r="F495" s="398">
        <f t="shared" si="41"/>
        <v>0</v>
      </c>
    </row>
    <row r="496" spans="2:6">
      <c r="B496" s="64">
        <v>483</v>
      </c>
      <c r="C496" s="397">
        <f t="shared" si="38"/>
        <v>0</v>
      </c>
      <c r="D496" s="398">
        <f t="shared" si="39"/>
        <v>0</v>
      </c>
      <c r="E496" s="398">
        <f t="shared" si="40"/>
        <v>0</v>
      </c>
      <c r="F496" s="398">
        <f t="shared" si="41"/>
        <v>0</v>
      </c>
    </row>
    <row r="497" spans="2:6">
      <c r="B497" s="64">
        <v>484</v>
      </c>
      <c r="C497" s="397">
        <f t="shared" si="38"/>
        <v>0</v>
      </c>
      <c r="D497" s="398">
        <f t="shared" si="39"/>
        <v>0</v>
      </c>
      <c r="E497" s="398">
        <f t="shared" si="40"/>
        <v>0</v>
      </c>
      <c r="F497" s="398">
        <f t="shared" si="41"/>
        <v>0</v>
      </c>
    </row>
    <row r="498" spans="2:6">
      <c r="B498" s="64">
        <v>485</v>
      </c>
      <c r="C498" s="397">
        <f t="shared" si="38"/>
        <v>0</v>
      </c>
      <c r="D498" s="398">
        <f t="shared" si="39"/>
        <v>0</v>
      </c>
      <c r="E498" s="398">
        <f t="shared" si="40"/>
        <v>0</v>
      </c>
      <c r="F498" s="398">
        <f t="shared" si="41"/>
        <v>0</v>
      </c>
    </row>
    <row r="499" spans="2:6">
      <c r="B499" s="64">
        <v>486</v>
      </c>
      <c r="C499" s="397">
        <f t="shared" si="38"/>
        <v>0</v>
      </c>
      <c r="D499" s="398">
        <f t="shared" si="39"/>
        <v>0</v>
      </c>
      <c r="E499" s="398">
        <f t="shared" si="40"/>
        <v>0</v>
      </c>
      <c r="F499" s="398">
        <f t="shared" si="41"/>
        <v>0</v>
      </c>
    </row>
    <row r="500" spans="2:6">
      <c r="B500" s="64">
        <v>487</v>
      </c>
      <c r="C500" s="397">
        <f t="shared" si="38"/>
        <v>0</v>
      </c>
      <c r="D500" s="398">
        <f t="shared" si="39"/>
        <v>0</v>
      </c>
      <c r="E500" s="398">
        <f t="shared" si="40"/>
        <v>0</v>
      </c>
      <c r="F500" s="398">
        <f t="shared" si="41"/>
        <v>0</v>
      </c>
    </row>
    <row r="501" spans="2:6">
      <c r="B501" s="64">
        <v>488</v>
      </c>
      <c r="C501" s="397">
        <f t="shared" si="38"/>
        <v>0</v>
      </c>
      <c r="D501" s="398">
        <f t="shared" si="39"/>
        <v>0</v>
      </c>
      <c r="E501" s="398">
        <f t="shared" si="40"/>
        <v>0</v>
      </c>
      <c r="F501" s="398">
        <f t="shared" si="41"/>
        <v>0</v>
      </c>
    </row>
    <row r="502" spans="2:6">
      <c r="B502" s="64">
        <v>489</v>
      </c>
      <c r="C502" s="397">
        <f t="shared" si="38"/>
        <v>0</v>
      </c>
      <c r="D502" s="398">
        <f t="shared" si="39"/>
        <v>0</v>
      </c>
      <c r="E502" s="398">
        <f t="shared" si="40"/>
        <v>0</v>
      </c>
      <c r="F502" s="398">
        <f t="shared" si="41"/>
        <v>0</v>
      </c>
    </row>
    <row r="503" spans="2:6">
      <c r="B503" s="64">
        <v>490</v>
      </c>
      <c r="C503" s="397">
        <f t="shared" si="38"/>
        <v>0</v>
      </c>
      <c r="D503" s="398">
        <f t="shared" si="39"/>
        <v>0</v>
      </c>
      <c r="E503" s="398">
        <f t="shared" si="40"/>
        <v>0</v>
      </c>
      <c r="F503" s="398">
        <f t="shared" si="41"/>
        <v>0</v>
      </c>
    </row>
    <row r="504" spans="2:6">
      <c r="B504" s="64">
        <v>491</v>
      </c>
      <c r="C504" s="397">
        <f t="shared" si="38"/>
        <v>0</v>
      </c>
      <c r="D504" s="398">
        <f t="shared" si="39"/>
        <v>0</v>
      </c>
      <c r="E504" s="398">
        <f t="shared" si="40"/>
        <v>0</v>
      </c>
      <c r="F504" s="398">
        <f t="shared" si="41"/>
        <v>0</v>
      </c>
    </row>
    <row r="505" spans="2:6">
      <c r="B505" s="64">
        <v>492</v>
      </c>
      <c r="C505" s="397">
        <f t="shared" si="38"/>
        <v>0</v>
      </c>
      <c r="D505" s="398">
        <f t="shared" si="39"/>
        <v>0</v>
      </c>
      <c r="E505" s="398">
        <f t="shared" si="40"/>
        <v>0</v>
      </c>
      <c r="F505" s="398">
        <f t="shared" si="41"/>
        <v>0</v>
      </c>
    </row>
    <row r="506" spans="2:6">
      <c r="B506" s="64">
        <v>493</v>
      </c>
      <c r="C506" s="397">
        <f t="shared" si="38"/>
        <v>0</v>
      </c>
      <c r="D506" s="398">
        <f t="shared" si="39"/>
        <v>0</v>
      </c>
      <c r="E506" s="398">
        <f t="shared" si="40"/>
        <v>0</v>
      </c>
      <c r="F506" s="398">
        <f t="shared" si="41"/>
        <v>0</v>
      </c>
    </row>
    <row r="507" spans="2:6">
      <c r="B507" s="64">
        <v>494</v>
      </c>
      <c r="C507" s="397">
        <f t="shared" si="38"/>
        <v>0</v>
      </c>
      <c r="D507" s="398">
        <f t="shared" si="39"/>
        <v>0</v>
      </c>
      <c r="E507" s="398">
        <f t="shared" si="40"/>
        <v>0</v>
      </c>
      <c r="F507" s="398">
        <f t="shared" si="41"/>
        <v>0</v>
      </c>
    </row>
    <row r="508" spans="2:6">
      <c r="B508" s="64">
        <v>495</v>
      </c>
      <c r="C508" s="397">
        <f t="shared" si="38"/>
        <v>0</v>
      </c>
      <c r="D508" s="398">
        <f t="shared" si="39"/>
        <v>0</v>
      </c>
      <c r="E508" s="398">
        <f t="shared" si="40"/>
        <v>0</v>
      </c>
      <c r="F508" s="398">
        <f t="shared" si="41"/>
        <v>0</v>
      </c>
    </row>
    <row r="509" spans="2:6">
      <c r="B509" s="64">
        <v>496</v>
      </c>
      <c r="C509" s="397">
        <f t="shared" si="38"/>
        <v>0</v>
      </c>
      <c r="D509" s="398">
        <f t="shared" si="39"/>
        <v>0</v>
      </c>
      <c r="E509" s="398">
        <f t="shared" si="40"/>
        <v>0</v>
      </c>
      <c r="F509" s="398">
        <f t="shared" si="41"/>
        <v>0</v>
      </c>
    </row>
    <row r="510" spans="2:6">
      <c r="B510" s="64">
        <v>497</v>
      </c>
      <c r="C510" s="397">
        <f t="shared" si="38"/>
        <v>0</v>
      </c>
      <c r="D510" s="398">
        <f t="shared" si="39"/>
        <v>0</v>
      </c>
      <c r="E510" s="398">
        <f t="shared" si="40"/>
        <v>0</v>
      </c>
      <c r="F510" s="398">
        <f t="shared" si="41"/>
        <v>0</v>
      </c>
    </row>
    <row r="511" spans="2:6">
      <c r="B511" s="64">
        <v>498</v>
      </c>
      <c r="C511" s="397">
        <f t="shared" si="38"/>
        <v>0</v>
      </c>
      <c r="D511" s="398">
        <f t="shared" si="39"/>
        <v>0</v>
      </c>
      <c r="E511" s="398">
        <f t="shared" si="40"/>
        <v>0</v>
      </c>
      <c r="F511" s="398">
        <f t="shared" si="41"/>
        <v>0</v>
      </c>
    </row>
    <row r="512" spans="2:6">
      <c r="B512" s="64">
        <v>499</v>
      </c>
      <c r="C512" s="397">
        <f t="shared" si="38"/>
        <v>0</v>
      </c>
      <c r="D512" s="398">
        <f t="shared" si="39"/>
        <v>0</v>
      </c>
      <c r="E512" s="398">
        <f t="shared" si="40"/>
        <v>0</v>
      </c>
      <c r="F512" s="398">
        <f t="shared" si="41"/>
        <v>0</v>
      </c>
    </row>
    <row r="513" spans="2:6">
      <c r="B513" s="64">
        <v>500</v>
      </c>
      <c r="C513" s="397">
        <f t="shared" si="38"/>
        <v>0</v>
      </c>
      <c r="D513" s="398">
        <f t="shared" si="39"/>
        <v>0</v>
      </c>
      <c r="E513" s="398">
        <f t="shared" si="40"/>
        <v>0</v>
      </c>
      <c r="F513" s="398">
        <f t="shared" si="41"/>
        <v>0</v>
      </c>
    </row>
    <row r="514" spans="2:6">
      <c r="B514" s="64">
        <v>501</v>
      </c>
      <c r="C514" s="397">
        <f t="shared" si="38"/>
        <v>0</v>
      </c>
      <c r="D514" s="398">
        <f t="shared" si="39"/>
        <v>0</v>
      </c>
      <c r="E514" s="398">
        <f t="shared" si="40"/>
        <v>0</v>
      </c>
      <c r="F514" s="398">
        <f t="shared" si="41"/>
        <v>0</v>
      </c>
    </row>
    <row r="515" spans="2:6">
      <c r="B515" s="64">
        <v>502</v>
      </c>
      <c r="C515" s="397">
        <f t="shared" si="38"/>
        <v>0</v>
      </c>
      <c r="D515" s="398">
        <f t="shared" si="39"/>
        <v>0</v>
      </c>
      <c r="E515" s="398">
        <f t="shared" si="40"/>
        <v>0</v>
      </c>
      <c r="F515" s="398">
        <f t="shared" si="41"/>
        <v>0</v>
      </c>
    </row>
    <row r="516" spans="2:6">
      <c r="B516" s="64">
        <v>503</v>
      </c>
      <c r="C516" s="397">
        <f t="shared" si="38"/>
        <v>0</v>
      </c>
      <c r="D516" s="398">
        <f t="shared" si="39"/>
        <v>0</v>
      </c>
      <c r="E516" s="398">
        <f t="shared" si="40"/>
        <v>0</v>
      </c>
      <c r="F516" s="398">
        <f t="shared" si="41"/>
        <v>0</v>
      </c>
    </row>
    <row r="517" spans="2:6">
      <c r="B517" s="64">
        <v>504</v>
      </c>
      <c r="C517" s="397">
        <f t="shared" si="38"/>
        <v>0</v>
      </c>
      <c r="D517" s="398">
        <f t="shared" si="39"/>
        <v>0</v>
      </c>
      <c r="E517" s="398">
        <f t="shared" si="40"/>
        <v>0</v>
      </c>
      <c r="F517" s="398">
        <f t="shared" si="41"/>
        <v>0</v>
      </c>
    </row>
    <row r="518" spans="2:6">
      <c r="B518" s="64">
        <v>505</v>
      </c>
      <c r="C518" s="397">
        <f t="shared" si="38"/>
        <v>0</v>
      </c>
      <c r="D518" s="398">
        <f t="shared" si="39"/>
        <v>0</v>
      </c>
      <c r="E518" s="398">
        <f t="shared" si="40"/>
        <v>0</v>
      </c>
      <c r="F518" s="398">
        <f t="shared" si="41"/>
        <v>0</v>
      </c>
    </row>
    <row r="519" spans="2:6">
      <c r="B519" s="64">
        <v>506</v>
      </c>
      <c r="C519" s="397">
        <f t="shared" si="38"/>
        <v>0</v>
      </c>
      <c r="D519" s="398">
        <f t="shared" si="39"/>
        <v>0</v>
      </c>
      <c r="E519" s="398">
        <f t="shared" si="40"/>
        <v>0</v>
      </c>
      <c r="F519" s="398">
        <f t="shared" si="41"/>
        <v>0</v>
      </c>
    </row>
    <row r="520" spans="2:6">
      <c r="B520" s="64">
        <v>507</v>
      </c>
      <c r="C520" s="397">
        <f t="shared" si="38"/>
        <v>0</v>
      </c>
      <c r="D520" s="398">
        <f t="shared" si="39"/>
        <v>0</v>
      </c>
      <c r="E520" s="398">
        <f t="shared" si="40"/>
        <v>0</v>
      </c>
      <c r="F520" s="398">
        <f t="shared" si="41"/>
        <v>0</v>
      </c>
    </row>
    <row r="521" spans="2:6">
      <c r="B521" s="64">
        <v>508</v>
      </c>
      <c r="C521" s="397">
        <f t="shared" si="38"/>
        <v>0</v>
      </c>
      <c r="D521" s="398">
        <f t="shared" si="39"/>
        <v>0</v>
      </c>
      <c r="E521" s="398">
        <f t="shared" si="40"/>
        <v>0</v>
      </c>
      <c r="F521" s="398">
        <f t="shared" si="41"/>
        <v>0</v>
      </c>
    </row>
    <row r="522" spans="2:6">
      <c r="B522" s="64">
        <v>509</v>
      </c>
      <c r="C522" s="397">
        <f t="shared" si="38"/>
        <v>0</v>
      </c>
      <c r="D522" s="398">
        <f t="shared" si="39"/>
        <v>0</v>
      </c>
      <c r="E522" s="398">
        <f t="shared" si="40"/>
        <v>0</v>
      </c>
      <c r="F522" s="398">
        <f t="shared" si="41"/>
        <v>0</v>
      </c>
    </row>
    <row r="523" spans="2:6">
      <c r="B523" s="64">
        <v>510</v>
      </c>
      <c r="C523" s="397">
        <f t="shared" si="38"/>
        <v>0</v>
      </c>
      <c r="D523" s="398">
        <f t="shared" si="39"/>
        <v>0</v>
      </c>
      <c r="E523" s="398">
        <f t="shared" si="40"/>
        <v>0</v>
      </c>
      <c r="F523" s="398">
        <f t="shared" si="41"/>
        <v>0</v>
      </c>
    </row>
    <row r="524" spans="2:6">
      <c r="B524" s="64">
        <v>511</v>
      </c>
      <c r="C524" s="397">
        <f t="shared" si="38"/>
        <v>0</v>
      </c>
      <c r="D524" s="398">
        <f t="shared" si="39"/>
        <v>0</v>
      </c>
      <c r="E524" s="398">
        <f t="shared" si="40"/>
        <v>0</v>
      </c>
      <c r="F524" s="398">
        <f t="shared" si="41"/>
        <v>0</v>
      </c>
    </row>
    <row r="525" spans="2:6">
      <c r="B525" s="64">
        <v>512</v>
      </c>
      <c r="C525" s="397">
        <f t="shared" si="38"/>
        <v>0</v>
      </c>
      <c r="D525" s="398">
        <f t="shared" si="39"/>
        <v>0</v>
      </c>
      <c r="E525" s="398">
        <f t="shared" si="40"/>
        <v>0</v>
      </c>
      <c r="F525" s="398">
        <f t="shared" si="41"/>
        <v>0</v>
      </c>
    </row>
    <row r="526" spans="2:6">
      <c r="B526" s="64">
        <v>513</v>
      </c>
      <c r="C526" s="397">
        <f t="shared" si="38"/>
        <v>0</v>
      </c>
      <c r="D526" s="398">
        <f t="shared" si="39"/>
        <v>0</v>
      </c>
      <c r="E526" s="398">
        <f t="shared" si="40"/>
        <v>0</v>
      </c>
      <c r="F526" s="398">
        <f t="shared" si="41"/>
        <v>0</v>
      </c>
    </row>
    <row r="527" spans="2:6">
      <c r="B527" s="64">
        <v>514</v>
      </c>
      <c r="C527" s="397">
        <f t="shared" si="38"/>
        <v>0</v>
      </c>
      <c r="D527" s="398">
        <f t="shared" si="39"/>
        <v>0</v>
      </c>
      <c r="E527" s="398">
        <f t="shared" si="40"/>
        <v>0</v>
      </c>
      <c r="F527" s="398">
        <f t="shared" si="41"/>
        <v>0</v>
      </c>
    </row>
    <row r="528" spans="2:6">
      <c r="B528" s="64">
        <v>515</v>
      </c>
      <c r="C528" s="397">
        <f t="shared" ref="C528:C591" si="42">IF(F527&gt;$C$7,$C$7,F527+D528)</f>
        <v>0</v>
      </c>
      <c r="D528" s="398">
        <f t="shared" ref="D528:D591" si="43">+$C$5*F527/12</f>
        <v>0</v>
      </c>
      <c r="E528" s="398">
        <f t="shared" ref="E528:E591" si="44">+C528-D528</f>
        <v>0</v>
      </c>
      <c r="F528" s="398">
        <f t="shared" ref="F528:F591" si="45">+F527-E528</f>
        <v>0</v>
      </c>
    </row>
    <row r="529" spans="2:6">
      <c r="B529" s="64">
        <v>516</v>
      </c>
      <c r="C529" s="397">
        <f t="shared" si="42"/>
        <v>0</v>
      </c>
      <c r="D529" s="398">
        <f t="shared" si="43"/>
        <v>0</v>
      </c>
      <c r="E529" s="398">
        <f t="shared" si="44"/>
        <v>0</v>
      </c>
      <c r="F529" s="398">
        <f t="shared" si="45"/>
        <v>0</v>
      </c>
    </row>
    <row r="530" spans="2:6">
      <c r="B530" s="64">
        <v>517</v>
      </c>
      <c r="C530" s="397">
        <f t="shared" si="42"/>
        <v>0</v>
      </c>
      <c r="D530" s="398">
        <f t="shared" si="43"/>
        <v>0</v>
      </c>
      <c r="E530" s="398">
        <f t="shared" si="44"/>
        <v>0</v>
      </c>
      <c r="F530" s="398">
        <f t="shared" si="45"/>
        <v>0</v>
      </c>
    </row>
    <row r="531" spans="2:6">
      <c r="B531" s="64">
        <v>518</v>
      </c>
      <c r="C531" s="397">
        <f t="shared" si="42"/>
        <v>0</v>
      </c>
      <c r="D531" s="398">
        <f t="shared" si="43"/>
        <v>0</v>
      </c>
      <c r="E531" s="398">
        <f t="shared" si="44"/>
        <v>0</v>
      </c>
      <c r="F531" s="398">
        <f t="shared" si="45"/>
        <v>0</v>
      </c>
    </row>
    <row r="532" spans="2:6">
      <c r="B532" s="64">
        <v>519</v>
      </c>
      <c r="C532" s="397">
        <f t="shared" si="42"/>
        <v>0</v>
      </c>
      <c r="D532" s="398">
        <f t="shared" si="43"/>
        <v>0</v>
      </c>
      <c r="E532" s="398">
        <f t="shared" si="44"/>
        <v>0</v>
      </c>
      <c r="F532" s="398">
        <f t="shared" si="45"/>
        <v>0</v>
      </c>
    </row>
    <row r="533" spans="2:6">
      <c r="B533" s="64">
        <v>520</v>
      </c>
      <c r="C533" s="397">
        <f t="shared" si="42"/>
        <v>0</v>
      </c>
      <c r="D533" s="398">
        <f t="shared" si="43"/>
        <v>0</v>
      </c>
      <c r="E533" s="398">
        <f t="shared" si="44"/>
        <v>0</v>
      </c>
      <c r="F533" s="398">
        <f t="shared" si="45"/>
        <v>0</v>
      </c>
    </row>
    <row r="534" spans="2:6">
      <c r="B534" s="64">
        <v>521</v>
      </c>
      <c r="C534" s="397">
        <f t="shared" si="42"/>
        <v>0</v>
      </c>
      <c r="D534" s="398">
        <f t="shared" si="43"/>
        <v>0</v>
      </c>
      <c r="E534" s="398">
        <f t="shared" si="44"/>
        <v>0</v>
      </c>
      <c r="F534" s="398">
        <f t="shared" si="45"/>
        <v>0</v>
      </c>
    </row>
    <row r="535" spans="2:6">
      <c r="B535" s="64">
        <v>522</v>
      </c>
      <c r="C535" s="397">
        <f t="shared" si="42"/>
        <v>0</v>
      </c>
      <c r="D535" s="398">
        <f t="shared" si="43"/>
        <v>0</v>
      </c>
      <c r="E535" s="398">
        <f t="shared" si="44"/>
        <v>0</v>
      </c>
      <c r="F535" s="398">
        <f t="shared" si="45"/>
        <v>0</v>
      </c>
    </row>
    <row r="536" spans="2:6">
      <c r="B536" s="64">
        <v>523</v>
      </c>
      <c r="C536" s="397">
        <f t="shared" si="42"/>
        <v>0</v>
      </c>
      <c r="D536" s="398">
        <f t="shared" si="43"/>
        <v>0</v>
      </c>
      <c r="E536" s="398">
        <f t="shared" si="44"/>
        <v>0</v>
      </c>
      <c r="F536" s="398">
        <f t="shared" si="45"/>
        <v>0</v>
      </c>
    </row>
    <row r="537" spans="2:6">
      <c r="B537" s="64">
        <v>524</v>
      </c>
      <c r="C537" s="397">
        <f t="shared" si="42"/>
        <v>0</v>
      </c>
      <c r="D537" s="398">
        <f t="shared" si="43"/>
        <v>0</v>
      </c>
      <c r="E537" s="398">
        <f t="shared" si="44"/>
        <v>0</v>
      </c>
      <c r="F537" s="398">
        <f t="shared" si="45"/>
        <v>0</v>
      </c>
    </row>
    <row r="538" spans="2:6">
      <c r="B538" s="64">
        <v>525</v>
      </c>
      <c r="C538" s="397">
        <f t="shared" si="42"/>
        <v>0</v>
      </c>
      <c r="D538" s="398">
        <f t="shared" si="43"/>
        <v>0</v>
      </c>
      <c r="E538" s="398">
        <f t="shared" si="44"/>
        <v>0</v>
      </c>
      <c r="F538" s="398">
        <f t="shared" si="45"/>
        <v>0</v>
      </c>
    </row>
    <row r="539" spans="2:6">
      <c r="B539" s="64">
        <v>526</v>
      </c>
      <c r="C539" s="397">
        <f t="shared" si="42"/>
        <v>0</v>
      </c>
      <c r="D539" s="398">
        <f t="shared" si="43"/>
        <v>0</v>
      </c>
      <c r="E539" s="398">
        <f t="shared" si="44"/>
        <v>0</v>
      </c>
      <c r="F539" s="398">
        <f t="shared" si="45"/>
        <v>0</v>
      </c>
    </row>
    <row r="540" spans="2:6">
      <c r="B540" s="64">
        <v>527</v>
      </c>
      <c r="C540" s="397">
        <f t="shared" si="42"/>
        <v>0</v>
      </c>
      <c r="D540" s="398">
        <f t="shared" si="43"/>
        <v>0</v>
      </c>
      <c r="E540" s="398">
        <f t="shared" si="44"/>
        <v>0</v>
      </c>
      <c r="F540" s="398">
        <f t="shared" si="45"/>
        <v>0</v>
      </c>
    </row>
    <row r="541" spans="2:6">
      <c r="B541" s="64">
        <v>528</v>
      </c>
      <c r="C541" s="397">
        <f t="shared" si="42"/>
        <v>0</v>
      </c>
      <c r="D541" s="398">
        <f t="shared" si="43"/>
        <v>0</v>
      </c>
      <c r="E541" s="398">
        <f t="shared" si="44"/>
        <v>0</v>
      </c>
      <c r="F541" s="398">
        <f t="shared" si="45"/>
        <v>0</v>
      </c>
    </row>
    <row r="542" spans="2:6">
      <c r="B542" s="64">
        <v>529</v>
      </c>
      <c r="C542" s="397">
        <f t="shared" si="42"/>
        <v>0</v>
      </c>
      <c r="D542" s="398">
        <f t="shared" si="43"/>
        <v>0</v>
      </c>
      <c r="E542" s="398">
        <f t="shared" si="44"/>
        <v>0</v>
      </c>
      <c r="F542" s="398">
        <f t="shared" si="45"/>
        <v>0</v>
      </c>
    </row>
    <row r="543" spans="2:6">
      <c r="B543" s="64">
        <v>530</v>
      </c>
      <c r="C543" s="397">
        <f t="shared" si="42"/>
        <v>0</v>
      </c>
      <c r="D543" s="398">
        <f t="shared" si="43"/>
        <v>0</v>
      </c>
      <c r="E543" s="398">
        <f t="shared" si="44"/>
        <v>0</v>
      </c>
      <c r="F543" s="398">
        <f t="shared" si="45"/>
        <v>0</v>
      </c>
    </row>
    <row r="544" spans="2:6">
      <c r="B544" s="64">
        <v>531</v>
      </c>
      <c r="C544" s="397">
        <f t="shared" si="42"/>
        <v>0</v>
      </c>
      <c r="D544" s="398">
        <f t="shared" si="43"/>
        <v>0</v>
      </c>
      <c r="E544" s="398">
        <f t="shared" si="44"/>
        <v>0</v>
      </c>
      <c r="F544" s="398">
        <f t="shared" si="45"/>
        <v>0</v>
      </c>
    </row>
    <row r="545" spans="2:6">
      <c r="B545" s="64">
        <v>532</v>
      </c>
      <c r="C545" s="397">
        <f t="shared" si="42"/>
        <v>0</v>
      </c>
      <c r="D545" s="398">
        <f t="shared" si="43"/>
        <v>0</v>
      </c>
      <c r="E545" s="398">
        <f t="shared" si="44"/>
        <v>0</v>
      </c>
      <c r="F545" s="398">
        <f t="shared" si="45"/>
        <v>0</v>
      </c>
    </row>
    <row r="546" spans="2:6">
      <c r="B546" s="64">
        <v>533</v>
      </c>
      <c r="C546" s="397">
        <f t="shared" si="42"/>
        <v>0</v>
      </c>
      <c r="D546" s="398">
        <f t="shared" si="43"/>
        <v>0</v>
      </c>
      <c r="E546" s="398">
        <f t="shared" si="44"/>
        <v>0</v>
      </c>
      <c r="F546" s="398">
        <f t="shared" si="45"/>
        <v>0</v>
      </c>
    </row>
    <row r="547" spans="2:6">
      <c r="B547" s="64">
        <v>534</v>
      </c>
      <c r="C547" s="397">
        <f t="shared" si="42"/>
        <v>0</v>
      </c>
      <c r="D547" s="398">
        <f t="shared" si="43"/>
        <v>0</v>
      </c>
      <c r="E547" s="398">
        <f t="shared" si="44"/>
        <v>0</v>
      </c>
      <c r="F547" s="398">
        <f t="shared" si="45"/>
        <v>0</v>
      </c>
    </row>
    <row r="548" spans="2:6">
      <c r="B548" s="64">
        <v>535</v>
      </c>
      <c r="C548" s="397">
        <f t="shared" si="42"/>
        <v>0</v>
      </c>
      <c r="D548" s="398">
        <f t="shared" si="43"/>
        <v>0</v>
      </c>
      <c r="E548" s="398">
        <f t="shared" si="44"/>
        <v>0</v>
      </c>
      <c r="F548" s="398">
        <f t="shared" si="45"/>
        <v>0</v>
      </c>
    </row>
    <row r="549" spans="2:6">
      <c r="B549" s="64">
        <v>536</v>
      </c>
      <c r="C549" s="397">
        <f t="shared" si="42"/>
        <v>0</v>
      </c>
      <c r="D549" s="398">
        <f t="shared" si="43"/>
        <v>0</v>
      </c>
      <c r="E549" s="398">
        <f t="shared" si="44"/>
        <v>0</v>
      </c>
      <c r="F549" s="398">
        <f t="shared" si="45"/>
        <v>0</v>
      </c>
    </row>
    <row r="550" spans="2:6">
      <c r="B550" s="64">
        <v>537</v>
      </c>
      <c r="C550" s="397">
        <f t="shared" si="42"/>
        <v>0</v>
      </c>
      <c r="D550" s="398">
        <f t="shared" si="43"/>
        <v>0</v>
      </c>
      <c r="E550" s="398">
        <f t="shared" si="44"/>
        <v>0</v>
      </c>
      <c r="F550" s="398">
        <f t="shared" si="45"/>
        <v>0</v>
      </c>
    </row>
    <row r="551" spans="2:6">
      <c r="B551" s="64">
        <v>538</v>
      </c>
      <c r="C551" s="397">
        <f t="shared" si="42"/>
        <v>0</v>
      </c>
      <c r="D551" s="398">
        <f t="shared" si="43"/>
        <v>0</v>
      </c>
      <c r="E551" s="398">
        <f t="shared" si="44"/>
        <v>0</v>
      </c>
      <c r="F551" s="398">
        <f t="shared" si="45"/>
        <v>0</v>
      </c>
    </row>
    <row r="552" spans="2:6">
      <c r="B552" s="64">
        <v>539</v>
      </c>
      <c r="C552" s="397">
        <f t="shared" si="42"/>
        <v>0</v>
      </c>
      <c r="D552" s="398">
        <f t="shared" si="43"/>
        <v>0</v>
      </c>
      <c r="E552" s="398">
        <f t="shared" si="44"/>
        <v>0</v>
      </c>
      <c r="F552" s="398">
        <f t="shared" si="45"/>
        <v>0</v>
      </c>
    </row>
    <row r="553" spans="2:6">
      <c r="B553" s="64">
        <v>540</v>
      </c>
      <c r="C553" s="397">
        <f t="shared" si="42"/>
        <v>0</v>
      </c>
      <c r="D553" s="398">
        <f t="shared" si="43"/>
        <v>0</v>
      </c>
      <c r="E553" s="398">
        <f t="shared" si="44"/>
        <v>0</v>
      </c>
      <c r="F553" s="398">
        <f t="shared" si="45"/>
        <v>0</v>
      </c>
    </row>
    <row r="554" spans="2:6">
      <c r="B554" s="64">
        <v>541</v>
      </c>
      <c r="C554" s="397">
        <f t="shared" si="42"/>
        <v>0</v>
      </c>
      <c r="D554" s="398">
        <f t="shared" si="43"/>
        <v>0</v>
      </c>
      <c r="E554" s="398">
        <f t="shared" si="44"/>
        <v>0</v>
      </c>
      <c r="F554" s="398">
        <f t="shared" si="45"/>
        <v>0</v>
      </c>
    </row>
    <row r="555" spans="2:6">
      <c r="B555" s="64">
        <v>542</v>
      </c>
      <c r="C555" s="397">
        <f t="shared" si="42"/>
        <v>0</v>
      </c>
      <c r="D555" s="398">
        <f t="shared" si="43"/>
        <v>0</v>
      </c>
      <c r="E555" s="398">
        <f t="shared" si="44"/>
        <v>0</v>
      </c>
      <c r="F555" s="398">
        <f t="shared" si="45"/>
        <v>0</v>
      </c>
    </row>
    <row r="556" spans="2:6">
      <c r="B556" s="64">
        <v>543</v>
      </c>
      <c r="C556" s="397">
        <f t="shared" si="42"/>
        <v>0</v>
      </c>
      <c r="D556" s="398">
        <f t="shared" si="43"/>
        <v>0</v>
      </c>
      <c r="E556" s="398">
        <f t="shared" si="44"/>
        <v>0</v>
      </c>
      <c r="F556" s="398">
        <f t="shared" si="45"/>
        <v>0</v>
      </c>
    </row>
    <row r="557" spans="2:6">
      <c r="B557" s="64">
        <v>544</v>
      </c>
      <c r="C557" s="397">
        <f t="shared" si="42"/>
        <v>0</v>
      </c>
      <c r="D557" s="398">
        <f t="shared" si="43"/>
        <v>0</v>
      </c>
      <c r="E557" s="398">
        <f t="shared" si="44"/>
        <v>0</v>
      </c>
      <c r="F557" s="398">
        <f t="shared" si="45"/>
        <v>0</v>
      </c>
    </row>
    <row r="558" spans="2:6">
      <c r="B558" s="64">
        <v>545</v>
      </c>
      <c r="C558" s="397">
        <f t="shared" si="42"/>
        <v>0</v>
      </c>
      <c r="D558" s="398">
        <f t="shared" si="43"/>
        <v>0</v>
      </c>
      <c r="E558" s="398">
        <f t="shared" si="44"/>
        <v>0</v>
      </c>
      <c r="F558" s="398">
        <f t="shared" si="45"/>
        <v>0</v>
      </c>
    </row>
    <row r="559" spans="2:6">
      <c r="B559" s="64">
        <v>546</v>
      </c>
      <c r="C559" s="397">
        <f t="shared" si="42"/>
        <v>0</v>
      </c>
      <c r="D559" s="398">
        <f t="shared" si="43"/>
        <v>0</v>
      </c>
      <c r="E559" s="398">
        <f t="shared" si="44"/>
        <v>0</v>
      </c>
      <c r="F559" s="398">
        <f t="shared" si="45"/>
        <v>0</v>
      </c>
    </row>
    <row r="560" spans="2:6">
      <c r="B560" s="64">
        <v>547</v>
      </c>
      <c r="C560" s="397">
        <f t="shared" si="42"/>
        <v>0</v>
      </c>
      <c r="D560" s="398">
        <f t="shared" si="43"/>
        <v>0</v>
      </c>
      <c r="E560" s="398">
        <f t="shared" si="44"/>
        <v>0</v>
      </c>
      <c r="F560" s="398">
        <f t="shared" si="45"/>
        <v>0</v>
      </c>
    </row>
    <row r="561" spans="2:6">
      <c r="B561" s="64">
        <v>548</v>
      </c>
      <c r="C561" s="397">
        <f t="shared" si="42"/>
        <v>0</v>
      </c>
      <c r="D561" s="398">
        <f t="shared" si="43"/>
        <v>0</v>
      </c>
      <c r="E561" s="398">
        <f t="shared" si="44"/>
        <v>0</v>
      </c>
      <c r="F561" s="398">
        <f t="shared" si="45"/>
        <v>0</v>
      </c>
    </row>
    <row r="562" spans="2:6">
      <c r="B562" s="64">
        <v>549</v>
      </c>
      <c r="C562" s="397">
        <f t="shared" si="42"/>
        <v>0</v>
      </c>
      <c r="D562" s="398">
        <f t="shared" si="43"/>
        <v>0</v>
      </c>
      <c r="E562" s="398">
        <f t="shared" si="44"/>
        <v>0</v>
      </c>
      <c r="F562" s="398">
        <f t="shared" si="45"/>
        <v>0</v>
      </c>
    </row>
    <row r="563" spans="2:6">
      <c r="B563" s="64">
        <v>550</v>
      </c>
      <c r="C563" s="397">
        <f t="shared" si="42"/>
        <v>0</v>
      </c>
      <c r="D563" s="398">
        <f t="shared" si="43"/>
        <v>0</v>
      </c>
      <c r="E563" s="398">
        <f t="shared" si="44"/>
        <v>0</v>
      </c>
      <c r="F563" s="398">
        <f t="shared" si="45"/>
        <v>0</v>
      </c>
    </row>
    <row r="564" spans="2:6">
      <c r="B564" s="64">
        <v>551</v>
      </c>
      <c r="C564" s="397">
        <f t="shared" si="42"/>
        <v>0</v>
      </c>
      <c r="D564" s="398">
        <f t="shared" si="43"/>
        <v>0</v>
      </c>
      <c r="E564" s="398">
        <f t="shared" si="44"/>
        <v>0</v>
      </c>
      <c r="F564" s="398">
        <f t="shared" si="45"/>
        <v>0</v>
      </c>
    </row>
    <row r="565" spans="2:6">
      <c r="B565" s="64">
        <v>552</v>
      </c>
      <c r="C565" s="397">
        <f t="shared" si="42"/>
        <v>0</v>
      </c>
      <c r="D565" s="398">
        <f t="shared" si="43"/>
        <v>0</v>
      </c>
      <c r="E565" s="398">
        <f t="shared" si="44"/>
        <v>0</v>
      </c>
      <c r="F565" s="398">
        <f t="shared" si="45"/>
        <v>0</v>
      </c>
    </row>
    <row r="566" spans="2:6">
      <c r="B566" s="64">
        <v>553</v>
      </c>
      <c r="C566" s="397">
        <f t="shared" si="42"/>
        <v>0</v>
      </c>
      <c r="D566" s="398">
        <f t="shared" si="43"/>
        <v>0</v>
      </c>
      <c r="E566" s="398">
        <f t="shared" si="44"/>
        <v>0</v>
      </c>
      <c r="F566" s="398">
        <f t="shared" si="45"/>
        <v>0</v>
      </c>
    </row>
    <row r="567" spans="2:6">
      <c r="B567" s="64">
        <v>554</v>
      </c>
      <c r="C567" s="397">
        <f t="shared" si="42"/>
        <v>0</v>
      </c>
      <c r="D567" s="398">
        <f t="shared" si="43"/>
        <v>0</v>
      </c>
      <c r="E567" s="398">
        <f t="shared" si="44"/>
        <v>0</v>
      </c>
      <c r="F567" s="398">
        <f t="shared" si="45"/>
        <v>0</v>
      </c>
    </row>
    <row r="568" spans="2:6">
      <c r="B568" s="64">
        <v>555</v>
      </c>
      <c r="C568" s="397">
        <f t="shared" si="42"/>
        <v>0</v>
      </c>
      <c r="D568" s="398">
        <f t="shared" si="43"/>
        <v>0</v>
      </c>
      <c r="E568" s="398">
        <f t="shared" si="44"/>
        <v>0</v>
      </c>
      <c r="F568" s="398">
        <f t="shared" si="45"/>
        <v>0</v>
      </c>
    </row>
    <row r="569" spans="2:6">
      <c r="B569" s="64">
        <v>556</v>
      </c>
      <c r="C569" s="397">
        <f t="shared" si="42"/>
        <v>0</v>
      </c>
      <c r="D569" s="398">
        <f t="shared" si="43"/>
        <v>0</v>
      </c>
      <c r="E569" s="398">
        <f t="shared" si="44"/>
        <v>0</v>
      </c>
      <c r="F569" s="398">
        <f t="shared" si="45"/>
        <v>0</v>
      </c>
    </row>
    <row r="570" spans="2:6">
      <c r="B570" s="64">
        <v>557</v>
      </c>
      <c r="C570" s="397">
        <f t="shared" si="42"/>
        <v>0</v>
      </c>
      <c r="D570" s="398">
        <f t="shared" si="43"/>
        <v>0</v>
      </c>
      <c r="E570" s="398">
        <f t="shared" si="44"/>
        <v>0</v>
      </c>
      <c r="F570" s="398">
        <f t="shared" si="45"/>
        <v>0</v>
      </c>
    </row>
    <row r="571" spans="2:6">
      <c r="B571" s="64">
        <v>558</v>
      </c>
      <c r="C571" s="397">
        <f t="shared" si="42"/>
        <v>0</v>
      </c>
      <c r="D571" s="398">
        <f t="shared" si="43"/>
        <v>0</v>
      </c>
      <c r="E571" s="398">
        <f t="shared" si="44"/>
        <v>0</v>
      </c>
      <c r="F571" s="398">
        <f t="shared" si="45"/>
        <v>0</v>
      </c>
    </row>
    <row r="572" spans="2:6">
      <c r="B572" s="64">
        <v>559</v>
      </c>
      <c r="C572" s="397">
        <f t="shared" si="42"/>
        <v>0</v>
      </c>
      <c r="D572" s="398">
        <f t="shared" si="43"/>
        <v>0</v>
      </c>
      <c r="E572" s="398">
        <f t="shared" si="44"/>
        <v>0</v>
      </c>
      <c r="F572" s="398">
        <f t="shared" si="45"/>
        <v>0</v>
      </c>
    </row>
    <row r="573" spans="2:6">
      <c r="B573" s="64">
        <v>560</v>
      </c>
      <c r="C573" s="397">
        <f t="shared" si="42"/>
        <v>0</v>
      </c>
      <c r="D573" s="398">
        <f t="shared" si="43"/>
        <v>0</v>
      </c>
      <c r="E573" s="398">
        <f t="shared" si="44"/>
        <v>0</v>
      </c>
      <c r="F573" s="398">
        <f t="shared" si="45"/>
        <v>0</v>
      </c>
    </row>
    <row r="574" spans="2:6">
      <c r="B574" s="64">
        <v>561</v>
      </c>
      <c r="C574" s="397">
        <f t="shared" si="42"/>
        <v>0</v>
      </c>
      <c r="D574" s="398">
        <f t="shared" si="43"/>
        <v>0</v>
      </c>
      <c r="E574" s="398">
        <f t="shared" si="44"/>
        <v>0</v>
      </c>
      <c r="F574" s="398">
        <f t="shared" si="45"/>
        <v>0</v>
      </c>
    </row>
    <row r="575" spans="2:6">
      <c r="B575" s="64">
        <v>562</v>
      </c>
      <c r="C575" s="397">
        <f t="shared" si="42"/>
        <v>0</v>
      </c>
      <c r="D575" s="398">
        <f t="shared" si="43"/>
        <v>0</v>
      </c>
      <c r="E575" s="398">
        <f t="shared" si="44"/>
        <v>0</v>
      </c>
      <c r="F575" s="398">
        <f t="shared" si="45"/>
        <v>0</v>
      </c>
    </row>
    <row r="576" spans="2:6">
      <c r="B576" s="64">
        <v>563</v>
      </c>
      <c r="C576" s="397">
        <f t="shared" si="42"/>
        <v>0</v>
      </c>
      <c r="D576" s="398">
        <f t="shared" si="43"/>
        <v>0</v>
      </c>
      <c r="E576" s="398">
        <f t="shared" si="44"/>
        <v>0</v>
      </c>
      <c r="F576" s="398">
        <f t="shared" si="45"/>
        <v>0</v>
      </c>
    </row>
    <row r="577" spans="2:6">
      <c r="B577" s="64">
        <v>564</v>
      </c>
      <c r="C577" s="397">
        <f t="shared" si="42"/>
        <v>0</v>
      </c>
      <c r="D577" s="398">
        <f t="shared" si="43"/>
        <v>0</v>
      </c>
      <c r="E577" s="398">
        <f t="shared" si="44"/>
        <v>0</v>
      </c>
      <c r="F577" s="398">
        <f t="shared" si="45"/>
        <v>0</v>
      </c>
    </row>
    <row r="578" spans="2:6">
      <c r="B578" s="64">
        <v>565</v>
      </c>
      <c r="C578" s="397">
        <f t="shared" si="42"/>
        <v>0</v>
      </c>
      <c r="D578" s="398">
        <f t="shared" si="43"/>
        <v>0</v>
      </c>
      <c r="E578" s="398">
        <f t="shared" si="44"/>
        <v>0</v>
      </c>
      <c r="F578" s="398">
        <f t="shared" si="45"/>
        <v>0</v>
      </c>
    </row>
    <row r="579" spans="2:6">
      <c r="B579" s="64">
        <v>566</v>
      </c>
      <c r="C579" s="397">
        <f t="shared" si="42"/>
        <v>0</v>
      </c>
      <c r="D579" s="398">
        <f t="shared" si="43"/>
        <v>0</v>
      </c>
      <c r="E579" s="398">
        <f t="shared" si="44"/>
        <v>0</v>
      </c>
      <c r="F579" s="398">
        <f t="shared" si="45"/>
        <v>0</v>
      </c>
    </row>
    <row r="580" spans="2:6">
      <c r="B580" s="64">
        <v>567</v>
      </c>
      <c r="C580" s="397">
        <f t="shared" si="42"/>
        <v>0</v>
      </c>
      <c r="D580" s="398">
        <f t="shared" si="43"/>
        <v>0</v>
      </c>
      <c r="E580" s="398">
        <f t="shared" si="44"/>
        <v>0</v>
      </c>
      <c r="F580" s="398">
        <f t="shared" si="45"/>
        <v>0</v>
      </c>
    </row>
    <row r="581" spans="2:6">
      <c r="B581" s="64">
        <v>568</v>
      </c>
      <c r="C581" s="397">
        <f t="shared" si="42"/>
        <v>0</v>
      </c>
      <c r="D581" s="398">
        <f t="shared" si="43"/>
        <v>0</v>
      </c>
      <c r="E581" s="398">
        <f t="shared" si="44"/>
        <v>0</v>
      </c>
      <c r="F581" s="398">
        <f t="shared" si="45"/>
        <v>0</v>
      </c>
    </row>
    <row r="582" spans="2:6">
      <c r="B582" s="64">
        <v>569</v>
      </c>
      <c r="C582" s="397">
        <f t="shared" si="42"/>
        <v>0</v>
      </c>
      <c r="D582" s="398">
        <f t="shared" si="43"/>
        <v>0</v>
      </c>
      <c r="E582" s="398">
        <f t="shared" si="44"/>
        <v>0</v>
      </c>
      <c r="F582" s="398">
        <f t="shared" si="45"/>
        <v>0</v>
      </c>
    </row>
    <row r="583" spans="2:6">
      <c r="B583" s="64">
        <v>570</v>
      </c>
      <c r="C583" s="397">
        <f t="shared" si="42"/>
        <v>0</v>
      </c>
      <c r="D583" s="398">
        <f t="shared" si="43"/>
        <v>0</v>
      </c>
      <c r="E583" s="398">
        <f t="shared" si="44"/>
        <v>0</v>
      </c>
      <c r="F583" s="398">
        <f t="shared" si="45"/>
        <v>0</v>
      </c>
    </row>
    <row r="584" spans="2:6">
      <c r="B584" s="64">
        <v>571</v>
      </c>
      <c r="C584" s="397">
        <f t="shared" si="42"/>
        <v>0</v>
      </c>
      <c r="D584" s="398">
        <f t="shared" si="43"/>
        <v>0</v>
      </c>
      <c r="E584" s="398">
        <f t="shared" si="44"/>
        <v>0</v>
      </c>
      <c r="F584" s="398">
        <f t="shared" si="45"/>
        <v>0</v>
      </c>
    </row>
    <row r="585" spans="2:6">
      <c r="B585" s="64">
        <v>572</v>
      </c>
      <c r="C585" s="397">
        <f t="shared" si="42"/>
        <v>0</v>
      </c>
      <c r="D585" s="398">
        <f t="shared" si="43"/>
        <v>0</v>
      </c>
      <c r="E585" s="398">
        <f t="shared" si="44"/>
        <v>0</v>
      </c>
      <c r="F585" s="398">
        <f t="shared" si="45"/>
        <v>0</v>
      </c>
    </row>
    <row r="586" spans="2:6">
      <c r="B586" s="64">
        <v>573</v>
      </c>
      <c r="C586" s="397">
        <f t="shared" si="42"/>
        <v>0</v>
      </c>
      <c r="D586" s="398">
        <f t="shared" si="43"/>
        <v>0</v>
      </c>
      <c r="E586" s="398">
        <f t="shared" si="44"/>
        <v>0</v>
      </c>
      <c r="F586" s="398">
        <f t="shared" si="45"/>
        <v>0</v>
      </c>
    </row>
    <row r="587" spans="2:6">
      <c r="B587" s="64">
        <v>574</v>
      </c>
      <c r="C587" s="397">
        <f t="shared" si="42"/>
        <v>0</v>
      </c>
      <c r="D587" s="398">
        <f t="shared" si="43"/>
        <v>0</v>
      </c>
      <c r="E587" s="398">
        <f t="shared" si="44"/>
        <v>0</v>
      </c>
      <c r="F587" s="398">
        <f t="shared" si="45"/>
        <v>0</v>
      </c>
    </row>
    <row r="588" spans="2:6">
      <c r="B588" s="64">
        <v>575</v>
      </c>
      <c r="C588" s="397">
        <f t="shared" si="42"/>
        <v>0</v>
      </c>
      <c r="D588" s="398">
        <f t="shared" si="43"/>
        <v>0</v>
      </c>
      <c r="E588" s="398">
        <f t="shared" si="44"/>
        <v>0</v>
      </c>
      <c r="F588" s="398">
        <f t="shared" si="45"/>
        <v>0</v>
      </c>
    </row>
    <row r="589" spans="2:6">
      <c r="B589" s="64">
        <v>576</v>
      </c>
      <c r="C589" s="397">
        <f t="shared" si="42"/>
        <v>0</v>
      </c>
      <c r="D589" s="398">
        <f t="shared" si="43"/>
        <v>0</v>
      </c>
      <c r="E589" s="398">
        <f t="shared" si="44"/>
        <v>0</v>
      </c>
      <c r="F589" s="398">
        <f t="shared" si="45"/>
        <v>0</v>
      </c>
    </row>
    <row r="590" spans="2:6">
      <c r="B590" s="64">
        <v>577</v>
      </c>
      <c r="C590" s="397">
        <f t="shared" si="42"/>
        <v>0</v>
      </c>
      <c r="D590" s="398">
        <f t="shared" si="43"/>
        <v>0</v>
      </c>
      <c r="E590" s="398">
        <f t="shared" si="44"/>
        <v>0</v>
      </c>
      <c r="F590" s="398">
        <f t="shared" si="45"/>
        <v>0</v>
      </c>
    </row>
    <row r="591" spans="2:6">
      <c r="B591" s="64">
        <v>578</v>
      </c>
      <c r="C591" s="397">
        <f t="shared" si="42"/>
        <v>0</v>
      </c>
      <c r="D591" s="398">
        <f t="shared" si="43"/>
        <v>0</v>
      </c>
      <c r="E591" s="398">
        <f t="shared" si="44"/>
        <v>0</v>
      </c>
      <c r="F591" s="398">
        <f t="shared" si="45"/>
        <v>0</v>
      </c>
    </row>
    <row r="592" spans="2:6">
      <c r="B592" s="64">
        <v>579</v>
      </c>
      <c r="C592" s="397">
        <f t="shared" ref="C592:C655" si="46">IF(F591&gt;$C$7,$C$7,F591+D592)</f>
        <v>0</v>
      </c>
      <c r="D592" s="398">
        <f t="shared" ref="D592:D655" si="47">+$C$5*F591/12</f>
        <v>0</v>
      </c>
      <c r="E592" s="398">
        <f t="shared" ref="E592:E655" si="48">+C592-D592</f>
        <v>0</v>
      </c>
      <c r="F592" s="398">
        <f t="shared" ref="F592:F655" si="49">+F591-E592</f>
        <v>0</v>
      </c>
    </row>
    <row r="593" spans="2:6">
      <c r="B593" s="64">
        <v>580</v>
      </c>
      <c r="C593" s="397">
        <f t="shared" si="46"/>
        <v>0</v>
      </c>
      <c r="D593" s="398">
        <f t="shared" si="47"/>
        <v>0</v>
      </c>
      <c r="E593" s="398">
        <f t="shared" si="48"/>
        <v>0</v>
      </c>
      <c r="F593" s="398">
        <f t="shared" si="49"/>
        <v>0</v>
      </c>
    </row>
    <row r="594" spans="2:6">
      <c r="B594" s="64">
        <v>581</v>
      </c>
      <c r="C594" s="397">
        <f t="shared" si="46"/>
        <v>0</v>
      </c>
      <c r="D594" s="398">
        <f t="shared" si="47"/>
        <v>0</v>
      </c>
      <c r="E594" s="398">
        <f t="shared" si="48"/>
        <v>0</v>
      </c>
      <c r="F594" s="398">
        <f t="shared" si="49"/>
        <v>0</v>
      </c>
    </row>
    <row r="595" spans="2:6">
      <c r="B595" s="64">
        <v>582</v>
      </c>
      <c r="C595" s="397">
        <f t="shared" si="46"/>
        <v>0</v>
      </c>
      <c r="D595" s="398">
        <f t="shared" si="47"/>
        <v>0</v>
      </c>
      <c r="E595" s="398">
        <f t="shared" si="48"/>
        <v>0</v>
      </c>
      <c r="F595" s="398">
        <f t="shared" si="49"/>
        <v>0</v>
      </c>
    </row>
    <row r="596" spans="2:6">
      <c r="B596" s="64">
        <v>583</v>
      </c>
      <c r="C596" s="397">
        <f t="shared" si="46"/>
        <v>0</v>
      </c>
      <c r="D596" s="398">
        <f t="shared" si="47"/>
        <v>0</v>
      </c>
      <c r="E596" s="398">
        <f t="shared" si="48"/>
        <v>0</v>
      </c>
      <c r="F596" s="398">
        <f t="shared" si="49"/>
        <v>0</v>
      </c>
    </row>
    <row r="597" spans="2:6">
      <c r="B597" s="64">
        <v>584</v>
      </c>
      <c r="C597" s="397">
        <f t="shared" si="46"/>
        <v>0</v>
      </c>
      <c r="D597" s="398">
        <f t="shared" si="47"/>
        <v>0</v>
      </c>
      <c r="E597" s="398">
        <f t="shared" si="48"/>
        <v>0</v>
      </c>
      <c r="F597" s="398">
        <f t="shared" si="49"/>
        <v>0</v>
      </c>
    </row>
    <row r="598" spans="2:6">
      <c r="B598" s="64">
        <v>585</v>
      </c>
      <c r="C598" s="397">
        <f t="shared" si="46"/>
        <v>0</v>
      </c>
      <c r="D598" s="398">
        <f t="shared" si="47"/>
        <v>0</v>
      </c>
      <c r="E598" s="398">
        <f t="shared" si="48"/>
        <v>0</v>
      </c>
      <c r="F598" s="398">
        <f t="shared" si="49"/>
        <v>0</v>
      </c>
    </row>
    <row r="599" spans="2:6">
      <c r="B599" s="64">
        <v>586</v>
      </c>
      <c r="C599" s="397">
        <f t="shared" si="46"/>
        <v>0</v>
      </c>
      <c r="D599" s="398">
        <f t="shared" si="47"/>
        <v>0</v>
      </c>
      <c r="E599" s="398">
        <f t="shared" si="48"/>
        <v>0</v>
      </c>
      <c r="F599" s="398">
        <f t="shared" si="49"/>
        <v>0</v>
      </c>
    </row>
    <row r="600" spans="2:6">
      <c r="B600" s="64">
        <v>587</v>
      </c>
      <c r="C600" s="397">
        <f t="shared" si="46"/>
        <v>0</v>
      </c>
      <c r="D600" s="398">
        <f t="shared" si="47"/>
        <v>0</v>
      </c>
      <c r="E600" s="398">
        <f t="shared" si="48"/>
        <v>0</v>
      </c>
      <c r="F600" s="398">
        <f t="shared" si="49"/>
        <v>0</v>
      </c>
    </row>
    <row r="601" spans="2:6">
      <c r="B601" s="64">
        <v>588</v>
      </c>
      <c r="C601" s="397">
        <f t="shared" si="46"/>
        <v>0</v>
      </c>
      <c r="D601" s="398">
        <f t="shared" si="47"/>
        <v>0</v>
      </c>
      <c r="E601" s="398">
        <f t="shared" si="48"/>
        <v>0</v>
      </c>
      <c r="F601" s="398">
        <f t="shared" si="49"/>
        <v>0</v>
      </c>
    </row>
    <row r="602" spans="2:6">
      <c r="B602" s="64">
        <v>589</v>
      </c>
      <c r="C602" s="397">
        <f t="shared" si="46"/>
        <v>0</v>
      </c>
      <c r="D602" s="398">
        <f t="shared" si="47"/>
        <v>0</v>
      </c>
      <c r="E602" s="398">
        <f t="shared" si="48"/>
        <v>0</v>
      </c>
      <c r="F602" s="398">
        <f t="shared" si="49"/>
        <v>0</v>
      </c>
    </row>
    <row r="603" spans="2:6">
      <c r="B603" s="64">
        <v>590</v>
      </c>
      <c r="C603" s="397">
        <f t="shared" si="46"/>
        <v>0</v>
      </c>
      <c r="D603" s="398">
        <f t="shared" si="47"/>
        <v>0</v>
      </c>
      <c r="E603" s="398">
        <f t="shared" si="48"/>
        <v>0</v>
      </c>
      <c r="F603" s="398">
        <f t="shared" si="49"/>
        <v>0</v>
      </c>
    </row>
    <row r="604" spans="2:6">
      <c r="B604" s="64">
        <v>591</v>
      </c>
      <c r="C604" s="397">
        <f t="shared" si="46"/>
        <v>0</v>
      </c>
      <c r="D604" s="398">
        <f t="shared" si="47"/>
        <v>0</v>
      </c>
      <c r="E604" s="398">
        <f t="shared" si="48"/>
        <v>0</v>
      </c>
      <c r="F604" s="398">
        <f t="shared" si="49"/>
        <v>0</v>
      </c>
    </row>
    <row r="605" spans="2:6">
      <c r="B605" s="64">
        <v>592</v>
      </c>
      <c r="C605" s="397">
        <f t="shared" si="46"/>
        <v>0</v>
      </c>
      <c r="D605" s="398">
        <f t="shared" si="47"/>
        <v>0</v>
      </c>
      <c r="E605" s="398">
        <f t="shared" si="48"/>
        <v>0</v>
      </c>
      <c r="F605" s="398">
        <f t="shared" si="49"/>
        <v>0</v>
      </c>
    </row>
    <row r="606" spans="2:6">
      <c r="B606" s="64">
        <v>593</v>
      </c>
      <c r="C606" s="397">
        <f t="shared" si="46"/>
        <v>0</v>
      </c>
      <c r="D606" s="398">
        <f t="shared" si="47"/>
        <v>0</v>
      </c>
      <c r="E606" s="398">
        <f t="shared" si="48"/>
        <v>0</v>
      </c>
      <c r="F606" s="398">
        <f t="shared" si="49"/>
        <v>0</v>
      </c>
    </row>
    <row r="607" spans="2:6">
      <c r="B607" s="64">
        <v>594</v>
      </c>
      <c r="C607" s="397">
        <f t="shared" si="46"/>
        <v>0</v>
      </c>
      <c r="D607" s="398">
        <f t="shared" si="47"/>
        <v>0</v>
      </c>
      <c r="E607" s="398">
        <f t="shared" si="48"/>
        <v>0</v>
      </c>
      <c r="F607" s="398">
        <f t="shared" si="49"/>
        <v>0</v>
      </c>
    </row>
    <row r="608" spans="2:6">
      <c r="B608" s="64">
        <v>595</v>
      </c>
      <c r="C608" s="397">
        <f t="shared" si="46"/>
        <v>0</v>
      </c>
      <c r="D608" s="398">
        <f t="shared" si="47"/>
        <v>0</v>
      </c>
      <c r="E608" s="398">
        <f t="shared" si="48"/>
        <v>0</v>
      </c>
      <c r="F608" s="398">
        <f t="shared" si="49"/>
        <v>0</v>
      </c>
    </row>
    <row r="609" spans="2:6">
      <c r="B609" s="64">
        <v>596</v>
      </c>
      <c r="C609" s="397">
        <f t="shared" si="46"/>
        <v>0</v>
      </c>
      <c r="D609" s="398">
        <f t="shared" si="47"/>
        <v>0</v>
      </c>
      <c r="E609" s="398">
        <f t="shared" si="48"/>
        <v>0</v>
      </c>
      <c r="F609" s="398">
        <f t="shared" si="49"/>
        <v>0</v>
      </c>
    </row>
    <row r="610" spans="2:6">
      <c r="B610" s="64">
        <v>597</v>
      </c>
      <c r="C610" s="397">
        <f t="shared" si="46"/>
        <v>0</v>
      </c>
      <c r="D610" s="398">
        <f t="shared" si="47"/>
        <v>0</v>
      </c>
      <c r="E610" s="398">
        <f t="shared" si="48"/>
        <v>0</v>
      </c>
      <c r="F610" s="398">
        <f t="shared" si="49"/>
        <v>0</v>
      </c>
    </row>
    <row r="611" spans="2:6">
      <c r="B611" s="64">
        <v>598</v>
      </c>
      <c r="C611" s="397">
        <f t="shared" si="46"/>
        <v>0</v>
      </c>
      <c r="D611" s="398">
        <f t="shared" si="47"/>
        <v>0</v>
      </c>
      <c r="E611" s="398">
        <f t="shared" si="48"/>
        <v>0</v>
      </c>
      <c r="F611" s="398">
        <f t="shared" si="49"/>
        <v>0</v>
      </c>
    </row>
    <row r="612" spans="2:6">
      <c r="B612" s="64">
        <v>599</v>
      </c>
      <c r="C612" s="397">
        <f t="shared" si="46"/>
        <v>0</v>
      </c>
      <c r="D612" s="398">
        <f t="shared" si="47"/>
        <v>0</v>
      </c>
      <c r="E612" s="398">
        <f t="shared" si="48"/>
        <v>0</v>
      </c>
      <c r="F612" s="398">
        <f t="shared" si="49"/>
        <v>0</v>
      </c>
    </row>
    <row r="613" spans="2:6">
      <c r="B613" s="64">
        <v>600</v>
      </c>
      <c r="C613" s="397">
        <f t="shared" si="46"/>
        <v>0</v>
      </c>
      <c r="D613" s="398">
        <f t="shared" si="47"/>
        <v>0</v>
      </c>
      <c r="E613" s="398">
        <f t="shared" si="48"/>
        <v>0</v>
      </c>
      <c r="F613" s="398">
        <f t="shared" si="49"/>
        <v>0</v>
      </c>
    </row>
    <row r="614" spans="2:6">
      <c r="B614" s="64">
        <v>601</v>
      </c>
      <c r="C614" s="397">
        <f t="shared" si="46"/>
        <v>0</v>
      </c>
      <c r="D614" s="398">
        <f t="shared" si="47"/>
        <v>0</v>
      </c>
      <c r="E614" s="398">
        <f t="shared" si="48"/>
        <v>0</v>
      </c>
      <c r="F614" s="398">
        <f t="shared" si="49"/>
        <v>0</v>
      </c>
    </row>
    <row r="615" spans="2:6">
      <c r="B615" s="64">
        <v>602</v>
      </c>
      <c r="C615" s="397">
        <f t="shared" si="46"/>
        <v>0</v>
      </c>
      <c r="D615" s="398">
        <f t="shared" si="47"/>
        <v>0</v>
      </c>
      <c r="E615" s="398">
        <f t="shared" si="48"/>
        <v>0</v>
      </c>
      <c r="F615" s="398">
        <f t="shared" si="49"/>
        <v>0</v>
      </c>
    </row>
    <row r="616" spans="2:6">
      <c r="B616" s="64">
        <v>603</v>
      </c>
      <c r="C616" s="397">
        <f t="shared" si="46"/>
        <v>0</v>
      </c>
      <c r="D616" s="398">
        <f t="shared" si="47"/>
        <v>0</v>
      </c>
      <c r="E616" s="398">
        <f t="shared" si="48"/>
        <v>0</v>
      </c>
      <c r="F616" s="398">
        <f t="shared" si="49"/>
        <v>0</v>
      </c>
    </row>
    <row r="617" spans="2:6">
      <c r="B617" s="64">
        <v>604</v>
      </c>
      <c r="C617" s="397">
        <f t="shared" si="46"/>
        <v>0</v>
      </c>
      <c r="D617" s="398">
        <f t="shared" si="47"/>
        <v>0</v>
      </c>
      <c r="E617" s="398">
        <f t="shared" si="48"/>
        <v>0</v>
      </c>
      <c r="F617" s="398">
        <f t="shared" si="49"/>
        <v>0</v>
      </c>
    </row>
    <row r="618" spans="2:6">
      <c r="B618" s="64">
        <v>605</v>
      </c>
      <c r="C618" s="397">
        <f t="shared" si="46"/>
        <v>0</v>
      </c>
      <c r="D618" s="398">
        <f t="shared" si="47"/>
        <v>0</v>
      </c>
      <c r="E618" s="398">
        <f t="shared" si="48"/>
        <v>0</v>
      </c>
      <c r="F618" s="398">
        <f t="shared" si="49"/>
        <v>0</v>
      </c>
    </row>
    <row r="619" spans="2:6">
      <c r="B619" s="64">
        <v>606</v>
      </c>
      <c r="C619" s="397">
        <f t="shared" si="46"/>
        <v>0</v>
      </c>
      <c r="D619" s="398">
        <f t="shared" si="47"/>
        <v>0</v>
      </c>
      <c r="E619" s="398">
        <f t="shared" si="48"/>
        <v>0</v>
      </c>
      <c r="F619" s="398">
        <f t="shared" si="49"/>
        <v>0</v>
      </c>
    </row>
    <row r="620" spans="2:6">
      <c r="B620" s="64">
        <v>607</v>
      </c>
      <c r="C620" s="397">
        <f t="shared" si="46"/>
        <v>0</v>
      </c>
      <c r="D620" s="398">
        <f t="shared" si="47"/>
        <v>0</v>
      </c>
      <c r="E620" s="398">
        <f t="shared" si="48"/>
        <v>0</v>
      </c>
      <c r="F620" s="398">
        <f t="shared" si="49"/>
        <v>0</v>
      </c>
    </row>
    <row r="621" spans="2:6">
      <c r="B621" s="64">
        <v>608</v>
      </c>
      <c r="C621" s="397">
        <f t="shared" si="46"/>
        <v>0</v>
      </c>
      <c r="D621" s="398">
        <f t="shared" si="47"/>
        <v>0</v>
      </c>
      <c r="E621" s="398">
        <f t="shared" si="48"/>
        <v>0</v>
      </c>
      <c r="F621" s="398">
        <f t="shared" si="49"/>
        <v>0</v>
      </c>
    </row>
    <row r="622" spans="2:6">
      <c r="B622" s="64">
        <v>609</v>
      </c>
      <c r="C622" s="397">
        <f t="shared" si="46"/>
        <v>0</v>
      </c>
      <c r="D622" s="398">
        <f t="shared" si="47"/>
        <v>0</v>
      </c>
      <c r="E622" s="398">
        <f t="shared" si="48"/>
        <v>0</v>
      </c>
      <c r="F622" s="398">
        <f t="shared" si="49"/>
        <v>0</v>
      </c>
    </row>
    <row r="623" spans="2:6">
      <c r="B623" s="64">
        <v>610</v>
      </c>
      <c r="C623" s="397">
        <f t="shared" si="46"/>
        <v>0</v>
      </c>
      <c r="D623" s="398">
        <f t="shared" si="47"/>
        <v>0</v>
      </c>
      <c r="E623" s="398">
        <f t="shared" si="48"/>
        <v>0</v>
      </c>
      <c r="F623" s="398">
        <f t="shared" si="49"/>
        <v>0</v>
      </c>
    </row>
    <row r="624" spans="2:6">
      <c r="B624" s="64">
        <v>611</v>
      </c>
      <c r="C624" s="397">
        <f t="shared" si="46"/>
        <v>0</v>
      </c>
      <c r="D624" s="398">
        <f t="shared" si="47"/>
        <v>0</v>
      </c>
      <c r="E624" s="398">
        <f t="shared" si="48"/>
        <v>0</v>
      </c>
      <c r="F624" s="398">
        <f t="shared" si="49"/>
        <v>0</v>
      </c>
    </row>
    <row r="625" spans="2:6">
      <c r="B625" s="64">
        <v>612</v>
      </c>
      <c r="C625" s="397">
        <f t="shared" si="46"/>
        <v>0</v>
      </c>
      <c r="D625" s="398">
        <f t="shared" si="47"/>
        <v>0</v>
      </c>
      <c r="E625" s="398">
        <f t="shared" si="48"/>
        <v>0</v>
      </c>
      <c r="F625" s="398">
        <f t="shared" si="49"/>
        <v>0</v>
      </c>
    </row>
    <row r="626" spans="2:6">
      <c r="B626" s="64">
        <v>613</v>
      </c>
      <c r="C626" s="397">
        <f t="shared" si="46"/>
        <v>0</v>
      </c>
      <c r="D626" s="398">
        <f t="shared" si="47"/>
        <v>0</v>
      </c>
      <c r="E626" s="398">
        <f t="shared" si="48"/>
        <v>0</v>
      </c>
      <c r="F626" s="398">
        <f t="shared" si="49"/>
        <v>0</v>
      </c>
    </row>
    <row r="627" spans="2:6">
      <c r="B627" s="64">
        <v>614</v>
      </c>
      <c r="C627" s="397">
        <f t="shared" si="46"/>
        <v>0</v>
      </c>
      <c r="D627" s="398">
        <f t="shared" si="47"/>
        <v>0</v>
      </c>
      <c r="E627" s="398">
        <f t="shared" si="48"/>
        <v>0</v>
      </c>
      <c r="F627" s="398">
        <f t="shared" si="49"/>
        <v>0</v>
      </c>
    </row>
    <row r="628" spans="2:6">
      <c r="B628" s="64">
        <v>615</v>
      </c>
      <c r="C628" s="397">
        <f t="shared" si="46"/>
        <v>0</v>
      </c>
      <c r="D628" s="398">
        <f t="shared" si="47"/>
        <v>0</v>
      </c>
      <c r="E628" s="398">
        <f t="shared" si="48"/>
        <v>0</v>
      </c>
      <c r="F628" s="398">
        <f t="shared" si="49"/>
        <v>0</v>
      </c>
    </row>
    <row r="629" spans="2:6">
      <c r="B629" s="64">
        <v>616</v>
      </c>
      <c r="C629" s="397">
        <f t="shared" si="46"/>
        <v>0</v>
      </c>
      <c r="D629" s="398">
        <f t="shared" si="47"/>
        <v>0</v>
      </c>
      <c r="E629" s="398">
        <f t="shared" si="48"/>
        <v>0</v>
      </c>
      <c r="F629" s="398">
        <f t="shared" si="49"/>
        <v>0</v>
      </c>
    </row>
    <row r="630" spans="2:6">
      <c r="B630" s="64">
        <v>617</v>
      </c>
      <c r="C630" s="397">
        <f t="shared" si="46"/>
        <v>0</v>
      </c>
      <c r="D630" s="398">
        <f t="shared" si="47"/>
        <v>0</v>
      </c>
      <c r="E630" s="398">
        <f t="shared" si="48"/>
        <v>0</v>
      </c>
      <c r="F630" s="398">
        <f t="shared" si="49"/>
        <v>0</v>
      </c>
    </row>
    <row r="631" spans="2:6">
      <c r="B631" s="64">
        <v>618</v>
      </c>
      <c r="C631" s="397">
        <f t="shared" si="46"/>
        <v>0</v>
      </c>
      <c r="D631" s="398">
        <f t="shared" si="47"/>
        <v>0</v>
      </c>
      <c r="E631" s="398">
        <f t="shared" si="48"/>
        <v>0</v>
      </c>
      <c r="F631" s="398">
        <f t="shared" si="49"/>
        <v>0</v>
      </c>
    </row>
    <row r="632" spans="2:6">
      <c r="B632" s="64">
        <v>619</v>
      </c>
      <c r="C632" s="397">
        <f t="shared" si="46"/>
        <v>0</v>
      </c>
      <c r="D632" s="398">
        <f t="shared" si="47"/>
        <v>0</v>
      </c>
      <c r="E632" s="398">
        <f t="shared" si="48"/>
        <v>0</v>
      </c>
      <c r="F632" s="398">
        <f t="shared" si="49"/>
        <v>0</v>
      </c>
    </row>
    <row r="633" spans="2:6">
      <c r="B633" s="64">
        <v>620</v>
      </c>
      <c r="C633" s="397">
        <f t="shared" si="46"/>
        <v>0</v>
      </c>
      <c r="D633" s="398">
        <f t="shared" si="47"/>
        <v>0</v>
      </c>
      <c r="E633" s="398">
        <f t="shared" si="48"/>
        <v>0</v>
      </c>
      <c r="F633" s="398">
        <f t="shared" si="49"/>
        <v>0</v>
      </c>
    </row>
    <row r="634" spans="2:6">
      <c r="B634" s="64">
        <v>621</v>
      </c>
      <c r="C634" s="397">
        <f t="shared" si="46"/>
        <v>0</v>
      </c>
      <c r="D634" s="398">
        <f t="shared" si="47"/>
        <v>0</v>
      </c>
      <c r="E634" s="398">
        <f t="shared" si="48"/>
        <v>0</v>
      </c>
      <c r="F634" s="398">
        <f t="shared" si="49"/>
        <v>0</v>
      </c>
    </row>
    <row r="635" spans="2:6">
      <c r="B635" s="64">
        <v>622</v>
      </c>
      <c r="C635" s="397">
        <f t="shared" si="46"/>
        <v>0</v>
      </c>
      <c r="D635" s="398">
        <f t="shared" si="47"/>
        <v>0</v>
      </c>
      <c r="E635" s="398">
        <f t="shared" si="48"/>
        <v>0</v>
      </c>
      <c r="F635" s="398">
        <f t="shared" si="49"/>
        <v>0</v>
      </c>
    </row>
    <row r="636" spans="2:6">
      <c r="B636" s="64">
        <v>623</v>
      </c>
      <c r="C636" s="397">
        <f t="shared" si="46"/>
        <v>0</v>
      </c>
      <c r="D636" s="398">
        <f t="shared" si="47"/>
        <v>0</v>
      </c>
      <c r="E636" s="398">
        <f t="shared" si="48"/>
        <v>0</v>
      </c>
      <c r="F636" s="398">
        <f t="shared" si="49"/>
        <v>0</v>
      </c>
    </row>
    <row r="637" spans="2:6">
      <c r="B637" s="64">
        <v>624</v>
      </c>
      <c r="C637" s="397">
        <f t="shared" si="46"/>
        <v>0</v>
      </c>
      <c r="D637" s="398">
        <f t="shared" si="47"/>
        <v>0</v>
      </c>
      <c r="E637" s="398">
        <f t="shared" si="48"/>
        <v>0</v>
      </c>
      <c r="F637" s="398">
        <f t="shared" si="49"/>
        <v>0</v>
      </c>
    </row>
    <row r="638" spans="2:6">
      <c r="B638" s="64">
        <v>625</v>
      </c>
      <c r="C638" s="397">
        <f t="shared" si="46"/>
        <v>0</v>
      </c>
      <c r="D638" s="398">
        <f t="shared" si="47"/>
        <v>0</v>
      </c>
      <c r="E638" s="398">
        <f t="shared" si="48"/>
        <v>0</v>
      </c>
      <c r="F638" s="398">
        <f t="shared" si="49"/>
        <v>0</v>
      </c>
    </row>
    <row r="639" spans="2:6">
      <c r="B639" s="64">
        <v>626</v>
      </c>
      <c r="C639" s="397">
        <f t="shared" si="46"/>
        <v>0</v>
      </c>
      <c r="D639" s="398">
        <f t="shared" si="47"/>
        <v>0</v>
      </c>
      <c r="E639" s="398">
        <f t="shared" si="48"/>
        <v>0</v>
      </c>
      <c r="F639" s="398">
        <f t="shared" si="49"/>
        <v>0</v>
      </c>
    </row>
    <row r="640" spans="2:6">
      <c r="B640" s="64">
        <v>627</v>
      </c>
      <c r="C640" s="397">
        <f t="shared" si="46"/>
        <v>0</v>
      </c>
      <c r="D640" s="398">
        <f t="shared" si="47"/>
        <v>0</v>
      </c>
      <c r="E640" s="398">
        <f t="shared" si="48"/>
        <v>0</v>
      </c>
      <c r="F640" s="398">
        <f t="shared" si="49"/>
        <v>0</v>
      </c>
    </row>
    <row r="641" spans="2:6">
      <c r="B641" s="64">
        <v>628</v>
      </c>
      <c r="C641" s="397">
        <f t="shared" si="46"/>
        <v>0</v>
      </c>
      <c r="D641" s="398">
        <f t="shared" si="47"/>
        <v>0</v>
      </c>
      <c r="E641" s="398">
        <f t="shared" si="48"/>
        <v>0</v>
      </c>
      <c r="F641" s="398">
        <f t="shared" si="49"/>
        <v>0</v>
      </c>
    </row>
    <row r="642" spans="2:6">
      <c r="B642" s="64">
        <v>629</v>
      </c>
      <c r="C642" s="397">
        <f t="shared" si="46"/>
        <v>0</v>
      </c>
      <c r="D642" s="398">
        <f t="shared" si="47"/>
        <v>0</v>
      </c>
      <c r="E642" s="398">
        <f t="shared" si="48"/>
        <v>0</v>
      </c>
      <c r="F642" s="398">
        <f t="shared" si="49"/>
        <v>0</v>
      </c>
    </row>
    <row r="643" spans="2:6">
      <c r="B643" s="64">
        <v>630</v>
      </c>
      <c r="C643" s="397">
        <f t="shared" si="46"/>
        <v>0</v>
      </c>
      <c r="D643" s="398">
        <f t="shared" si="47"/>
        <v>0</v>
      </c>
      <c r="E643" s="398">
        <f t="shared" si="48"/>
        <v>0</v>
      </c>
      <c r="F643" s="398">
        <f t="shared" si="49"/>
        <v>0</v>
      </c>
    </row>
    <row r="644" spans="2:6">
      <c r="B644" s="64">
        <v>631</v>
      </c>
      <c r="C644" s="397">
        <f t="shared" si="46"/>
        <v>0</v>
      </c>
      <c r="D644" s="398">
        <f t="shared" si="47"/>
        <v>0</v>
      </c>
      <c r="E644" s="398">
        <f t="shared" si="48"/>
        <v>0</v>
      </c>
      <c r="F644" s="398">
        <f t="shared" si="49"/>
        <v>0</v>
      </c>
    </row>
    <row r="645" spans="2:6">
      <c r="B645" s="64">
        <v>632</v>
      </c>
      <c r="C645" s="397">
        <f t="shared" si="46"/>
        <v>0</v>
      </c>
      <c r="D645" s="398">
        <f t="shared" si="47"/>
        <v>0</v>
      </c>
      <c r="E645" s="398">
        <f t="shared" si="48"/>
        <v>0</v>
      </c>
      <c r="F645" s="398">
        <f t="shared" si="49"/>
        <v>0</v>
      </c>
    </row>
    <row r="646" spans="2:6">
      <c r="B646" s="64">
        <v>633</v>
      </c>
      <c r="C646" s="397">
        <f t="shared" si="46"/>
        <v>0</v>
      </c>
      <c r="D646" s="398">
        <f t="shared" si="47"/>
        <v>0</v>
      </c>
      <c r="E646" s="398">
        <f t="shared" si="48"/>
        <v>0</v>
      </c>
      <c r="F646" s="398">
        <f t="shared" si="49"/>
        <v>0</v>
      </c>
    </row>
    <row r="647" spans="2:6">
      <c r="B647" s="64">
        <v>634</v>
      </c>
      <c r="C647" s="397">
        <f t="shared" si="46"/>
        <v>0</v>
      </c>
      <c r="D647" s="398">
        <f t="shared" si="47"/>
        <v>0</v>
      </c>
      <c r="E647" s="398">
        <f t="shared" si="48"/>
        <v>0</v>
      </c>
      <c r="F647" s="398">
        <f t="shared" si="49"/>
        <v>0</v>
      </c>
    </row>
    <row r="648" spans="2:6">
      <c r="B648" s="64">
        <v>635</v>
      </c>
      <c r="C648" s="397">
        <f t="shared" si="46"/>
        <v>0</v>
      </c>
      <c r="D648" s="398">
        <f t="shared" si="47"/>
        <v>0</v>
      </c>
      <c r="E648" s="398">
        <f t="shared" si="48"/>
        <v>0</v>
      </c>
      <c r="F648" s="398">
        <f t="shared" si="49"/>
        <v>0</v>
      </c>
    </row>
    <row r="649" spans="2:6">
      <c r="B649" s="64">
        <v>636</v>
      </c>
      <c r="C649" s="397">
        <f t="shared" si="46"/>
        <v>0</v>
      </c>
      <c r="D649" s="398">
        <f t="shared" si="47"/>
        <v>0</v>
      </c>
      <c r="E649" s="398">
        <f t="shared" si="48"/>
        <v>0</v>
      </c>
      <c r="F649" s="398">
        <f t="shared" si="49"/>
        <v>0</v>
      </c>
    </row>
    <row r="650" spans="2:6">
      <c r="B650" s="64">
        <v>637</v>
      </c>
      <c r="C650" s="397">
        <f t="shared" si="46"/>
        <v>0</v>
      </c>
      <c r="D650" s="398">
        <f t="shared" si="47"/>
        <v>0</v>
      </c>
      <c r="E650" s="398">
        <f t="shared" si="48"/>
        <v>0</v>
      </c>
      <c r="F650" s="398">
        <f t="shared" si="49"/>
        <v>0</v>
      </c>
    </row>
    <row r="651" spans="2:6">
      <c r="B651" s="64">
        <v>638</v>
      </c>
      <c r="C651" s="397">
        <f t="shared" si="46"/>
        <v>0</v>
      </c>
      <c r="D651" s="398">
        <f t="shared" si="47"/>
        <v>0</v>
      </c>
      <c r="E651" s="398">
        <f t="shared" si="48"/>
        <v>0</v>
      </c>
      <c r="F651" s="398">
        <f t="shared" si="49"/>
        <v>0</v>
      </c>
    </row>
    <row r="652" spans="2:6">
      <c r="B652" s="64">
        <v>639</v>
      </c>
      <c r="C652" s="397">
        <f t="shared" si="46"/>
        <v>0</v>
      </c>
      <c r="D652" s="398">
        <f t="shared" si="47"/>
        <v>0</v>
      </c>
      <c r="E652" s="398">
        <f t="shared" si="48"/>
        <v>0</v>
      </c>
      <c r="F652" s="398">
        <f t="shared" si="49"/>
        <v>0</v>
      </c>
    </row>
    <row r="653" spans="2:6">
      <c r="B653" s="64">
        <v>640</v>
      </c>
      <c r="C653" s="397">
        <f t="shared" si="46"/>
        <v>0</v>
      </c>
      <c r="D653" s="398">
        <f t="shared" si="47"/>
        <v>0</v>
      </c>
      <c r="E653" s="398">
        <f t="shared" si="48"/>
        <v>0</v>
      </c>
      <c r="F653" s="398">
        <f t="shared" si="49"/>
        <v>0</v>
      </c>
    </row>
    <row r="654" spans="2:6">
      <c r="B654" s="64">
        <v>641</v>
      </c>
      <c r="C654" s="397">
        <f t="shared" si="46"/>
        <v>0</v>
      </c>
      <c r="D654" s="398">
        <f t="shared" si="47"/>
        <v>0</v>
      </c>
      <c r="E654" s="398">
        <f t="shared" si="48"/>
        <v>0</v>
      </c>
      <c r="F654" s="398">
        <f t="shared" si="49"/>
        <v>0</v>
      </c>
    </row>
    <row r="655" spans="2:6">
      <c r="B655" s="64">
        <v>642</v>
      </c>
      <c r="C655" s="397">
        <f t="shared" si="46"/>
        <v>0</v>
      </c>
      <c r="D655" s="398">
        <f t="shared" si="47"/>
        <v>0</v>
      </c>
      <c r="E655" s="398">
        <f t="shared" si="48"/>
        <v>0</v>
      </c>
      <c r="F655" s="398">
        <f t="shared" si="49"/>
        <v>0</v>
      </c>
    </row>
    <row r="656" spans="2:6">
      <c r="B656" s="64">
        <v>643</v>
      </c>
      <c r="C656" s="397">
        <f t="shared" ref="C656:C719" si="50">IF(F655&gt;$C$7,$C$7,F655+D656)</f>
        <v>0</v>
      </c>
      <c r="D656" s="398">
        <f t="shared" ref="D656:D719" si="51">+$C$5*F655/12</f>
        <v>0</v>
      </c>
      <c r="E656" s="398">
        <f t="shared" ref="E656:E719" si="52">+C656-D656</f>
        <v>0</v>
      </c>
      <c r="F656" s="398">
        <f t="shared" ref="F656:F719" si="53">+F655-E656</f>
        <v>0</v>
      </c>
    </row>
    <row r="657" spans="2:6">
      <c r="B657" s="64">
        <v>644</v>
      </c>
      <c r="C657" s="397">
        <f t="shared" si="50"/>
        <v>0</v>
      </c>
      <c r="D657" s="398">
        <f t="shared" si="51"/>
        <v>0</v>
      </c>
      <c r="E657" s="398">
        <f t="shared" si="52"/>
        <v>0</v>
      </c>
      <c r="F657" s="398">
        <f t="shared" si="53"/>
        <v>0</v>
      </c>
    </row>
    <row r="658" spans="2:6">
      <c r="B658" s="64">
        <v>645</v>
      </c>
      <c r="C658" s="397">
        <f t="shared" si="50"/>
        <v>0</v>
      </c>
      <c r="D658" s="398">
        <f t="shared" si="51"/>
        <v>0</v>
      </c>
      <c r="E658" s="398">
        <f t="shared" si="52"/>
        <v>0</v>
      </c>
      <c r="F658" s="398">
        <f t="shared" si="53"/>
        <v>0</v>
      </c>
    </row>
    <row r="659" spans="2:6">
      <c r="B659" s="64">
        <v>646</v>
      </c>
      <c r="C659" s="397">
        <f t="shared" si="50"/>
        <v>0</v>
      </c>
      <c r="D659" s="398">
        <f t="shared" si="51"/>
        <v>0</v>
      </c>
      <c r="E659" s="398">
        <f t="shared" si="52"/>
        <v>0</v>
      </c>
      <c r="F659" s="398">
        <f t="shared" si="53"/>
        <v>0</v>
      </c>
    </row>
    <row r="660" spans="2:6">
      <c r="B660" s="64">
        <v>647</v>
      </c>
      <c r="C660" s="397">
        <f t="shared" si="50"/>
        <v>0</v>
      </c>
      <c r="D660" s="398">
        <f t="shared" si="51"/>
        <v>0</v>
      </c>
      <c r="E660" s="398">
        <f t="shared" si="52"/>
        <v>0</v>
      </c>
      <c r="F660" s="398">
        <f t="shared" si="53"/>
        <v>0</v>
      </c>
    </row>
    <row r="661" spans="2:6">
      <c r="B661" s="64">
        <v>648</v>
      </c>
      <c r="C661" s="397">
        <f t="shared" si="50"/>
        <v>0</v>
      </c>
      <c r="D661" s="398">
        <f t="shared" si="51"/>
        <v>0</v>
      </c>
      <c r="E661" s="398">
        <f t="shared" si="52"/>
        <v>0</v>
      </c>
      <c r="F661" s="398">
        <f t="shared" si="53"/>
        <v>0</v>
      </c>
    </row>
    <row r="662" spans="2:6">
      <c r="B662" s="64">
        <v>649</v>
      </c>
      <c r="C662" s="397">
        <f t="shared" si="50"/>
        <v>0</v>
      </c>
      <c r="D662" s="398">
        <f t="shared" si="51"/>
        <v>0</v>
      </c>
      <c r="E662" s="398">
        <f t="shared" si="52"/>
        <v>0</v>
      </c>
      <c r="F662" s="398">
        <f t="shared" si="53"/>
        <v>0</v>
      </c>
    </row>
    <row r="663" spans="2:6">
      <c r="B663" s="64">
        <v>650</v>
      </c>
      <c r="C663" s="397">
        <f t="shared" si="50"/>
        <v>0</v>
      </c>
      <c r="D663" s="398">
        <f t="shared" si="51"/>
        <v>0</v>
      </c>
      <c r="E663" s="398">
        <f t="shared" si="52"/>
        <v>0</v>
      </c>
      <c r="F663" s="398">
        <f t="shared" si="53"/>
        <v>0</v>
      </c>
    </row>
    <row r="664" spans="2:6">
      <c r="B664" s="64">
        <v>651</v>
      </c>
      <c r="C664" s="397">
        <f t="shared" si="50"/>
        <v>0</v>
      </c>
      <c r="D664" s="398">
        <f t="shared" si="51"/>
        <v>0</v>
      </c>
      <c r="E664" s="398">
        <f t="shared" si="52"/>
        <v>0</v>
      </c>
      <c r="F664" s="398">
        <f t="shared" si="53"/>
        <v>0</v>
      </c>
    </row>
    <row r="665" spans="2:6">
      <c r="B665" s="64">
        <v>652</v>
      </c>
      <c r="C665" s="397">
        <f t="shared" si="50"/>
        <v>0</v>
      </c>
      <c r="D665" s="398">
        <f t="shared" si="51"/>
        <v>0</v>
      </c>
      <c r="E665" s="398">
        <f t="shared" si="52"/>
        <v>0</v>
      </c>
      <c r="F665" s="398">
        <f t="shared" si="53"/>
        <v>0</v>
      </c>
    </row>
    <row r="666" spans="2:6">
      <c r="B666" s="64">
        <v>653</v>
      </c>
      <c r="C666" s="397">
        <f t="shared" si="50"/>
        <v>0</v>
      </c>
      <c r="D666" s="398">
        <f t="shared" si="51"/>
        <v>0</v>
      </c>
      <c r="E666" s="398">
        <f t="shared" si="52"/>
        <v>0</v>
      </c>
      <c r="F666" s="398">
        <f t="shared" si="53"/>
        <v>0</v>
      </c>
    </row>
    <row r="667" spans="2:6">
      <c r="B667" s="64">
        <v>654</v>
      </c>
      <c r="C667" s="397">
        <f t="shared" si="50"/>
        <v>0</v>
      </c>
      <c r="D667" s="398">
        <f t="shared" si="51"/>
        <v>0</v>
      </c>
      <c r="E667" s="398">
        <f t="shared" si="52"/>
        <v>0</v>
      </c>
      <c r="F667" s="398">
        <f t="shared" si="53"/>
        <v>0</v>
      </c>
    </row>
    <row r="668" spans="2:6">
      <c r="B668" s="64">
        <v>655</v>
      </c>
      <c r="C668" s="397">
        <f t="shared" si="50"/>
        <v>0</v>
      </c>
      <c r="D668" s="398">
        <f t="shared" si="51"/>
        <v>0</v>
      </c>
      <c r="E668" s="398">
        <f t="shared" si="52"/>
        <v>0</v>
      </c>
      <c r="F668" s="398">
        <f t="shared" si="53"/>
        <v>0</v>
      </c>
    </row>
    <row r="669" spans="2:6">
      <c r="B669" s="64">
        <v>656</v>
      </c>
      <c r="C669" s="397">
        <f t="shared" si="50"/>
        <v>0</v>
      </c>
      <c r="D669" s="398">
        <f t="shared" si="51"/>
        <v>0</v>
      </c>
      <c r="E669" s="398">
        <f t="shared" si="52"/>
        <v>0</v>
      </c>
      <c r="F669" s="398">
        <f t="shared" si="53"/>
        <v>0</v>
      </c>
    </row>
    <row r="670" spans="2:6">
      <c r="B670" s="64">
        <v>657</v>
      </c>
      <c r="C670" s="397">
        <f t="shared" si="50"/>
        <v>0</v>
      </c>
      <c r="D670" s="398">
        <f t="shared" si="51"/>
        <v>0</v>
      </c>
      <c r="E670" s="398">
        <f t="shared" si="52"/>
        <v>0</v>
      </c>
      <c r="F670" s="398">
        <f t="shared" si="53"/>
        <v>0</v>
      </c>
    </row>
    <row r="671" spans="2:6">
      <c r="B671" s="64">
        <v>658</v>
      </c>
      <c r="C671" s="397">
        <f t="shared" si="50"/>
        <v>0</v>
      </c>
      <c r="D671" s="398">
        <f t="shared" si="51"/>
        <v>0</v>
      </c>
      <c r="E671" s="398">
        <f t="shared" si="52"/>
        <v>0</v>
      </c>
      <c r="F671" s="398">
        <f t="shared" si="53"/>
        <v>0</v>
      </c>
    </row>
    <row r="672" spans="2:6">
      <c r="B672" s="64">
        <v>659</v>
      </c>
      <c r="C672" s="397">
        <f t="shared" si="50"/>
        <v>0</v>
      </c>
      <c r="D672" s="398">
        <f t="shared" si="51"/>
        <v>0</v>
      </c>
      <c r="E672" s="398">
        <f t="shared" si="52"/>
        <v>0</v>
      </c>
      <c r="F672" s="398">
        <f t="shared" si="53"/>
        <v>0</v>
      </c>
    </row>
    <row r="673" spans="2:6">
      <c r="B673" s="64">
        <v>660</v>
      </c>
      <c r="C673" s="397">
        <f t="shared" si="50"/>
        <v>0</v>
      </c>
      <c r="D673" s="398">
        <f t="shared" si="51"/>
        <v>0</v>
      </c>
      <c r="E673" s="398">
        <f t="shared" si="52"/>
        <v>0</v>
      </c>
      <c r="F673" s="398">
        <f t="shared" si="53"/>
        <v>0</v>
      </c>
    </row>
    <row r="674" spans="2:6">
      <c r="B674" s="64">
        <v>661</v>
      </c>
      <c r="C674" s="397">
        <f t="shared" si="50"/>
        <v>0</v>
      </c>
      <c r="D674" s="398">
        <f t="shared" si="51"/>
        <v>0</v>
      </c>
      <c r="E674" s="398">
        <f t="shared" si="52"/>
        <v>0</v>
      </c>
      <c r="F674" s="398">
        <f t="shared" si="53"/>
        <v>0</v>
      </c>
    </row>
    <row r="675" spans="2:6">
      <c r="B675" s="64">
        <v>662</v>
      </c>
      <c r="C675" s="397">
        <f t="shared" si="50"/>
        <v>0</v>
      </c>
      <c r="D675" s="398">
        <f t="shared" si="51"/>
        <v>0</v>
      </c>
      <c r="E675" s="398">
        <f t="shared" si="52"/>
        <v>0</v>
      </c>
      <c r="F675" s="398">
        <f t="shared" si="53"/>
        <v>0</v>
      </c>
    </row>
    <row r="676" spans="2:6">
      <c r="B676" s="64">
        <v>663</v>
      </c>
      <c r="C676" s="397">
        <f t="shared" si="50"/>
        <v>0</v>
      </c>
      <c r="D676" s="398">
        <f t="shared" si="51"/>
        <v>0</v>
      </c>
      <c r="E676" s="398">
        <f t="shared" si="52"/>
        <v>0</v>
      </c>
      <c r="F676" s="398">
        <f t="shared" si="53"/>
        <v>0</v>
      </c>
    </row>
    <row r="677" spans="2:6">
      <c r="B677" s="64">
        <v>664</v>
      </c>
      <c r="C677" s="397">
        <f t="shared" si="50"/>
        <v>0</v>
      </c>
      <c r="D677" s="398">
        <f t="shared" si="51"/>
        <v>0</v>
      </c>
      <c r="E677" s="398">
        <f t="shared" si="52"/>
        <v>0</v>
      </c>
      <c r="F677" s="398">
        <f t="shared" si="53"/>
        <v>0</v>
      </c>
    </row>
    <row r="678" spans="2:6">
      <c r="B678" s="64">
        <v>665</v>
      </c>
      <c r="C678" s="397">
        <f t="shared" si="50"/>
        <v>0</v>
      </c>
      <c r="D678" s="398">
        <f t="shared" si="51"/>
        <v>0</v>
      </c>
      <c r="E678" s="398">
        <f t="shared" si="52"/>
        <v>0</v>
      </c>
      <c r="F678" s="398">
        <f t="shared" si="53"/>
        <v>0</v>
      </c>
    </row>
    <row r="679" spans="2:6">
      <c r="B679" s="64">
        <v>666</v>
      </c>
      <c r="C679" s="397">
        <f t="shared" si="50"/>
        <v>0</v>
      </c>
      <c r="D679" s="398">
        <f t="shared" si="51"/>
        <v>0</v>
      </c>
      <c r="E679" s="398">
        <f t="shared" si="52"/>
        <v>0</v>
      </c>
      <c r="F679" s="398">
        <f t="shared" si="53"/>
        <v>0</v>
      </c>
    </row>
    <row r="680" spans="2:6">
      <c r="B680" s="64">
        <v>667</v>
      </c>
      <c r="C680" s="397">
        <f t="shared" si="50"/>
        <v>0</v>
      </c>
      <c r="D680" s="398">
        <f t="shared" si="51"/>
        <v>0</v>
      </c>
      <c r="E680" s="398">
        <f t="shared" si="52"/>
        <v>0</v>
      </c>
      <c r="F680" s="398">
        <f t="shared" si="53"/>
        <v>0</v>
      </c>
    </row>
    <row r="681" spans="2:6">
      <c r="B681" s="64">
        <v>668</v>
      </c>
      <c r="C681" s="397">
        <f t="shared" si="50"/>
        <v>0</v>
      </c>
      <c r="D681" s="398">
        <f t="shared" si="51"/>
        <v>0</v>
      </c>
      <c r="E681" s="398">
        <f t="shared" si="52"/>
        <v>0</v>
      </c>
      <c r="F681" s="398">
        <f t="shared" si="53"/>
        <v>0</v>
      </c>
    </row>
    <row r="682" spans="2:6">
      <c r="B682" s="64">
        <v>669</v>
      </c>
      <c r="C682" s="397">
        <f t="shared" si="50"/>
        <v>0</v>
      </c>
      <c r="D682" s="398">
        <f t="shared" si="51"/>
        <v>0</v>
      </c>
      <c r="E682" s="398">
        <f t="shared" si="52"/>
        <v>0</v>
      </c>
      <c r="F682" s="398">
        <f t="shared" si="53"/>
        <v>0</v>
      </c>
    </row>
    <row r="683" spans="2:6">
      <c r="B683" s="64">
        <v>670</v>
      </c>
      <c r="C683" s="397">
        <f t="shared" si="50"/>
        <v>0</v>
      </c>
      <c r="D683" s="398">
        <f t="shared" si="51"/>
        <v>0</v>
      </c>
      <c r="E683" s="398">
        <f t="shared" si="52"/>
        <v>0</v>
      </c>
      <c r="F683" s="398">
        <f t="shared" si="53"/>
        <v>0</v>
      </c>
    </row>
    <row r="684" spans="2:6">
      <c r="B684" s="64">
        <v>671</v>
      </c>
      <c r="C684" s="397">
        <f t="shared" si="50"/>
        <v>0</v>
      </c>
      <c r="D684" s="398">
        <f t="shared" si="51"/>
        <v>0</v>
      </c>
      <c r="E684" s="398">
        <f t="shared" si="52"/>
        <v>0</v>
      </c>
      <c r="F684" s="398">
        <f t="shared" si="53"/>
        <v>0</v>
      </c>
    </row>
    <row r="685" spans="2:6">
      <c r="B685" s="64">
        <v>672</v>
      </c>
      <c r="C685" s="397">
        <f t="shared" si="50"/>
        <v>0</v>
      </c>
      <c r="D685" s="398">
        <f t="shared" si="51"/>
        <v>0</v>
      </c>
      <c r="E685" s="398">
        <f t="shared" si="52"/>
        <v>0</v>
      </c>
      <c r="F685" s="398">
        <f t="shared" si="53"/>
        <v>0</v>
      </c>
    </row>
    <row r="686" spans="2:6">
      <c r="B686" s="64">
        <v>673</v>
      </c>
      <c r="C686" s="397">
        <f t="shared" si="50"/>
        <v>0</v>
      </c>
      <c r="D686" s="398">
        <f t="shared" si="51"/>
        <v>0</v>
      </c>
      <c r="E686" s="398">
        <f t="shared" si="52"/>
        <v>0</v>
      </c>
      <c r="F686" s="398">
        <f t="shared" si="53"/>
        <v>0</v>
      </c>
    </row>
    <row r="687" spans="2:6">
      <c r="B687" s="64">
        <v>674</v>
      </c>
      <c r="C687" s="397">
        <f t="shared" si="50"/>
        <v>0</v>
      </c>
      <c r="D687" s="398">
        <f t="shared" si="51"/>
        <v>0</v>
      </c>
      <c r="E687" s="398">
        <f t="shared" si="52"/>
        <v>0</v>
      </c>
      <c r="F687" s="398">
        <f t="shared" si="53"/>
        <v>0</v>
      </c>
    </row>
    <row r="688" spans="2:6">
      <c r="B688" s="64">
        <v>675</v>
      </c>
      <c r="C688" s="397">
        <f t="shared" si="50"/>
        <v>0</v>
      </c>
      <c r="D688" s="398">
        <f t="shared" si="51"/>
        <v>0</v>
      </c>
      <c r="E688" s="398">
        <f t="shared" si="52"/>
        <v>0</v>
      </c>
      <c r="F688" s="398">
        <f t="shared" si="53"/>
        <v>0</v>
      </c>
    </row>
    <row r="689" spans="2:6">
      <c r="B689" s="64">
        <v>676</v>
      </c>
      <c r="C689" s="397">
        <f t="shared" si="50"/>
        <v>0</v>
      </c>
      <c r="D689" s="398">
        <f t="shared" si="51"/>
        <v>0</v>
      </c>
      <c r="E689" s="398">
        <f t="shared" si="52"/>
        <v>0</v>
      </c>
      <c r="F689" s="398">
        <f t="shared" si="53"/>
        <v>0</v>
      </c>
    </row>
    <row r="690" spans="2:6">
      <c r="B690" s="64">
        <v>677</v>
      </c>
      <c r="C690" s="397">
        <f t="shared" si="50"/>
        <v>0</v>
      </c>
      <c r="D690" s="398">
        <f t="shared" si="51"/>
        <v>0</v>
      </c>
      <c r="E690" s="398">
        <f t="shared" si="52"/>
        <v>0</v>
      </c>
      <c r="F690" s="398">
        <f t="shared" si="53"/>
        <v>0</v>
      </c>
    </row>
    <row r="691" spans="2:6">
      <c r="B691" s="64">
        <v>678</v>
      </c>
      <c r="C691" s="397">
        <f t="shared" si="50"/>
        <v>0</v>
      </c>
      <c r="D691" s="398">
        <f t="shared" si="51"/>
        <v>0</v>
      </c>
      <c r="E691" s="398">
        <f t="shared" si="52"/>
        <v>0</v>
      </c>
      <c r="F691" s="398">
        <f t="shared" si="53"/>
        <v>0</v>
      </c>
    </row>
    <row r="692" spans="2:6">
      <c r="B692" s="64">
        <v>679</v>
      </c>
      <c r="C692" s="397">
        <f t="shared" si="50"/>
        <v>0</v>
      </c>
      <c r="D692" s="398">
        <f t="shared" si="51"/>
        <v>0</v>
      </c>
      <c r="E692" s="398">
        <f t="shared" si="52"/>
        <v>0</v>
      </c>
      <c r="F692" s="398">
        <f t="shared" si="53"/>
        <v>0</v>
      </c>
    </row>
    <row r="693" spans="2:6">
      <c r="B693" s="64">
        <v>680</v>
      </c>
      <c r="C693" s="397">
        <f t="shared" si="50"/>
        <v>0</v>
      </c>
      <c r="D693" s="398">
        <f t="shared" si="51"/>
        <v>0</v>
      </c>
      <c r="E693" s="398">
        <f t="shared" si="52"/>
        <v>0</v>
      </c>
      <c r="F693" s="398">
        <f t="shared" si="53"/>
        <v>0</v>
      </c>
    </row>
    <row r="694" spans="2:6">
      <c r="B694" s="64">
        <v>681</v>
      </c>
      <c r="C694" s="397">
        <f t="shared" si="50"/>
        <v>0</v>
      </c>
      <c r="D694" s="398">
        <f t="shared" si="51"/>
        <v>0</v>
      </c>
      <c r="E694" s="398">
        <f t="shared" si="52"/>
        <v>0</v>
      </c>
      <c r="F694" s="398">
        <f t="shared" si="53"/>
        <v>0</v>
      </c>
    </row>
    <row r="695" spans="2:6">
      <c r="B695" s="64">
        <v>682</v>
      </c>
      <c r="C695" s="397">
        <f t="shared" si="50"/>
        <v>0</v>
      </c>
      <c r="D695" s="398">
        <f t="shared" si="51"/>
        <v>0</v>
      </c>
      <c r="E695" s="398">
        <f t="shared" si="52"/>
        <v>0</v>
      </c>
      <c r="F695" s="398">
        <f t="shared" si="53"/>
        <v>0</v>
      </c>
    </row>
    <row r="696" spans="2:6">
      <c r="B696" s="64">
        <v>683</v>
      </c>
      <c r="C696" s="397">
        <f t="shared" si="50"/>
        <v>0</v>
      </c>
      <c r="D696" s="398">
        <f t="shared" si="51"/>
        <v>0</v>
      </c>
      <c r="E696" s="398">
        <f t="shared" si="52"/>
        <v>0</v>
      </c>
      <c r="F696" s="398">
        <f t="shared" si="53"/>
        <v>0</v>
      </c>
    </row>
    <row r="697" spans="2:6">
      <c r="B697" s="64">
        <v>684</v>
      </c>
      <c r="C697" s="397">
        <f t="shared" si="50"/>
        <v>0</v>
      </c>
      <c r="D697" s="398">
        <f t="shared" si="51"/>
        <v>0</v>
      </c>
      <c r="E697" s="398">
        <f t="shared" si="52"/>
        <v>0</v>
      </c>
      <c r="F697" s="398">
        <f t="shared" si="53"/>
        <v>0</v>
      </c>
    </row>
    <row r="698" spans="2:6">
      <c r="B698" s="64">
        <v>685</v>
      </c>
      <c r="C698" s="397">
        <f t="shared" si="50"/>
        <v>0</v>
      </c>
      <c r="D698" s="398">
        <f t="shared" si="51"/>
        <v>0</v>
      </c>
      <c r="E698" s="398">
        <f t="shared" si="52"/>
        <v>0</v>
      </c>
      <c r="F698" s="398">
        <f t="shared" si="53"/>
        <v>0</v>
      </c>
    </row>
    <row r="699" spans="2:6">
      <c r="B699" s="64">
        <v>686</v>
      </c>
      <c r="C699" s="397">
        <f t="shared" si="50"/>
        <v>0</v>
      </c>
      <c r="D699" s="398">
        <f t="shared" si="51"/>
        <v>0</v>
      </c>
      <c r="E699" s="398">
        <f t="shared" si="52"/>
        <v>0</v>
      </c>
      <c r="F699" s="398">
        <f t="shared" si="53"/>
        <v>0</v>
      </c>
    </row>
    <row r="700" spans="2:6">
      <c r="B700" s="64">
        <v>687</v>
      </c>
      <c r="C700" s="397">
        <f t="shared" si="50"/>
        <v>0</v>
      </c>
      <c r="D700" s="398">
        <f t="shared" si="51"/>
        <v>0</v>
      </c>
      <c r="E700" s="398">
        <f t="shared" si="52"/>
        <v>0</v>
      </c>
      <c r="F700" s="398">
        <f t="shared" si="53"/>
        <v>0</v>
      </c>
    </row>
    <row r="701" spans="2:6">
      <c r="B701" s="64">
        <v>688</v>
      </c>
      <c r="C701" s="397">
        <f t="shared" si="50"/>
        <v>0</v>
      </c>
      <c r="D701" s="398">
        <f t="shared" si="51"/>
        <v>0</v>
      </c>
      <c r="E701" s="398">
        <f t="shared" si="52"/>
        <v>0</v>
      </c>
      <c r="F701" s="398">
        <f t="shared" si="53"/>
        <v>0</v>
      </c>
    </row>
    <row r="702" spans="2:6">
      <c r="B702" s="64">
        <v>689</v>
      </c>
      <c r="C702" s="397">
        <f t="shared" si="50"/>
        <v>0</v>
      </c>
      <c r="D702" s="398">
        <f t="shared" si="51"/>
        <v>0</v>
      </c>
      <c r="E702" s="398">
        <f t="shared" si="52"/>
        <v>0</v>
      </c>
      <c r="F702" s="398">
        <f t="shared" si="53"/>
        <v>0</v>
      </c>
    </row>
    <row r="703" spans="2:6">
      <c r="B703" s="64">
        <v>690</v>
      </c>
      <c r="C703" s="397">
        <f t="shared" si="50"/>
        <v>0</v>
      </c>
      <c r="D703" s="398">
        <f t="shared" si="51"/>
        <v>0</v>
      </c>
      <c r="E703" s="398">
        <f t="shared" si="52"/>
        <v>0</v>
      </c>
      <c r="F703" s="398">
        <f t="shared" si="53"/>
        <v>0</v>
      </c>
    </row>
    <row r="704" spans="2:6">
      <c r="B704" s="64">
        <v>691</v>
      </c>
      <c r="C704" s="397">
        <f t="shared" si="50"/>
        <v>0</v>
      </c>
      <c r="D704" s="398">
        <f t="shared" si="51"/>
        <v>0</v>
      </c>
      <c r="E704" s="398">
        <f t="shared" si="52"/>
        <v>0</v>
      </c>
      <c r="F704" s="398">
        <f t="shared" si="53"/>
        <v>0</v>
      </c>
    </row>
    <row r="705" spans="2:6">
      <c r="B705" s="64">
        <v>692</v>
      </c>
      <c r="C705" s="397">
        <f t="shared" si="50"/>
        <v>0</v>
      </c>
      <c r="D705" s="398">
        <f t="shared" si="51"/>
        <v>0</v>
      </c>
      <c r="E705" s="398">
        <f t="shared" si="52"/>
        <v>0</v>
      </c>
      <c r="F705" s="398">
        <f t="shared" si="53"/>
        <v>0</v>
      </c>
    </row>
    <row r="706" spans="2:6">
      <c r="B706" s="64">
        <v>693</v>
      </c>
      <c r="C706" s="397">
        <f t="shared" si="50"/>
        <v>0</v>
      </c>
      <c r="D706" s="398">
        <f t="shared" si="51"/>
        <v>0</v>
      </c>
      <c r="E706" s="398">
        <f t="shared" si="52"/>
        <v>0</v>
      </c>
      <c r="F706" s="398">
        <f t="shared" si="53"/>
        <v>0</v>
      </c>
    </row>
    <row r="707" spans="2:6">
      <c r="B707" s="64">
        <v>694</v>
      </c>
      <c r="C707" s="397">
        <f t="shared" si="50"/>
        <v>0</v>
      </c>
      <c r="D707" s="398">
        <f t="shared" si="51"/>
        <v>0</v>
      </c>
      <c r="E707" s="398">
        <f t="shared" si="52"/>
        <v>0</v>
      </c>
      <c r="F707" s="398">
        <f t="shared" si="53"/>
        <v>0</v>
      </c>
    </row>
    <row r="708" spans="2:6">
      <c r="B708" s="64">
        <v>695</v>
      </c>
      <c r="C708" s="397">
        <f t="shared" si="50"/>
        <v>0</v>
      </c>
      <c r="D708" s="398">
        <f t="shared" si="51"/>
        <v>0</v>
      </c>
      <c r="E708" s="398">
        <f t="shared" si="52"/>
        <v>0</v>
      </c>
      <c r="F708" s="398">
        <f t="shared" si="53"/>
        <v>0</v>
      </c>
    </row>
    <row r="709" spans="2:6">
      <c r="B709" s="64">
        <v>696</v>
      </c>
      <c r="C709" s="397">
        <f t="shared" si="50"/>
        <v>0</v>
      </c>
      <c r="D709" s="398">
        <f t="shared" si="51"/>
        <v>0</v>
      </c>
      <c r="E709" s="398">
        <f t="shared" si="52"/>
        <v>0</v>
      </c>
      <c r="F709" s="398">
        <f t="shared" si="53"/>
        <v>0</v>
      </c>
    </row>
    <row r="710" spans="2:6">
      <c r="B710" s="64">
        <v>697</v>
      </c>
      <c r="C710" s="397">
        <f t="shared" si="50"/>
        <v>0</v>
      </c>
      <c r="D710" s="398">
        <f t="shared" si="51"/>
        <v>0</v>
      </c>
      <c r="E710" s="398">
        <f t="shared" si="52"/>
        <v>0</v>
      </c>
      <c r="F710" s="398">
        <f t="shared" si="53"/>
        <v>0</v>
      </c>
    </row>
    <row r="711" spans="2:6">
      <c r="B711" s="64">
        <v>698</v>
      </c>
      <c r="C711" s="397">
        <f t="shared" si="50"/>
        <v>0</v>
      </c>
      <c r="D711" s="398">
        <f t="shared" si="51"/>
        <v>0</v>
      </c>
      <c r="E711" s="398">
        <f t="shared" si="52"/>
        <v>0</v>
      </c>
      <c r="F711" s="398">
        <f t="shared" si="53"/>
        <v>0</v>
      </c>
    </row>
    <row r="712" spans="2:6">
      <c r="B712" s="64">
        <v>699</v>
      </c>
      <c r="C712" s="397">
        <f t="shared" si="50"/>
        <v>0</v>
      </c>
      <c r="D712" s="398">
        <f t="shared" si="51"/>
        <v>0</v>
      </c>
      <c r="E712" s="398">
        <f t="shared" si="52"/>
        <v>0</v>
      </c>
      <c r="F712" s="398">
        <f t="shared" si="53"/>
        <v>0</v>
      </c>
    </row>
    <row r="713" spans="2:6">
      <c r="B713" s="64">
        <v>700</v>
      </c>
      <c r="C713" s="397">
        <f t="shared" si="50"/>
        <v>0</v>
      </c>
      <c r="D713" s="398">
        <f t="shared" si="51"/>
        <v>0</v>
      </c>
      <c r="E713" s="398">
        <f t="shared" si="52"/>
        <v>0</v>
      </c>
      <c r="F713" s="398">
        <f t="shared" si="53"/>
        <v>0</v>
      </c>
    </row>
    <row r="714" spans="2:6">
      <c r="B714" s="64">
        <v>701</v>
      </c>
      <c r="C714" s="397">
        <f t="shared" si="50"/>
        <v>0</v>
      </c>
      <c r="D714" s="398">
        <f t="shared" si="51"/>
        <v>0</v>
      </c>
      <c r="E714" s="398">
        <f t="shared" si="52"/>
        <v>0</v>
      </c>
      <c r="F714" s="398">
        <f t="shared" si="53"/>
        <v>0</v>
      </c>
    </row>
    <row r="715" spans="2:6">
      <c r="B715" s="64">
        <v>702</v>
      </c>
      <c r="C715" s="397">
        <f t="shared" si="50"/>
        <v>0</v>
      </c>
      <c r="D715" s="398">
        <f t="shared" si="51"/>
        <v>0</v>
      </c>
      <c r="E715" s="398">
        <f t="shared" si="52"/>
        <v>0</v>
      </c>
      <c r="F715" s="398">
        <f t="shared" si="53"/>
        <v>0</v>
      </c>
    </row>
    <row r="716" spans="2:6">
      <c r="B716" s="64">
        <v>703</v>
      </c>
      <c r="C716" s="397">
        <f t="shared" si="50"/>
        <v>0</v>
      </c>
      <c r="D716" s="398">
        <f t="shared" si="51"/>
        <v>0</v>
      </c>
      <c r="E716" s="398">
        <f t="shared" si="52"/>
        <v>0</v>
      </c>
      <c r="F716" s="398">
        <f t="shared" si="53"/>
        <v>0</v>
      </c>
    </row>
    <row r="717" spans="2:6">
      <c r="B717" s="64">
        <v>704</v>
      </c>
      <c r="C717" s="397">
        <f t="shared" si="50"/>
        <v>0</v>
      </c>
      <c r="D717" s="398">
        <f t="shared" si="51"/>
        <v>0</v>
      </c>
      <c r="E717" s="398">
        <f t="shared" si="52"/>
        <v>0</v>
      </c>
      <c r="F717" s="398">
        <f t="shared" si="53"/>
        <v>0</v>
      </c>
    </row>
    <row r="718" spans="2:6">
      <c r="B718" s="64">
        <v>705</v>
      </c>
      <c r="C718" s="397">
        <f t="shared" si="50"/>
        <v>0</v>
      </c>
      <c r="D718" s="398">
        <f t="shared" si="51"/>
        <v>0</v>
      </c>
      <c r="E718" s="398">
        <f t="shared" si="52"/>
        <v>0</v>
      </c>
      <c r="F718" s="398">
        <f t="shared" si="53"/>
        <v>0</v>
      </c>
    </row>
    <row r="719" spans="2:6">
      <c r="B719" s="64">
        <v>706</v>
      </c>
      <c r="C719" s="397">
        <f t="shared" si="50"/>
        <v>0</v>
      </c>
      <c r="D719" s="398">
        <f t="shared" si="51"/>
        <v>0</v>
      </c>
      <c r="E719" s="398">
        <f t="shared" si="52"/>
        <v>0</v>
      </c>
      <c r="F719" s="398">
        <f t="shared" si="53"/>
        <v>0</v>
      </c>
    </row>
    <row r="720" spans="2:6">
      <c r="B720" s="64">
        <v>707</v>
      </c>
      <c r="C720" s="397">
        <f t="shared" ref="C720:C733" si="54">IF(F719&gt;$C$7,$C$7,F719+D720)</f>
        <v>0</v>
      </c>
      <c r="D720" s="398">
        <f t="shared" ref="D720:D733" si="55">+$C$5*F719/12</f>
        <v>0</v>
      </c>
      <c r="E720" s="398">
        <f t="shared" ref="E720:E733" si="56">+C720-D720</f>
        <v>0</v>
      </c>
      <c r="F720" s="398">
        <f t="shared" ref="F720:F733" si="57">+F719-E720</f>
        <v>0</v>
      </c>
    </row>
    <row r="721" spans="2:6">
      <c r="B721" s="64">
        <v>708</v>
      </c>
      <c r="C721" s="397">
        <f t="shared" si="54"/>
        <v>0</v>
      </c>
      <c r="D721" s="398">
        <f t="shared" si="55"/>
        <v>0</v>
      </c>
      <c r="E721" s="398">
        <f t="shared" si="56"/>
        <v>0</v>
      </c>
      <c r="F721" s="398">
        <f t="shared" si="57"/>
        <v>0</v>
      </c>
    </row>
    <row r="722" spans="2:6">
      <c r="B722" s="64">
        <v>709</v>
      </c>
      <c r="C722" s="397">
        <f t="shared" si="54"/>
        <v>0</v>
      </c>
      <c r="D722" s="398">
        <f t="shared" si="55"/>
        <v>0</v>
      </c>
      <c r="E722" s="398">
        <f t="shared" si="56"/>
        <v>0</v>
      </c>
      <c r="F722" s="398">
        <f t="shared" si="57"/>
        <v>0</v>
      </c>
    </row>
    <row r="723" spans="2:6">
      <c r="B723" s="64">
        <v>710</v>
      </c>
      <c r="C723" s="397">
        <f t="shared" si="54"/>
        <v>0</v>
      </c>
      <c r="D723" s="398">
        <f t="shared" si="55"/>
        <v>0</v>
      </c>
      <c r="E723" s="398">
        <f t="shared" si="56"/>
        <v>0</v>
      </c>
      <c r="F723" s="398">
        <f t="shared" si="57"/>
        <v>0</v>
      </c>
    </row>
    <row r="724" spans="2:6">
      <c r="B724" s="64">
        <v>711</v>
      </c>
      <c r="C724" s="397">
        <f t="shared" si="54"/>
        <v>0</v>
      </c>
      <c r="D724" s="398">
        <f t="shared" si="55"/>
        <v>0</v>
      </c>
      <c r="E724" s="398">
        <f t="shared" si="56"/>
        <v>0</v>
      </c>
      <c r="F724" s="398">
        <f t="shared" si="57"/>
        <v>0</v>
      </c>
    </row>
    <row r="725" spans="2:6">
      <c r="B725" s="64">
        <v>712</v>
      </c>
      <c r="C725" s="397">
        <f t="shared" si="54"/>
        <v>0</v>
      </c>
      <c r="D725" s="398">
        <f t="shared" si="55"/>
        <v>0</v>
      </c>
      <c r="E725" s="398">
        <f t="shared" si="56"/>
        <v>0</v>
      </c>
      <c r="F725" s="398">
        <f t="shared" si="57"/>
        <v>0</v>
      </c>
    </row>
    <row r="726" spans="2:6">
      <c r="B726" s="64">
        <v>713</v>
      </c>
      <c r="C726" s="397">
        <f t="shared" si="54"/>
        <v>0</v>
      </c>
      <c r="D726" s="398">
        <f t="shared" si="55"/>
        <v>0</v>
      </c>
      <c r="E726" s="398">
        <f t="shared" si="56"/>
        <v>0</v>
      </c>
      <c r="F726" s="398">
        <f t="shared" si="57"/>
        <v>0</v>
      </c>
    </row>
    <row r="727" spans="2:6">
      <c r="B727" s="64">
        <v>714</v>
      </c>
      <c r="C727" s="397">
        <f t="shared" si="54"/>
        <v>0</v>
      </c>
      <c r="D727" s="398">
        <f t="shared" si="55"/>
        <v>0</v>
      </c>
      <c r="E727" s="398">
        <f t="shared" si="56"/>
        <v>0</v>
      </c>
      <c r="F727" s="398">
        <f t="shared" si="57"/>
        <v>0</v>
      </c>
    </row>
    <row r="728" spans="2:6">
      <c r="B728" s="64">
        <v>715</v>
      </c>
      <c r="C728" s="397">
        <f t="shared" si="54"/>
        <v>0</v>
      </c>
      <c r="D728" s="398">
        <f t="shared" si="55"/>
        <v>0</v>
      </c>
      <c r="E728" s="398">
        <f t="shared" si="56"/>
        <v>0</v>
      </c>
      <c r="F728" s="398">
        <f t="shared" si="57"/>
        <v>0</v>
      </c>
    </row>
    <row r="729" spans="2:6">
      <c r="B729" s="64">
        <v>716</v>
      </c>
      <c r="C729" s="397">
        <f t="shared" si="54"/>
        <v>0</v>
      </c>
      <c r="D729" s="398">
        <f t="shared" si="55"/>
        <v>0</v>
      </c>
      <c r="E729" s="398">
        <f t="shared" si="56"/>
        <v>0</v>
      </c>
      <c r="F729" s="398">
        <f t="shared" si="57"/>
        <v>0</v>
      </c>
    </row>
    <row r="730" spans="2:6">
      <c r="B730" s="64">
        <v>717</v>
      </c>
      <c r="C730" s="397">
        <f t="shared" si="54"/>
        <v>0</v>
      </c>
      <c r="D730" s="398">
        <f t="shared" si="55"/>
        <v>0</v>
      </c>
      <c r="E730" s="398">
        <f t="shared" si="56"/>
        <v>0</v>
      </c>
      <c r="F730" s="398">
        <f t="shared" si="57"/>
        <v>0</v>
      </c>
    </row>
    <row r="731" spans="2:6">
      <c r="B731" s="64">
        <v>718</v>
      </c>
      <c r="C731" s="397">
        <f t="shared" si="54"/>
        <v>0</v>
      </c>
      <c r="D731" s="398">
        <f t="shared" si="55"/>
        <v>0</v>
      </c>
      <c r="E731" s="398">
        <f t="shared" si="56"/>
        <v>0</v>
      </c>
      <c r="F731" s="398">
        <f t="shared" si="57"/>
        <v>0</v>
      </c>
    </row>
    <row r="732" spans="2:6">
      <c r="B732" s="64">
        <v>719</v>
      </c>
      <c r="C732" s="397">
        <f t="shared" si="54"/>
        <v>0</v>
      </c>
      <c r="D732" s="398">
        <f t="shared" si="55"/>
        <v>0</v>
      </c>
      <c r="E732" s="398">
        <f t="shared" si="56"/>
        <v>0</v>
      </c>
      <c r="F732" s="398">
        <f t="shared" si="57"/>
        <v>0</v>
      </c>
    </row>
    <row r="733" spans="2:6">
      <c r="B733" s="64">
        <v>720</v>
      </c>
      <c r="C733" s="397">
        <f t="shared" si="54"/>
        <v>0</v>
      </c>
      <c r="D733" s="398">
        <f t="shared" si="55"/>
        <v>0</v>
      </c>
      <c r="E733" s="398">
        <f t="shared" si="56"/>
        <v>0</v>
      </c>
      <c r="F733" s="398">
        <f t="shared" si="57"/>
        <v>0</v>
      </c>
    </row>
    <row r="734" spans="2:6">
      <c r="B734" s="62"/>
      <c r="C734" s="70"/>
      <c r="D734" s="65"/>
      <c r="E734" s="65"/>
      <c r="F734" s="65"/>
    </row>
  </sheetData>
  <sheetProtection algorithmName="SHA-512" hashValue="cjtfwWwNFm4x6V8ZOFIowMXrOxX4WRTRvFkpSYJJTdBvDKgFpGhQy70gfjEtjDbJuL2/ZEBbZNGiV+Eg2Txxjw==" saltValue="ZFvPZfppGu+mSqocdMCDJA==" spinCount="100000" sheet="1" objects="1" scenarios="1"/>
  <pageMargins left="0.6" right="0.62" top="0.75" bottom="0.42" header="0.3" footer="0.24"/>
  <pageSetup scale="10" orientation="portrait"/>
  <headerFooter>
    <oddFooter>&amp;C&amp;"-,Regular"&amp;10&amp;A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6E3F-C63F-E041-BA3B-319962B90165}">
  <sheetPr codeName="Sheet33">
    <tabColor rgb="FFFF0000"/>
    <pageSetUpPr fitToPage="1"/>
  </sheetPr>
  <dimension ref="A1:W734"/>
  <sheetViews>
    <sheetView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9" width="6.6640625" customWidth="1"/>
    <col min="10" max="10" width="7.6640625" customWidth="1"/>
    <col min="11" max="11" width="8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63" t="s">
        <v>607</v>
      </c>
      <c r="B1" s="62"/>
      <c r="C1" s="62"/>
      <c r="D1" s="62"/>
      <c r="E1" s="62"/>
      <c r="F1" s="62"/>
      <c r="G1" s="62"/>
      <c r="H1" s="289" t="s">
        <v>607</v>
      </c>
      <c r="I1" s="71"/>
      <c r="J1" s="81"/>
      <c r="K1" s="71"/>
      <c r="L1" s="71"/>
      <c r="M1" s="290"/>
      <c r="N1" s="74"/>
      <c r="O1" s="62"/>
      <c r="P1" s="62"/>
      <c r="Q1" s="62"/>
      <c r="R1" s="62"/>
      <c r="S1" s="62"/>
      <c r="T1" s="62"/>
      <c r="U1" s="62"/>
      <c r="V1" s="62"/>
      <c r="W1" s="62"/>
    </row>
    <row r="2" spans="1:23" ht="18.75">
      <c r="A2" s="62"/>
      <c r="B2" s="62"/>
      <c r="C2" s="62"/>
      <c r="D2" s="62"/>
      <c r="E2" s="62"/>
      <c r="F2" s="62"/>
      <c r="G2" s="62"/>
      <c r="H2" s="93"/>
      <c r="I2" s="66"/>
      <c r="J2" s="74"/>
      <c r="K2" s="66"/>
      <c r="L2" s="66"/>
      <c r="M2" s="80"/>
      <c r="N2" s="74"/>
      <c r="O2" s="62"/>
      <c r="P2" s="62"/>
      <c r="Q2" s="62"/>
      <c r="R2" s="62"/>
      <c r="S2" s="62"/>
      <c r="T2" s="62"/>
      <c r="U2" s="62"/>
      <c r="V2" s="62"/>
      <c r="W2" s="62"/>
    </row>
    <row r="3" spans="1:23" ht="18.75">
      <c r="A3" s="62" t="s">
        <v>96</v>
      </c>
      <c r="B3" s="62"/>
      <c r="C3" s="64" t="str">
        <f>'Stabilized Ops &amp; Debt'!M36</f>
        <v>Fixed</v>
      </c>
      <c r="D3" s="64"/>
      <c r="H3" s="93"/>
      <c r="I3" s="66"/>
      <c r="J3" s="74"/>
      <c r="K3" s="66"/>
      <c r="L3" s="66"/>
      <c r="M3" s="80"/>
      <c r="N3" s="74"/>
      <c r="O3" s="62"/>
      <c r="P3" s="62"/>
      <c r="Q3" s="62"/>
      <c r="R3" s="62"/>
      <c r="S3" s="62"/>
      <c r="T3" s="62"/>
      <c r="U3" s="62"/>
      <c r="V3" s="62"/>
      <c r="W3" s="62"/>
    </row>
    <row r="4" spans="1:23">
      <c r="A4" s="62" t="s">
        <v>98</v>
      </c>
      <c r="B4" s="62"/>
      <c r="C4" s="73">
        <f>IF(C3="Amortizing",'Stabilized Ops &amp; Debt'!K35,0)</f>
        <v>0</v>
      </c>
      <c r="D4" s="62"/>
      <c r="E4" s="62"/>
      <c r="F4" s="62"/>
      <c r="G4" s="62"/>
      <c r="H4" s="76"/>
      <c r="I4" s="66"/>
      <c r="J4" s="74"/>
      <c r="K4" s="66"/>
      <c r="L4" s="66"/>
      <c r="M4" s="80"/>
      <c r="N4" s="74"/>
      <c r="O4" s="62"/>
      <c r="P4" s="62"/>
      <c r="Q4" s="62"/>
      <c r="R4" s="62"/>
      <c r="S4" s="62"/>
      <c r="T4" s="62"/>
      <c r="U4" s="62"/>
      <c r="V4" s="62"/>
      <c r="W4" s="62"/>
    </row>
    <row r="5" spans="1:23">
      <c r="A5" s="62" t="s">
        <v>99</v>
      </c>
      <c r="B5" s="62"/>
      <c r="C5" s="69">
        <f>'Stabilized Ops &amp; Debt'!K38</f>
        <v>0</v>
      </c>
      <c r="D5" s="62"/>
      <c r="E5" s="62"/>
      <c r="F5" s="62"/>
      <c r="G5" s="62"/>
      <c r="H5" s="76"/>
      <c r="I5" s="66"/>
      <c r="J5" s="74"/>
      <c r="K5" s="66"/>
      <c r="L5" s="66"/>
      <c r="M5" s="80"/>
      <c r="N5" s="74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62" t="s">
        <v>608</v>
      </c>
      <c r="B6" s="62"/>
      <c r="C6" s="64">
        <f>+'Stabilized Ops &amp; Debt'!K39*12</f>
        <v>0</v>
      </c>
      <c r="D6" s="62"/>
      <c r="E6" s="62"/>
      <c r="F6" s="62"/>
      <c r="G6" s="62"/>
      <c r="H6" s="76"/>
      <c r="I6" s="66"/>
      <c r="J6" s="74"/>
      <c r="K6" s="66"/>
      <c r="L6" s="66"/>
      <c r="M6" s="80"/>
      <c r="N6" s="74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62" t="s">
        <v>100</v>
      </c>
      <c r="B7" s="62" t="s">
        <v>153</v>
      </c>
      <c r="C7" s="399">
        <f>IF(C6=0,0,IF(C3="Amortizing",PMT(C5/12,C6,-C4),0))</f>
        <v>0</v>
      </c>
      <c r="D7" s="62"/>
      <c r="E7" s="62"/>
      <c r="F7" s="62"/>
      <c r="G7" s="62"/>
      <c r="H7" s="76"/>
      <c r="I7" s="66"/>
      <c r="J7" s="74"/>
      <c r="K7" s="66"/>
      <c r="L7" s="66"/>
      <c r="M7" s="80"/>
      <c r="N7" s="74"/>
      <c r="O7" s="62"/>
      <c r="P7" s="62"/>
      <c r="Q7" s="62"/>
      <c r="R7" s="62"/>
      <c r="S7" s="62"/>
      <c r="T7" s="62"/>
      <c r="U7" s="62"/>
      <c r="V7" s="62"/>
      <c r="W7" s="62"/>
    </row>
    <row r="8" spans="1:23">
      <c r="A8" s="62"/>
      <c r="B8" s="73"/>
      <c r="C8" s="62"/>
      <c r="D8" s="62"/>
      <c r="E8" s="62"/>
      <c r="F8" s="62"/>
      <c r="G8" s="62"/>
      <c r="H8" s="76"/>
      <c r="I8" s="66"/>
      <c r="J8" s="74"/>
      <c r="K8" s="66"/>
      <c r="L8" s="66"/>
      <c r="M8" s="80"/>
      <c r="N8" s="74"/>
      <c r="O8" s="62"/>
      <c r="P8" s="62"/>
      <c r="Q8" s="62"/>
      <c r="R8" s="62"/>
      <c r="S8" s="62"/>
      <c r="T8" s="62"/>
      <c r="U8" s="62"/>
      <c r="V8" s="62"/>
      <c r="W8" s="62"/>
    </row>
    <row r="9" spans="1:23">
      <c r="A9" s="62"/>
      <c r="B9" s="62"/>
      <c r="C9" s="62"/>
      <c r="D9" s="62"/>
      <c r="E9" s="62"/>
      <c r="F9" s="62"/>
      <c r="G9" s="62"/>
      <c r="H9" s="79"/>
      <c r="I9" s="71"/>
      <c r="J9" s="81"/>
      <c r="K9" s="163" t="s">
        <v>98</v>
      </c>
      <c r="L9" s="164">
        <f>+C4</f>
        <v>0</v>
      </c>
      <c r="M9" s="80"/>
      <c r="N9" s="74"/>
      <c r="O9" s="62"/>
      <c r="P9" s="62"/>
      <c r="Q9" s="62"/>
      <c r="R9" s="62"/>
      <c r="S9" s="62"/>
      <c r="T9" s="62"/>
      <c r="U9" s="62"/>
      <c r="V9" s="62"/>
      <c r="W9" s="62"/>
    </row>
    <row r="10" spans="1:23">
      <c r="A10" s="62"/>
      <c r="B10" s="62"/>
      <c r="C10" s="62"/>
      <c r="D10" s="62"/>
      <c r="E10" s="62"/>
      <c r="F10" s="62"/>
      <c r="G10" s="62"/>
      <c r="H10" s="163" t="s">
        <v>101</v>
      </c>
      <c r="I10" s="168">
        <f>'Project Info'!O13</f>
        <v>0</v>
      </c>
      <c r="J10" s="74"/>
      <c r="K10" s="163" t="s">
        <v>102</v>
      </c>
      <c r="L10" s="166">
        <f>+C5</f>
        <v>0</v>
      </c>
      <c r="M10" s="80"/>
      <c r="N10" s="74"/>
      <c r="O10" s="62"/>
      <c r="P10" s="62"/>
      <c r="Q10" s="62"/>
      <c r="R10" s="62"/>
      <c r="S10" s="62"/>
      <c r="T10" s="62"/>
      <c r="U10" s="62"/>
      <c r="V10" s="62"/>
      <c r="W10" s="62"/>
    </row>
    <row r="11" spans="1:23">
      <c r="A11" s="62"/>
      <c r="B11" s="62"/>
      <c r="C11" s="62" t="s">
        <v>362</v>
      </c>
      <c r="D11" s="62"/>
      <c r="E11" s="62"/>
      <c r="F11" s="62" t="s">
        <v>345</v>
      </c>
      <c r="G11" s="62"/>
      <c r="H11" s="77"/>
      <c r="I11" s="72"/>
      <c r="J11" s="281"/>
      <c r="K11" s="163" t="s">
        <v>147</v>
      </c>
      <c r="L11" s="163">
        <f>+C6/12</f>
        <v>0</v>
      </c>
      <c r="M11" s="80"/>
      <c r="N11" s="74"/>
      <c r="O11" s="62"/>
      <c r="P11" s="62"/>
      <c r="Q11" s="62"/>
      <c r="R11" s="62"/>
      <c r="S11" s="62"/>
      <c r="T11" s="62"/>
      <c r="U11" s="62"/>
      <c r="V11" s="62"/>
      <c r="W11" s="62"/>
    </row>
    <row r="12" spans="1:23">
      <c r="A12" s="62"/>
      <c r="B12" s="68" t="s">
        <v>104</v>
      </c>
      <c r="C12" s="67" t="s">
        <v>105</v>
      </c>
      <c r="D12" s="67" t="s">
        <v>356</v>
      </c>
      <c r="E12" s="67" t="s">
        <v>98</v>
      </c>
      <c r="F12" s="67" t="s">
        <v>106</v>
      </c>
      <c r="G12" s="62"/>
      <c r="H12" s="282"/>
      <c r="M12" s="80"/>
      <c r="N12" s="74"/>
      <c r="O12" s="62"/>
      <c r="P12" s="62"/>
      <c r="Q12" s="62"/>
      <c r="R12" s="62"/>
      <c r="S12" s="62"/>
      <c r="T12" s="62"/>
      <c r="U12" s="62"/>
      <c r="V12" s="62"/>
      <c r="W12" s="62"/>
    </row>
    <row r="13" spans="1:23">
      <c r="A13" s="62"/>
      <c r="B13" s="62"/>
      <c r="C13" s="62"/>
      <c r="D13" s="62"/>
      <c r="E13" s="62"/>
      <c r="F13" s="62"/>
      <c r="G13" s="62"/>
      <c r="H13" s="76"/>
      <c r="I13" s="66"/>
      <c r="J13" s="74"/>
      <c r="K13" s="66"/>
      <c r="L13" s="66"/>
      <c r="M13" s="80"/>
      <c r="N13" s="74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20.100000000000001" customHeight="1">
      <c r="A14" s="62"/>
      <c r="B14" s="64">
        <v>1</v>
      </c>
      <c r="C14" s="397">
        <f>IF(B14&lt;=$C$6,$C$7,0)</f>
        <v>0</v>
      </c>
      <c r="D14" s="398">
        <f>+C4*C5/12</f>
        <v>0</v>
      </c>
      <c r="E14" s="398">
        <f>+C14-D14</f>
        <v>0</v>
      </c>
      <c r="F14" s="398">
        <f>+C4-E14</f>
        <v>0</v>
      </c>
      <c r="G14" s="62"/>
      <c r="H14" s="76"/>
      <c r="I14" s="66"/>
      <c r="J14" s="74"/>
      <c r="K14" s="66"/>
      <c r="L14" s="66"/>
      <c r="M14" s="291"/>
      <c r="N14" s="74"/>
      <c r="O14" s="62"/>
      <c r="P14" s="62"/>
      <c r="Q14" s="861"/>
      <c r="R14" s="62"/>
      <c r="S14" s="62"/>
      <c r="T14" s="62"/>
      <c r="U14" s="62"/>
      <c r="V14" s="62"/>
      <c r="W14" s="92" t="s">
        <v>108</v>
      </c>
    </row>
    <row r="15" spans="1:23" ht="15" customHeight="1">
      <c r="A15" s="62"/>
      <c r="B15" s="64">
        <v>2</v>
      </c>
      <c r="C15" s="397">
        <f t="shared" ref="C15:C78" si="0">IF(F14&gt;$C$7,$C$7,F14+D15)</f>
        <v>0</v>
      </c>
      <c r="D15" s="398">
        <f t="shared" ref="D15:D78" si="1">+$C$5*F14/12</f>
        <v>0</v>
      </c>
      <c r="E15" s="398">
        <f>+C15-D15</f>
        <v>0</v>
      </c>
      <c r="F15" s="398">
        <f>+F14-E15</f>
        <v>0</v>
      </c>
      <c r="G15" s="62"/>
      <c r="H15" s="82"/>
      <c r="I15" s="82"/>
      <c r="J15" s="83"/>
      <c r="K15" s="82"/>
      <c r="L15" s="82" t="s">
        <v>109</v>
      </c>
      <c r="M15" s="83"/>
      <c r="N15" s="62"/>
      <c r="O15" s="62"/>
      <c r="P15" s="861"/>
      <c r="R15" s="62"/>
      <c r="S15" s="62"/>
      <c r="T15" s="62"/>
      <c r="U15" s="62"/>
      <c r="V15" s="92" t="s">
        <v>110</v>
      </c>
    </row>
    <row r="16" spans="1:23">
      <c r="A16" s="62"/>
      <c r="B16" s="64">
        <v>3</v>
      </c>
      <c r="C16" s="397">
        <f t="shared" si="0"/>
        <v>0</v>
      </c>
      <c r="D16" s="398">
        <f t="shared" si="1"/>
        <v>0</v>
      </c>
      <c r="E16" s="398">
        <f t="shared" ref="E16:E79" si="2">+C16-D16</f>
        <v>0</v>
      </c>
      <c r="F16" s="398">
        <f t="shared" ref="F16:F79" si="3">+F15-E16</f>
        <v>0</v>
      </c>
      <c r="G16" s="62"/>
      <c r="H16" s="85" t="s">
        <v>82</v>
      </c>
      <c r="I16" s="85" t="s">
        <v>111</v>
      </c>
      <c r="J16" s="86" t="s">
        <v>99</v>
      </c>
      <c r="K16" s="85" t="s">
        <v>98</v>
      </c>
      <c r="L16" s="85" t="s">
        <v>106</v>
      </c>
      <c r="M16" s="86" t="s">
        <v>105</v>
      </c>
      <c r="N16" s="62"/>
      <c r="O16" s="62"/>
      <c r="P16" s="861"/>
      <c r="Q16" s="62"/>
      <c r="R16" s="62"/>
      <c r="S16" s="62"/>
      <c r="T16" s="92" t="s">
        <v>113</v>
      </c>
    </row>
    <row r="17" spans="1:20">
      <c r="A17" s="62"/>
      <c r="B17" s="64">
        <v>4</v>
      </c>
      <c r="C17" s="397">
        <f t="shared" si="0"/>
        <v>0</v>
      </c>
      <c r="D17" s="398">
        <f t="shared" si="1"/>
        <v>0</v>
      </c>
      <c r="E17" s="398">
        <f t="shared" si="2"/>
        <v>0</v>
      </c>
      <c r="F17" s="398">
        <f t="shared" si="3"/>
        <v>0</v>
      </c>
      <c r="G17" s="62"/>
      <c r="H17" s="88">
        <v>0</v>
      </c>
      <c r="I17" s="80">
        <f>+' Lease-up'!I7</f>
        <v>1904</v>
      </c>
      <c r="J17" s="89"/>
      <c r="K17" s="88"/>
      <c r="L17" s="90">
        <f>+L9-K17</f>
        <v>0</v>
      </c>
      <c r="M17" s="90">
        <f>+J17+K17</f>
        <v>0</v>
      </c>
      <c r="N17" s="62"/>
      <c r="O17" s="278"/>
      <c r="P17" s="78"/>
      <c r="R17" s="278"/>
      <c r="S17" s="62"/>
      <c r="T17" s="92"/>
    </row>
    <row r="18" spans="1:20">
      <c r="A18" s="62"/>
      <c r="B18" s="64">
        <v>5</v>
      </c>
      <c r="C18" s="397">
        <f t="shared" si="0"/>
        <v>0</v>
      </c>
      <c r="D18" s="398">
        <f t="shared" si="1"/>
        <v>0</v>
      </c>
      <c r="E18" s="398">
        <f t="shared" si="2"/>
        <v>0</v>
      </c>
      <c r="F18" s="398">
        <f t="shared" si="3"/>
        <v>0</v>
      </c>
      <c r="G18" s="97"/>
      <c r="H18" s="292">
        <f>13-' Lease-up'!I8</f>
        <v>12</v>
      </c>
      <c r="I18" s="80">
        <f>+I17+1</f>
        <v>1905</v>
      </c>
      <c r="J18" s="89">
        <f>SUMIF($B$14:$B$733,T18,$D$14:$D$733)</f>
        <v>0</v>
      </c>
      <c r="K18" s="89">
        <f>SUMIF($B$14:$B$733,T18,$E$14:$E$733)</f>
        <v>0</v>
      </c>
      <c r="L18" s="90">
        <f t="shared" ref="L18:L77" si="4">+L17-K18</f>
        <v>0</v>
      </c>
      <c r="M18" s="90">
        <f t="shared" ref="M18:M77" si="5">+J18+K18</f>
        <v>0</v>
      </c>
      <c r="N18" s="62"/>
      <c r="O18" s="278"/>
      <c r="P18" s="78"/>
      <c r="R18" s="278"/>
      <c r="S18" s="62"/>
      <c r="T18" s="92" t="str">
        <f t="shared" ref="T18:T77" si="6">$T$16&amp;$W$14&amp;H18</f>
        <v>&lt;=12</v>
      </c>
    </row>
    <row r="19" spans="1:20">
      <c r="B19" s="64">
        <v>6</v>
      </c>
      <c r="C19" s="397">
        <f t="shared" si="0"/>
        <v>0</v>
      </c>
      <c r="D19" s="398">
        <f t="shared" si="1"/>
        <v>0</v>
      </c>
      <c r="E19" s="398">
        <f t="shared" si="2"/>
        <v>0</v>
      </c>
      <c r="F19" s="398">
        <f t="shared" si="3"/>
        <v>0</v>
      </c>
      <c r="G19" s="97"/>
      <c r="H19" s="88">
        <f>+H18+12</f>
        <v>24</v>
      </c>
      <c r="I19" s="80">
        <f t="shared" ref="I19:I77" si="7">+I18+1</f>
        <v>1906</v>
      </c>
      <c r="J19" s="89">
        <f>SUMIF($B$14:$B$733,T19,$D$14:$D$733)-SUM($J$18:J18)</f>
        <v>0</v>
      </c>
      <c r="K19" s="99">
        <f>SUMIF($B$14:$B$733,T19,$E$14:$E$733)-SUM($K$18:K18)</f>
        <v>0</v>
      </c>
      <c r="L19" s="90">
        <f t="shared" si="4"/>
        <v>0</v>
      </c>
      <c r="M19" s="90">
        <f t="shared" si="5"/>
        <v>0</v>
      </c>
      <c r="N19" s="62"/>
      <c r="O19" s="278"/>
      <c r="P19" s="78"/>
      <c r="R19" s="278"/>
      <c r="S19" s="62"/>
      <c r="T19" s="92" t="str">
        <f t="shared" si="6"/>
        <v>&lt;=24</v>
      </c>
    </row>
    <row r="20" spans="1:20">
      <c r="B20" s="64">
        <v>7</v>
      </c>
      <c r="C20" s="397">
        <f t="shared" si="0"/>
        <v>0</v>
      </c>
      <c r="D20" s="398">
        <f t="shared" si="1"/>
        <v>0</v>
      </c>
      <c r="E20" s="398">
        <f t="shared" si="2"/>
        <v>0</v>
      </c>
      <c r="F20" s="398">
        <f t="shared" si="3"/>
        <v>0</v>
      </c>
      <c r="G20" s="97"/>
      <c r="H20" s="88">
        <f t="shared" ref="H20:H77" si="8">+H19+12</f>
        <v>36</v>
      </c>
      <c r="I20" s="80">
        <f t="shared" si="7"/>
        <v>1907</v>
      </c>
      <c r="J20" s="89">
        <f>SUMIF($B$14:$B$733,T20,$D$14:$D$733)-SUM($J$18:J19)</f>
        <v>0</v>
      </c>
      <c r="K20" s="96">
        <f>SUMIF($B$14:$B$733,T20,$E$14:$E$733)-SUM($K$18:K19)</f>
        <v>0</v>
      </c>
      <c r="L20" s="90">
        <f t="shared" si="4"/>
        <v>0</v>
      </c>
      <c r="M20" s="90">
        <f t="shared" si="5"/>
        <v>0</v>
      </c>
      <c r="N20" s="62"/>
      <c r="O20" s="278"/>
      <c r="P20" s="78"/>
      <c r="R20" s="278"/>
      <c r="S20" s="62"/>
      <c r="T20" s="92" t="str">
        <f t="shared" si="6"/>
        <v>&lt;=36</v>
      </c>
    </row>
    <row r="21" spans="1:20">
      <c r="B21" s="64">
        <v>8</v>
      </c>
      <c r="C21" s="397">
        <f t="shared" si="0"/>
        <v>0</v>
      </c>
      <c r="D21" s="398">
        <f t="shared" si="1"/>
        <v>0</v>
      </c>
      <c r="E21" s="398">
        <f t="shared" si="2"/>
        <v>0</v>
      </c>
      <c r="F21" s="398">
        <f t="shared" si="3"/>
        <v>0</v>
      </c>
      <c r="G21" s="97"/>
      <c r="H21" s="88">
        <f t="shared" si="8"/>
        <v>48</v>
      </c>
      <c r="I21" s="80">
        <f t="shared" si="7"/>
        <v>1908</v>
      </c>
      <c r="J21" s="89">
        <f>SUMIF($B$14:$B$733,T21,$D$14:$D$733)-SUM($J$18:J20)</f>
        <v>0</v>
      </c>
      <c r="K21" s="96">
        <f>SUMIF($B$14:$B$733,T21,$E$14:$E$733)-SUM($K$18:K20)</f>
        <v>0</v>
      </c>
      <c r="L21" s="90">
        <f t="shared" si="4"/>
        <v>0</v>
      </c>
      <c r="M21" s="90">
        <f t="shared" si="5"/>
        <v>0</v>
      </c>
      <c r="N21" s="62"/>
      <c r="O21" s="278"/>
      <c r="P21" s="78"/>
      <c r="R21" s="278"/>
      <c r="S21" s="62"/>
      <c r="T21" s="92" t="str">
        <f t="shared" si="6"/>
        <v>&lt;=48</v>
      </c>
    </row>
    <row r="22" spans="1:20">
      <c r="B22" s="64">
        <v>9</v>
      </c>
      <c r="C22" s="397">
        <f t="shared" si="0"/>
        <v>0</v>
      </c>
      <c r="D22" s="398">
        <f t="shared" si="1"/>
        <v>0</v>
      </c>
      <c r="E22" s="398">
        <f t="shared" si="2"/>
        <v>0</v>
      </c>
      <c r="F22" s="398">
        <f t="shared" si="3"/>
        <v>0</v>
      </c>
      <c r="G22" s="97"/>
      <c r="H22" s="88">
        <f t="shared" si="8"/>
        <v>60</v>
      </c>
      <c r="I22" s="80">
        <f t="shared" si="7"/>
        <v>1909</v>
      </c>
      <c r="J22" s="89">
        <f>SUMIF($B$14:$B$733,T22,$D$14:$D$733)-SUM($J$18:J21)</f>
        <v>0</v>
      </c>
      <c r="K22" s="96">
        <f>SUMIF($B$14:$B$733,T22,$E$14:$E$733)-SUM($K$18:K21)</f>
        <v>0</v>
      </c>
      <c r="L22" s="90">
        <f t="shared" si="4"/>
        <v>0</v>
      </c>
      <c r="M22" s="90">
        <f t="shared" si="5"/>
        <v>0</v>
      </c>
      <c r="N22" s="62"/>
      <c r="O22" s="278"/>
      <c r="P22" s="78"/>
      <c r="R22" s="278"/>
      <c r="S22" s="62"/>
      <c r="T22" s="92" t="str">
        <f t="shared" si="6"/>
        <v>&lt;=60</v>
      </c>
    </row>
    <row r="23" spans="1:20">
      <c r="B23" s="64">
        <v>10</v>
      </c>
      <c r="C23" s="397">
        <f t="shared" si="0"/>
        <v>0</v>
      </c>
      <c r="D23" s="398">
        <f t="shared" si="1"/>
        <v>0</v>
      </c>
      <c r="E23" s="398">
        <f t="shared" si="2"/>
        <v>0</v>
      </c>
      <c r="F23" s="398">
        <f t="shared" si="3"/>
        <v>0</v>
      </c>
      <c r="G23" s="97"/>
      <c r="H23" s="88">
        <f t="shared" si="8"/>
        <v>72</v>
      </c>
      <c r="I23" s="80">
        <f t="shared" si="7"/>
        <v>1910</v>
      </c>
      <c r="J23" s="89">
        <f>SUMIF($B$14:$B$733,T23,$D$14:$D$733)-SUM($J$18:J22)</f>
        <v>0</v>
      </c>
      <c r="K23" s="96">
        <f>SUMIF($B$14:$B$733,T23,$E$14:$E$733)-SUM($K$18:K22)</f>
        <v>0</v>
      </c>
      <c r="L23" s="90">
        <f t="shared" si="4"/>
        <v>0</v>
      </c>
      <c r="M23" s="90">
        <f t="shared" si="5"/>
        <v>0</v>
      </c>
      <c r="N23" s="62"/>
      <c r="O23" s="278"/>
      <c r="P23" s="78"/>
      <c r="R23" s="278"/>
      <c r="S23" s="62"/>
      <c r="T23" s="92" t="str">
        <f t="shared" si="6"/>
        <v>&lt;=72</v>
      </c>
    </row>
    <row r="24" spans="1:20">
      <c r="B24" s="64">
        <v>11</v>
      </c>
      <c r="C24" s="397">
        <f t="shared" si="0"/>
        <v>0</v>
      </c>
      <c r="D24" s="398">
        <f t="shared" si="1"/>
        <v>0</v>
      </c>
      <c r="E24" s="398">
        <f t="shared" si="2"/>
        <v>0</v>
      </c>
      <c r="F24" s="398">
        <f t="shared" si="3"/>
        <v>0</v>
      </c>
      <c r="G24" s="97"/>
      <c r="H24" s="88">
        <f t="shared" si="8"/>
        <v>84</v>
      </c>
      <c r="I24" s="80">
        <f t="shared" si="7"/>
        <v>1911</v>
      </c>
      <c r="J24" s="89">
        <f>SUMIF($B$14:$B$733,T24,$D$14:$D$733)-SUM($J$18:J23)</f>
        <v>0</v>
      </c>
      <c r="K24" s="96">
        <f>SUMIF($B$14:$B$733,T24,$E$14:$E$733)-SUM($K$18:K23)</f>
        <v>0</v>
      </c>
      <c r="L24" s="90">
        <f t="shared" si="4"/>
        <v>0</v>
      </c>
      <c r="M24" s="90">
        <f t="shared" si="5"/>
        <v>0</v>
      </c>
      <c r="N24" s="62"/>
      <c r="O24" s="278"/>
      <c r="P24" s="78"/>
      <c r="R24" s="278"/>
      <c r="S24" s="62"/>
      <c r="T24" s="92" t="str">
        <f t="shared" si="6"/>
        <v>&lt;=84</v>
      </c>
    </row>
    <row r="25" spans="1:20">
      <c r="B25" s="64">
        <v>12</v>
      </c>
      <c r="C25" s="397">
        <f t="shared" si="0"/>
        <v>0</v>
      </c>
      <c r="D25" s="398">
        <f t="shared" si="1"/>
        <v>0</v>
      </c>
      <c r="E25" s="398">
        <f t="shared" si="2"/>
        <v>0</v>
      </c>
      <c r="F25" s="398">
        <f t="shared" si="3"/>
        <v>0</v>
      </c>
      <c r="G25" s="97"/>
      <c r="H25" s="88">
        <f t="shared" si="8"/>
        <v>96</v>
      </c>
      <c r="I25" s="80">
        <f t="shared" si="7"/>
        <v>1912</v>
      </c>
      <c r="J25" s="89">
        <f>SUMIF($B$14:$B$733,T25,$D$14:$D$733)-SUM($J$18:J24)</f>
        <v>0</v>
      </c>
      <c r="K25" s="96">
        <f>SUMIF($B$14:$B$733,T25,$E$14:$E$733)-SUM($K$18:K24)</f>
        <v>0</v>
      </c>
      <c r="L25" s="90">
        <f t="shared" si="4"/>
        <v>0</v>
      </c>
      <c r="M25" s="90">
        <f t="shared" si="5"/>
        <v>0</v>
      </c>
      <c r="N25" s="62"/>
      <c r="O25" s="278"/>
      <c r="P25" s="78"/>
      <c r="R25" s="278"/>
      <c r="S25" s="62"/>
      <c r="T25" s="92" t="str">
        <f t="shared" si="6"/>
        <v>&lt;=96</v>
      </c>
    </row>
    <row r="26" spans="1:20">
      <c r="B26" s="64">
        <v>13</v>
      </c>
      <c r="C26" s="397">
        <f t="shared" si="0"/>
        <v>0</v>
      </c>
      <c r="D26" s="398">
        <f t="shared" si="1"/>
        <v>0</v>
      </c>
      <c r="E26" s="398">
        <f t="shared" si="2"/>
        <v>0</v>
      </c>
      <c r="F26" s="398">
        <f t="shared" si="3"/>
        <v>0</v>
      </c>
      <c r="G26" s="97"/>
      <c r="H26" s="88">
        <f t="shared" si="8"/>
        <v>108</v>
      </c>
      <c r="I26" s="80">
        <f t="shared" si="7"/>
        <v>1913</v>
      </c>
      <c r="J26" s="89">
        <f>SUMIF($B$14:$B$733,T26,$D$14:$D$733)-SUM($J$18:J25)</f>
        <v>0</v>
      </c>
      <c r="K26" s="96">
        <f>SUMIF($B$14:$B$733,T26,$E$14:$E$733)-SUM($K$18:K25)</f>
        <v>0</v>
      </c>
      <c r="L26" s="90">
        <f t="shared" si="4"/>
        <v>0</v>
      </c>
      <c r="M26" s="90">
        <f t="shared" si="5"/>
        <v>0</v>
      </c>
      <c r="N26" s="62"/>
      <c r="O26" s="278"/>
      <c r="P26" s="78"/>
      <c r="R26" s="278"/>
      <c r="S26" s="62"/>
      <c r="T26" s="92" t="str">
        <f t="shared" si="6"/>
        <v>&lt;=108</v>
      </c>
    </row>
    <row r="27" spans="1:20">
      <c r="B27" s="64">
        <v>14</v>
      </c>
      <c r="C27" s="397">
        <f t="shared" si="0"/>
        <v>0</v>
      </c>
      <c r="D27" s="398">
        <f t="shared" si="1"/>
        <v>0</v>
      </c>
      <c r="E27" s="398">
        <f t="shared" si="2"/>
        <v>0</v>
      </c>
      <c r="F27" s="398">
        <f t="shared" si="3"/>
        <v>0</v>
      </c>
      <c r="G27" s="62"/>
      <c r="H27" s="88">
        <f t="shared" si="8"/>
        <v>120</v>
      </c>
      <c r="I27" s="80">
        <f t="shared" si="7"/>
        <v>1914</v>
      </c>
      <c r="J27" s="89">
        <f>SUMIF($B$14:$B$733,T27,$D$14:$D$733)-SUM($J$18:J26)</f>
        <v>0</v>
      </c>
      <c r="K27" s="96">
        <f>SUMIF($B$14:$B$733,T27,$E$14:$E$733)-SUM($K$18:K26)</f>
        <v>0</v>
      </c>
      <c r="L27" s="90">
        <f t="shared" si="4"/>
        <v>0</v>
      </c>
      <c r="M27" s="90">
        <f t="shared" si="5"/>
        <v>0</v>
      </c>
      <c r="N27" s="62"/>
      <c r="O27" s="278"/>
      <c r="P27" s="78"/>
      <c r="R27" s="278"/>
      <c r="S27" s="62"/>
      <c r="T27" s="92" t="str">
        <f t="shared" si="6"/>
        <v>&lt;=120</v>
      </c>
    </row>
    <row r="28" spans="1:20">
      <c r="B28" s="64">
        <v>15</v>
      </c>
      <c r="C28" s="397">
        <f t="shared" si="0"/>
        <v>0</v>
      </c>
      <c r="D28" s="398">
        <f t="shared" si="1"/>
        <v>0</v>
      </c>
      <c r="E28" s="398">
        <f t="shared" si="2"/>
        <v>0</v>
      </c>
      <c r="F28" s="398">
        <f t="shared" si="3"/>
        <v>0</v>
      </c>
      <c r="G28" s="62"/>
      <c r="H28" s="88">
        <f t="shared" si="8"/>
        <v>132</v>
      </c>
      <c r="I28" s="80">
        <f t="shared" si="7"/>
        <v>1915</v>
      </c>
      <c r="J28" s="89">
        <f>SUMIF($B$14:$B$733,T28,$D$14:$D$733)-SUM($J$18:J27)</f>
        <v>0</v>
      </c>
      <c r="K28" s="96">
        <f>SUMIF($B$14:$B$733,T28,$E$14:$E$733)-SUM($K$18:K27)</f>
        <v>0</v>
      </c>
      <c r="L28" s="90">
        <f t="shared" si="4"/>
        <v>0</v>
      </c>
      <c r="M28" s="90">
        <f t="shared" si="5"/>
        <v>0</v>
      </c>
      <c r="N28" s="62"/>
      <c r="O28" s="278"/>
      <c r="P28" s="78"/>
      <c r="R28" s="278"/>
      <c r="S28" s="62"/>
      <c r="T28" s="92" t="str">
        <f t="shared" si="6"/>
        <v>&lt;=132</v>
      </c>
    </row>
    <row r="29" spans="1:20">
      <c r="B29" s="64">
        <v>16</v>
      </c>
      <c r="C29" s="397">
        <f t="shared" si="0"/>
        <v>0</v>
      </c>
      <c r="D29" s="398">
        <f t="shared" si="1"/>
        <v>0</v>
      </c>
      <c r="E29" s="398">
        <f t="shared" si="2"/>
        <v>0</v>
      </c>
      <c r="F29" s="398">
        <f t="shared" si="3"/>
        <v>0</v>
      </c>
      <c r="G29" s="62"/>
      <c r="H29" s="88">
        <f t="shared" si="8"/>
        <v>144</v>
      </c>
      <c r="I29" s="80">
        <f t="shared" si="7"/>
        <v>1916</v>
      </c>
      <c r="J29" s="89">
        <f>SUMIF($B$14:$B$733,T29,$D$14:$D$733)-SUM($J$18:J28)</f>
        <v>0</v>
      </c>
      <c r="K29" s="96">
        <f>SUMIF($B$14:$B$733,T29,$E$14:$E$733)-SUM($K$18:K28)</f>
        <v>0</v>
      </c>
      <c r="L29" s="90">
        <f t="shared" si="4"/>
        <v>0</v>
      </c>
      <c r="M29" s="90">
        <f t="shared" si="5"/>
        <v>0</v>
      </c>
      <c r="N29" s="62"/>
      <c r="O29" s="278"/>
      <c r="P29" s="78"/>
      <c r="R29" s="278"/>
      <c r="S29" s="62"/>
      <c r="T29" s="92" t="str">
        <f t="shared" si="6"/>
        <v>&lt;=144</v>
      </c>
    </row>
    <row r="30" spans="1:20">
      <c r="B30" s="64">
        <v>17</v>
      </c>
      <c r="C30" s="397">
        <f t="shared" si="0"/>
        <v>0</v>
      </c>
      <c r="D30" s="398">
        <f t="shared" si="1"/>
        <v>0</v>
      </c>
      <c r="E30" s="398">
        <f t="shared" si="2"/>
        <v>0</v>
      </c>
      <c r="F30" s="398">
        <f t="shared" si="3"/>
        <v>0</v>
      </c>
      <c r="G30" s="62"/>
      <c r="H30" s="88">
        <f t="shared" si="8"/>
        <v>156</v>
      </c>
      <c r="I30" s="80">
        <f t="shared" si="7"/>
        <v>1917</v>
      </c>
      <c r="J30" s="89">
        <f>SUMIF($B$14:$B$733,T30,$D$14:$D$733)-SUM($J$18:J29)</f>
        <v>0</v>
      </c>
      <c r="K30" s="96">
        <f>SUMIF($B$14:$B$733,T30,$E$14:$E$733)-SUM($K$18:K29)</f>
        <v>0</v>
      </c>
      <c r="L30" s="90">
        <f t="shared" si="4"/>
        <v>0</v>
      </c>
      <c r="M30" s="90">
        <f t="shared" si="5"/>
        <v>0</v>
      </c>
      <c r="N30" s="62"/>
      <c r="O30" s="78"/>
      <c r="P30" s="78"/>
      <c r="Q30" s="278"/>
      <c r="R30" s="62"/>
      <c r="S30" s="62"/>
      <c r="T30" s="92" t="str">
        <f t="shared" si="6"/>
        <v>&lt;=156</v>
      </c>
    </row>
    <row r="31" spans="1:20">
      <c r="B31" s="64">
        <v>18</v>
      </c>
      <c r="C31" s="397">
        <f t="shared" si="0"/>
        <v>0</v>
      </c>
      <c r="D31" s="398">
        <f t="shared" si="1"/>
        <v>0</v>
      </c>
      <c r="E31" s="398">
        <f t="shared" si="2"/>
        <v>0</v>
      </c>
      <c r="F31" s="398">
        <f t="shared" si="3"/>
        <v>0</v>
      </c>
      <c r="G31" s="62"/>
      <c r="H31" s="88">
        <f t="shared" si="8"/>
        <v>168</v>
      </c>
      <c r="I31" s="80">
        <f t="shared" si="7"/>
        <v>1918</v>
      </c>
      <c r="J31" s="89">
        <f>SUMIF($B$14:$B$733,T31,$D$14:$D$733)-SUM($J$18:J30)</f>
        <v>0</v>
      </c>
      <c r="K31" s="96">
        <f>SUMIF($B$14:$B$733,T31,$E$14:$E$733)-SUM($K$18:K30)</f>
        <v>0</v>
      </c>
      <c r="L31" s="90">
        <f t="shared" si="4"/>
        <v>0</v>
      </c>
      <c r="M31" s="90">
        <f t="shared" si="5"/>
        <v>0</v>
      </c>
      <c r="N31" s="62"/>
      <c r="O31" s="78"/>
      <c r="P31" s="78"/>
      <c r="Q31" s="278"/>
      <c r="R31" s="62"/>
      <c r="S31" s="62"/>
      <c r="T31" s="92" t="str">
        <f t="shared" si="6"/>
        <v>&lt;=168</v>
      </c>
    </row>
    <row r="32" spans="1:20">
      <c r="B32" s="64">
        <v>19</v>
      </c>
      <c r="C32" s="397">
        <f t="shared" si="0"/>
        <v>0</v>
      </c>
      <c r="D32" s="398">
        <f t="shared" si="1"/>
        <v>0</v>
      </c>
      <c r="E32" s="398">
        <f t="shared" si="2"/>
        <v>0</v>
      </c>
      <c r="F32" s="398">
        <f t="shared" si="3"/>
        <v>0</v>
      </c>
      <c r="G32" s="62"/>
      <c r="H32" s="88">
        <f t="shared" si="8"/>
        <v>180</v>
      </c>
      <c r="I32" s="80">
        <f t="shared" si="7"/>
        <v>1919</v>
      </c>
      <c r="J32" s="89">
        <f>SUMIF($B$14:$B$733,T32,$D$14:$D$733)-SUM($J$18:J31)</f>
        <v>0</v>
      </c>
      <c r="K32" s="96">
        <f>SUMIF($B$14:$B$733,T32,$E$14:$E$733)-SUM($K$18:K31)</f>
        <v>0</v>
      </c>
      <c r="L32" s="90">
        <f t="shared" si="4"/>
        <v>0</v>
      </c>
      <c r="M32" s="90">
        <f t="shared" si="5"/>
        <v>0</v>
      </c>
      <c r="N32" s="62"/>
      <c r="O32" s="78"/>
      <c r="P32" s="78"/>
      <c r="Q32" s="278"/>
      <c r="R32" s="62"/>
      <c r="S32" s="62"/>
      <c r="T32" s="92" t="str">
        <f t="shared" si="6"/>
        <v>&lt;=180</v>
      </c>
    </row>
    <row r="33" spans="2:20">
      <c r="B33" s="64">
        <v>20</v>
      </c>
      <c r="C33" s="397">
        <f t="shared" si="0"/>
        <v>0</v>
      </c>
      <c r="D33" s="398">
        <f t="shared" si="1"/>
        <v>0</v>
      </c>
      <c r="E33" s="398">
        <f t="shared" si="2"/>
        <v>0</v>
      </c>
      <c r="F33" s="398">
        <f t="shared" si="3"/>
        <v>0</v>
      </c>
      <c r="G33" s="62"/>
      <c r="H33" s="88">
        <f t="shared" si="8"/>
        <v>192</v>
      </c>
      <c r="I33" s="80">
        <f t="shared" si="7"/>
        <v>1920</v>
      </c>
      <c r="J33" s="89">
        <f>SUMIF($B$14:$B$733,T33,$D$14:$D$733)-SUM($J$18:J32)</f>
        <v>0</v>
      </c>
      <c r="K33" s="96">
        <f>SUMIF($B$14:$B$733,T33,$E$14:$E$733)-SUM($K$18:K32)</f>
        <v>0</v>
      </c>
      <c r="L33" s="90">
        <f t="shared" si="4"/>
        <v>0</v>
      </c>
      <c r="M33" s="90">
        <f t="shared" si="5"/>
        <v>0</v>
      </c>
      <c r="N33" s="62"/>
      <c r="O33" s="78"/>
      <c r="P33" s="78"/>
      <c r="Q33" s="278"/>
      <c r="R33" s="62"/>
      <c r="S33" s="62"/>
      <c r="T33" s="92" t="str">
        <f t="shared" si="6"/>
        <v>&lt;=192</v>
      </c>
    </row>
    <row r="34" spans="2:20">
      <c r="B34" s="64">
        <v>21</v>
      </c>
      <c r="C34" s="397">
        <f t="shared" si="0"/>
        <v>0</v>
      </c>
      <c r="D34" s="398">
        <f t="shared" si="1"/>
        <v>0</v>
      </c>
      <c r="E34" s="398">
        <f t="shared" si="2"/>
        <v>0</v>
      </c>
      <c r="F34" s="398">
        <f t="shared" si="3"/>
        <v>0</v>
      </c>
      <c r="G34" s="62"/>
      <c r="H34" s="88">
        <f t="shared" si="8"/>
        <v>204</v>
      </c>
      <c r="I34" s="80">
        <f t="shared" si="7"/>
        <v>1921</v>
      </c>
      <c r="J34" s="89">
        <f>SUMIF($B$14:$B$733,T34,$D$14:$D$733)-SUM($J$18:J33)</f>
        <v>0</v>
      </c>
      <c r="K34" s="96">
        <f>SUMIF($B$14:$B$733,T34,$E$14:$E$733)-SUM($K$18:K33)</f>
        <v>0</v>
      </c>
      <c r="L34" s="90">
        <f t="shared" si="4"/>
        <v>0</v>
      </c>
      <c r="M34" s="90">
        <f t="shared" si="5"/>
        <v>0</v>
      </c>
      <c r="N34" s="62"/>
      <c r="O34" s="78"/>
      <c r="P34" s="78"/>
      <c r="Q34" s="278"/>
      <c r="R34" s="62"/>
      <c r="S34" s="62"/>
      <c r="T34" s="92" t="str">
        <f t="shared" si="6"/>
        <v>&lt;=204</v>
      </c>
    </row>
    <row r="35" spans="2:20">
      <c r="B35" s="64">
        <v>22</v>
      </c>
      <c r="C35" s="397">
        <f t="shared" si="0"/>
        <v>0</v>
      </c>
      <c r="D35" s="398">
        <f t="shared" si="1"/>
        <v>0</v>
      </c>
      <c r="E35" s="398">
        <f t="shared" si="2"/>
        <v>0</v>
      </c>
      <c r="F35" s="398">
        <f t="shared" si="3"/>
        <v>0</v>
      </c>
      <c r="G35" s="62"/>
      <c r="H35" s="88">
        <f t="shared" si="8"/>
        <v>216</v>
      </c>
      <c r="I35" s="80">
        <f t="shared" si="7"/>
        <v>1922</v>
      </c>
      <c r="J35" s="89">
        <f>SUMIF($B$14:$B$733,T35,$D$14:$D$733)-SUM($J$18:J34)</f>
        <v>0</v>
      </c>
      <c r="K35" s="96">
        <f>SUMIF($B$14:$B$733,T35,$E$14:$E$733)-SUM($K$18:K34)</f>
        <v>0</v>
      </c>
      <c r="L35" s="90">
        <f t="shared" si="4"/>
        <v>0</v>
      </c>
      <c r="M35" s="90">
        <f t="shared" si="5"/>
        <v>0</v>
      </c>
      <c r="N35" s="62"/>
      <c r="O35" s="78"/>
      <c r="P35" s="78"/>
      <c r="Q35" s="278"/>
      <c r="R35" s="62"/>
      <c r="S35" s="62"/>
      <c r="T35" s="92" t="str">
        <f t="shared" si="6"/>
        <v>&lt;=216</v>
      </c>
    </row>
    <row r="36" spans="2:20">
      <c r="B36" s="64">
        <v>23</v>
      </c>
      <c r="C36" s="397">
        <f t="shared" si="0"/>
        <v>0</v>
      </c>
      <c r="D36" s="398">
        <f t="shared" si="1"/>
        <v>0</v>
      </c>
      <c r="E36" s="398">
        <f t="shared" si="2"/>
        <v>0</v>
      </c>
      <c r="F36" s="398">
        <f t="shared" si="3"/>
        <v>0</v>
      </c>
      <c r="G36" s="62"/>
      <c r="H36" s="88">
        <f t="shared" si="8"/>
        <v>228</v>
      </c>
      <c r="I36" s="80">
        <f t="shared" si="7"/>
        <v>1923</v>
      </c>
      <c r="J36" s="89">
        <f>SUMIF($B$14:$B$733,T36,$D$14:$D$733)-SUM($J$18:J35)</f>
        <v>0</v>
      </c>
      <c r="K36" s="96">
        <f>SUMIF($B$14:$B$733,T36,$E$14:$E$733)-SUM($K$18:K35)</f>
        <v>0</v>
      </c>
      <c r="L36" s="90">
        <f t="shared" si="4"/>
        <v>0</v>
      </c>
      <c r="M36" s="90">
        <f t="shared" si="5"/>
        <v>0</v>
      </c>
      <c r="N36" s="62"/>
      <c r="O36" s="78"/>
      <c r="P36" s="78"/>
      <c r="Q36" s="278"/>
      <c r="R36" s="62"/>
      <c r="S36" s="62"/>
      <c r="T36" s="92" t="str">
        <f t="shared" si="6"/>
        <v>&lt;=228</v>
      </c>
    </row>
    <row r="37" spans="2:20">
      <c r="B37" s="64">
        <v>24</v>
      </c>
      <c r="C37" s="397">
        <f t="shared" si="0"/>
        <v>0</v>
      </c>
      <c r="D37" s="398">
        <f t="shared" si="1"/>
        <v>0</v>
      </c>
      <c r="E37" s="398">
        <f t="shared" si="2"/>
        <v>0</v>
      </c>
      <c r="F37" s="398">
        <f t="shared" si="3"/>
        <v>0</v>
      </c>
      <c r="G37" s="62"/>
      <c r="H37" s="88">
        <f t="shared" si="8"/>
        <v>240</v>
      </c>
      <c r="I37" s="80">
        <f t="shared" si="7"/>
        <v>1924</v>
      </c>
      <c r="J37" s="89">
        <f>SUMIF($B$14:$B$733,T37,$D$14:$D$733)-SUM($J$18:J36)</f>
        <v>0</v>
      </c>
      <c r="K37" s="96">
        <f>SUMIF($B$14:$B$733,T37,$E$14:$E$733)-SUM($K$18:K36)</f>
        <v>0</v>
      </c>
      <c r="L37" s="90">
        <f t="shared" si="4"/>
        <v>0</v>
      </c>
      <c r="M37" s="90">
        <f t="shared" si="5"/>
        <v>0</v>
      </c>
      <c r="N37" s="62"/>
      <c r="O37" s="78"/>
      <c r="P37" s="78"/>
      <c r="Q37" s="278"/>
      <c r="R37" s="62"/>
      <c r="S37" s="62"/>
      <c r="T37" s="92" t="str">
        <f t="shared" si="6"/>
        <v>&lt;=240</v>
      </c>
    </row>
    <row r="38" spans="2:20">
      <c r="B38" s="64">
        <v>25</v>
      </c>
      <c r="C38" s="397">
        <f t="shared" si="0"/>
        <v>0</v>
      </c>
      <c r="D38" s="398">
        <f t="shared" si="1"/>
        <v>0</v>
      </c>
      <c r="E38" s="398">
        <f t="shared" si="2"/>
        <v>0</v>
      </c>
      <c r="F38" s="398">
        <f t="shared" si="3"/>
        <v>0</v>
      </c>
      <c r="G38" s="62"/>
      <c r="H38" s="88">
        <f t="shared" si="8"/>
        <v>252</v>
      </c>
      <c r="I38" s="80">
        <f t="shared" si="7"/>
        <v>1925</v>
      </c>
      <c r="J38" s="89">
        <f>SUMIF($B$14:$B$733,T38,$D$14:$D$733)-SUM($J$18:J37)</f>
        <v>0</v>
      </c>
      <c r="K38" s="96">
        <f>SUMIF($B$14:$B$733,T38,$E$14:$E$733)-SUM($K$18:K37)</f>
        <v>0</v>
      </c>
      <c r="L38" s="90">
        <f t="shared" si="4"/>
        <v>0</v>
      </c>
      <c r="M38" s="90">
        <f t="shared" si="5"/>
        <v>0</v>
      </c>
      <c r="N38" s="62"/>
      <c r="O38" s="78"/>
      <c r="P38" s="78"/>
      <c r="Q38" s="278"/>
      <c r="R38" s="62"/>
      <c r="S38" s="62"/>
      <c r="T38" s="92" t="str">
        <f t="shared" si="6"/>
        <v>&lt;=252</v>
      </c>
    </row>
    <row r="39" spans="2:20">
      <c r="B39" s="64">
        <v>26</v>
      </c>
      <c r="C39" s="397">
        <f t="shared" si="0"/>
        <v>0</v>
      </c>
      <c r="D39" s="398">
        <f t="shared" si="1"/>
        <v>0</v>
      </c>
      <c r="E39" s="398">
        <f t="shared" si="2"/>
        <v>0</v>
      </c>
      <c r="F39" s="398">
        <f t="shared" si="3"/>
        <v>0</v>
      </c>
      <c r="G39" s="62"/>
      <c r="H39" s="88">
        <f t="shared" si="8"/>
        <v>264</v>
      </c>
      <c r="I39" s="80">
        <f t="shared" si="7"/>
        <v>1926</v>
      </c>
      <c r="J39" s="89">
        <f>SUMIF($B$14:$B$733,T39,$D$14:$D$733)-SUM($J$18:J38)</f>
        <v>0</v>
      </c>
      <c r="K39" s="96">
        <f>SUMIF($B$14:$B$733,T39,$E$14:$E$733)-SUM($K$18:K38)</f>
        <v>0</v>
      </c>
      <c r="L39" s="90">
        <f t="shared" si="4"/>
        <v>0</v>
      </c>
      <c r="M39" s="90">
        <f t="shared" si="5"/>
        <v>0</v>
      </c>
      <c r="N39" s="62"/>
      <c r="O39" s="78"/>
      <c r="P39" s="78"/>
      <c r="Q39" s="278"/>
      <c r="R39" s="62"/>
      <c r="S39" s="62"/>
      <c r="T39" s="92" t="str">
        <f t="shared" si="6"/>
        <v>&lt;=264</v>
      </c>
    </row>
    <row r="40" spans="2:20">
      <c r="B40" s="64">
        <v>27</v>
      </c>
      <c r="C40" s="397">
        <f t="shared" si="0"/>
        <v>0</v>
      </c>
      <c r="D40" s="398">
        <f t="shared" si="1"/>
        <v>0</v>
      </c>
      <c r="E40" s="398">
        <f t="shared" si="2"/>
        <v>0</v>
      </c>
      <c r="F40" s="398">
        <f t="shared" si="3"/>
        <v>0</v>
      </c>
      <c r="G40" s="62"/>
      <c r="H40" s="88">
        <f t="shared" si="8"/>
        <v>276</v>
      </c>
      <c r="I40" s="80">
        <f t="shared" si="7"/>
        <v>1927</v>
      </c>
      <c r="J40" s="89">
        <f>SUMIF($B$14:$B$733,T40,$D$14:$D$733)-SUM($J$18:J39)</f>
        <v>0</v>
      </c>
      <c r="K40" s="96">
        <f>SUMIF($B$14:$B$733,T40,$E$14:$E$733)-SUM($K$18:K39)</f>
        <v>0</v>
      </c>
      <c r="L40" s="90">
        <f t="shared" si="4"/>
        <v>0</v>
      </c>
      <c r="M40" s="90">
        <f t="shared" si="5"/>
        <v>0</v>
      </c>
      <c r="N40" s="62"/>
      <c r="O40" s="78"/>
      <c r="P40" s="78"/>
      <c r="Q40" s="278"/>
      <c r="R40" s="62"/>
      <c r="S40" s="62"/>
      <c r="T40" s="92" t="str">
        <f t="shared" si="6"/>
        <v>&lt;=276</v>
      </c>
    </row>
    <row r="41" spans="2:20">
      <c r="B41" s="64">
        <v>28</v>
      </c>
      <c r="C41" s="397">
        <f t="shared" si="0"/>
        <v>0</v>
      </c>
      <c r="D41" s="398">
        <f t="shared" si="1"/>
        <v>0</v>
      </c>
      <c r="E41" s="398">
        <f t="shared" si="2"/>
        <v>0</v>
      </c>
      <c r="F41" s="398">
        <f t="shared" si="3"/>
        <v>0</v>
      </c>
      <c r="G41" s="62"/>
      <c r="H41" s="88">
        <f t="shared" si="8"/>
        <v>288</v>
      </c>
      <c r="I41" s="80">
        <f t="shared" si="7"/>
        <v>1928</v>
      </c>
      <c r="J41" s="89">
        <f>SUMIF($B$14:$B$733,T41,$D$14:$D$733)-SUM($J$18:J40)</f>
        <v>0</v>
      </c>
      <c r="K41" s="96">
        <f>SUMIF($B$14:$B$733,T41,$E$14:$E$733)-SUM($K$18:K40)</f>
        <v>0</v>
      </c>
      <c r="L41" s="90">
        <f t="shared" si="4"/>
        <v>0</v>
      </c>
      <c r="M41" s="90">
        <f t="shared" si="5"/>
        <v>0</v>
      </c>
      <c r="N41" s="62"/>
      <c r="O41" s="78"/>
      <c r="P41" s="78"/>
      <c r="Q41" s="278"/>
      <c r="R41" s="62"/>
      <c r="S41" s="62"/>
      <c r="T41" s="92" t="str">
        <f t="shared" si="6"/>
        <v>&lt;=288</v>
      </c>
    </row>
    <row r="42" spans="2:20">
      <c r="B42" s="64">
        <v>29</v>
      </c>
      <c r="C42" s="397">
        <f t="shared" si="0"/>
        <v>0</v>
      </c>
      <c r="D42" s="398">
        <f t="shared" si="1"/>
        <v>0</v>
      </c>
      <c r="E42" s="398">
        <f t="shared" si="2"/>
        <v>0</v>
      </c>
      <c r="F42" s="398">
        <f t="shared" si="3"/>
        <v>0</v>
      </c>
      <c r="G42" s="62"/>
      <c r="H42" s="88">
        <f t="shared" si="8"/>
        <v>300</v>
      </c>
      <c r="I42" s="80">
        <f t="shared" si="7"/>
        <v>1929</v>
      </c>
      <c r="J42" s="89">
        <f>SUMIF($B$14:$B$733,T42,$D$14:$D$733)-SUM($J$18:J41)</f>
        <v>0</v>
      </c>
      <c r="K42" s="96">
        <f>SUMIF($B$14:$B$733,T42,$E$14:$E$733)-SUM($K$18:K41)</f>
        <v>0</v>
      </c>
      <c r="L42" s="90">
        <f t="shared" si="4"/>
        <v>0</v>
      </c>
      <c r="M42" s="90">
        <f t="shared" si="5"/>
        <v>0</v>
      </c>
      <c r="N42" s="62"/>
      <c r="O42" s="78"/>
      <c r="P42" s="78"/>
      <c r="Q42" s="278"/>
      <c r="R42" s="62"/>
      <c r="S42" s="62"/>
      <c r="T42" s="92" t="str">
        <f t="shared" si="6"/>
        <v>&lt;=300</v>
      </c>
    </row>
    <row r="43" spans="2:20">
      <c r="B43" s="64">
        <v>30</v>
      </c>
      <c r="C43" s="397">
        <f t="shared" si="0"/>
        <v>0</v>
      </c>
      <c r="D43" s="398">
        <f t="shared" si="1"/>
        <v>0</v>
      </c>
      <c r="E43" s="398">
        <f t="shared" si="2"/>
        <v>0</v>
      </c>
      <c r="F43" s="398">
        <f t="shared" si="3"/>
        <v>0</v>
      </c>
      <c r="G43" s="62"/>
      <c r="H43" s="88">
        <f t="shared" si="8"/>
        <v>312</v>
      </c>
      <c r="I43" s="80">
        <f t="shared" si="7"/>
        <v>1930</v>
      </c>
      <c r="J43" s="89">
        <f>SUMIF($B$14:$B$733,T43,$D$14:$D$733)-SUM($J$18:J42)</f>
        <v>0</v>
      </c>
      <c r="K43" s="96">
        <f>SUMIF($B$14:$B$733,T43,$E$14:$E$733)-SUM($K$18:K42)</f>
        <v>0</v>
      </c>
      <c r="L43" s="90">
        <f t="shared" si="4"/>
        <v>0</v>
      </c>
      <c r="M43" s="90">
        <f t="shared" si="5"/>
        <v>0</v>
      </c>
      <c r="N43" s="62"/>
      <c r="O43" s="78"/>
      <c r="P43" s="78"/>
      <c r="Q43" s="278"/>
      <c r="R43" s="62"/>
      <c r="S43" s="62"/>
      <c r="T43" s="92" t="str">
        <f t="shared" si="6"/>
        <v>&lt;=312</v>
      </c>
    </row>
    <row r="44" spans="2:20">
      <c r="B44" s="64">
        <v>31</v>
      </c>
      <c r="C44" s="397">
        <f t="shared" si="0"/>
        <v>0</v>
      </c>
      <c r="D44" s="398">
        <f t="shared" si="1"/>
        <v>0</v>
      </c>
      <c r="E44" s="398">
        <f t="shared" si="2"/>
        <v>0</v>
      </c>
      <c r="F44" s="398">
        <f t="shared" si="3"/>
        <v>0</v>
      </c>
      <c r="G44" s="62"/>
      <c r="H44" s="88">
        <f t="shared" si="8"/>
        <v>324</v>
      </c>
      <c r="I44" s="80">
        <f t="shared" si="7"/>
        <v>1931</v>
      </c>
      <c r="J44" s="89">
        <f>SUMIF($B$14:$B$733,T44,$D$14:$D$733)-SUM($J$18:J43)</f>
        <v>0</v>
      </c>
      <c r="K44" s="96">
        <f>SUMIF($B$14:$B$733,T44,$E$14:$E$733)-SUM($K$18:K43)</f>
        <v>0</v>
      </c>
      <c r="L44" s="90">
        <f t="shared" si="4"/>
        <v>0</v>
      </c>
      <c r="M44" s="90">
        <f t="shared" si="5"/>
        <v>0</v>
      </c>
      <c r="N44" s="62"/>
      <c r="O44" s="78"/>
      <c r="P44" s="78"/>
      <c r="Q44" s="278"/>
      <c r="R44" s="62"/>
      <c r="S44" s="62"/>
      <c r="T44" s="92" t="str">
        <f t="shared" si="6"/>
        <v>&lt;=324</v>
      </c>
    </row>
    <row r="45" spans="2:20">
      <c r="B45" s="64">
        <v>32</v>
      </c>
      <c r="C45" s="397">
        <f t="shared" si="0"/>
        <v>0</v>
      </c>
      <c r="D45" s="398">
        <f t="shared" si="1"/>
        <v>0</v>
      </c>
      <c r="E45" s="398">
        <f t="shared" si="2"/>
        <v>0</v>
      </c>
      <c r="F45" s="398">
        <f t="shared" si="3"/>
        <v>0</v>
      </c>
      <c r="G45" s="62"/>
      <c r="H45" s="88">
        <f t="shared" si="8"/>
        <v>336</v>
      </c>
      <c r="I45" s="80">
        <f t="shared" si="7"/>
        <v>1932</v>
      </c>
      <c r="J45" s="89">
        <f>SUMIF($B$14:$B$733,T45,$D$14:$D$733)-SUM($J$18:J44)</f>
        <v>0</v>
      </c>
      <c r="K45" s="96">
        <f>SUMIF($B$14:$B$733,T45,$E$14:$E$733)-SUM($K$18:K44)</f>
        <v>0</v>
      </c>
      <c r="L45" s="90">
        <f t="shared" si="4"/>
        <v>0</v>
      </c>
      <c r="M45" s="90">
        <f t="shared" si="5"/>
        <v>0</v>
      </c>
      <c r="N45" s="62"/>
      <c r="O45" s="78"/>
      <c r="P45" s="78"/>
      <c r="Q45" s="278"/>
      <c r="R45" s="62"/>
      <c r="S45" s="62"/>
      <c r="T45" s="92" t="str">
        <f t="shared" si="6"/>
        <v>&lt;=336</v>
      </c>
    </row>
    <row r="46" spans="2:20">
      <c r="B46" s="64">
        <v>33</v>
      </c>
      <c r="C46" s="397">
        <f t="shared" si="0"/>
        <v>0</v>
      </c>
      <c r="D46" s="398">
        <f t="shared" si="1"/>
        <v>0</v>
      </c>
      <c r="E46" s="398">
        <f t="shared" si="2"/>
        <v>0</v>
      </c>
      <c r="F46" s="398">
        <f t="shared" si="3"/>
        <v>0</v>
      </c>
      <c r="G46" s="62"/>
      <c r="H46" s="88">
        <f t="shared" si="8"/>
        <v>348</v>
      </c>
      <c r="I46" s="80">
        <f t="shared" si="7"/>
        <v>1933</v>
      </c>
      <c r="J46" s="89">
        <f>SUMIF($B$14:$B$733,T46,$D$14:$D$733)-SUM($J$18:J45)</f>
        <v>0</v>
      </c>
      <c r="K46" s="96">
        <f>SUMIF($B$14:$B$733,T46,$E$14:$E$733)-SUM($K$18:K45)</f>
        <v>0</v>
      </c>
      <c r="L46" s="90">
        <f t="shared" si="4"/>
        <v>0</v>
      </c>
      <c r="M46" s="90">
        <f t="shared" si="5"/>
        <v>0</v>
      </c>
      <c r="N46" s="62"/>
      <c r="O46" s="78"/>
      <c r="P46" s="78"/>
      <c r="Q46" s="278"/>
      <c r="R46" s="62"/>
      <c r="S46" s="62"/>
      <c r="T46" s="92" t="str">
        <f t="shared" si="6"/>
        <v>&lt;=348</v>
      </c>
    </row>
    <row r="47" spans="2:20">
      <c r="B47" s="64">
        <v>34</v>
      </c>
      <c r="C47" s="397">
        <f t="shared" si="0"/>
        <v>0</v>
      </c>
      <c r="D47" s="398">
        <f t="shared" si="1"/>
        <v>0</v>
      </c>
      <c r="E47" s="398">
        <f t="shared" si="2"/>
        <v>0</v>
      </c>
      <c r="F47" s="398">
        <f t="shared" si="3"/>
        <v>0</v>
      </c>
      <c r="G47" s="62"/>
      <c r="H47" s="88">
        <f t="shared" si="8"/>
        <v>360</v>
      </c>
      <c r="I47" s="80">
        <f t="shared" si="7"/>
        <v>1934</v>
      </c>
      <c r="J47" s="89">
        <f>SUMIF($B$14:$B$733,T47,$D$14:$D$733)-SUM($J$18:J46)</f>
        <v>0</v>
      </c>
      <c r="K47" s="96">
        <f>SUMIF($B$14:$B$733,T47,$E$14:$E$733)-SUM($K$18:K46)</f>
        <v>0</v>
      </c>
      <c r="L47" s="90">
        <f t="shared" si="4"/>
        <v>0</v>
      </c>
      <c r="M47" s="90">
        <f t="shared" si="5"/>
        <v>0</v>
      </c>
      <c r="N47" s="62"/>
      <c r="O47" s="78"/>
      <c r="P47" s="78"/>
      <c r="Q47" s="278"/>
      <c r="R47" s="62"/>
      <c r="S47" s="62"/>
      <c r="T47" s="92" t="str">
        <f t="shared" si="6"/>
        <v>&lt;=360</v>
      </c>
    </row>
    <row r="48" spans="2:20">
      <c r="B48" s="64">
        <v>35</v>
      </c>
      <c r="C48" s="397">
        <f t="shared" si="0"/>
        <v>0</v>
      </c>
      <c r="D48" s="398">
        <f t="shared" si="1"/>
        <v>0</v>
      </c>
      <c r="E48" s="398">
        <f t="shared" si="2"/>
        <v>0</v>
      </c>
      <c r="F48" s="398">
        <f t="shared" si="3"/>
        <v>0</v>
      </c>
      <c r="G48" s="62"/>
      <c r="H48" s="88">
        <f t="shared" si="8"/>
        <v>372</v>
      </c>
      <c r="I48" s="80">
        <f t="shared" si="7"/>
        <v>1935</v>
      </c>
      <c r="J48" s="89">
        <f>SUMIF($B$14:$B$733,T48,$D$14:$D$733)-SUM($J$18:J47)</f>
        <v>0</v>
      </c>
      <c r="K48" s="96">
        <f>SUMIF($B$14:$B$733,T48,$E$14:$E$733)-SUM($K$18:K47)</f>
        <v>0</v>
      </c>
      <c r="L48" s="90">
        <f t="shared" si="4"/>
        <v>0</v>
      </c>
      <c r="M48" s="90">
        <f t="shared" si="5"/>
        <v>0</v>
      </c>
      <c r="N48" s="62"/>
      <c r="O48" s="78"/>
      <c r="P48" s="78"/>
      <c r="Q48" s="278"/>
      <c r="R48" s="62"/>
      <c r="S48" s="62"/>
      <c r="T48" s="92" t="str">
        <f t="shared" si="6"/>
        <v>&lt;=372</v>
      </c>
    </row>
    <row r="49" spans="2:20">
      <c r="B49" s="64">
        <v>36</v>
      </c>
      <c r="C49" s="397">
        <f t="shared" si="0"/>
        <v>0</v>
      </c>
      <c r="D49" s="398">
        <f t="shared" si="1"/>
        <v>0</v>
      </c>
      <c r="E49" s="398">
        <f t="shared" si="2"/>
        <v>0</v>
      </c>
      <c r="F49" s="398">
        <f t="shared" si="3"/>
        <v>0</v>
      </c>
      <c r="G49" s="62"/>
      <c r="H49" s="88">
        <f t="shared" si="8"/>
        <v>384</v>
      </c>
      <c r="I49" s="80">
        <f t="shared" si="7"/>
        <v>1936</v>
      </c>
      <c r="J49" s="89">
        <f>SUMIF($B$14:$B$733,T49,$D$14:$D$733)-SUM($J$18:J48)</f>
        <v>0</v>
      </c>
      <c r="K49" s="96">
        <f>SUMIF($B$14:$B$733,T49,$E$14:$E$733)-SUM($K$18:K48)</f>
        <v>0</v>
      </c>
      <c r="L49" s="90">
        <f t="shared" si="4"/>
        <v>0</v>
      </c>
      <c r="M49" s="90">
        <f t="shared" si="5"/>
        <v>0</v>
      </c>
      <c r="N49" s="62"/>
      <c r="O49" s="78"/>
      <c r="P49" s="78"/>
      <c r="Q49" s="278"/>
      <c r="R49" s="62"/>
      <c r="S49" s="62"/>
      <c r="T49" s="92" t="str">
        <f t="shared" si="6"/>
        <v>&lt;=384</v>
      </c>
    </row>
    <row r="50" spans="2:20">
      <c r="B50" s="64">
        <v>37</v>
      </c>
      <c r="C50" s="397">
        <f t="shared" si="0"/>
        <v>0</v>
      </c>
      <c r="D50" s="398">
        <f t="shared" si="1"/>
        <v>0</v>
      </c>
      <c r="E50" s="398">
        <f t="shared" si="2"/>
        <v>0</v>
      </c>
      <c r="F50" s="398">
        <f t="shared" si="3"/>
        <v>0</v>
      </c>
      <c r="G50" s="62"/>
      <c r="H50" s="88">
        <f t="shared" si="8"/>
        <v>396</v>
      </c>
      <c r="I50" s="80">
        <f t="shared" si="7"/>
        <v>1937</v>
      </c>
      <c r="J50" s="89">
        <f>SUMIF($B$14:$B$733,T50,$D$14:$D$733)-SUM($J$18:J49)</f>
        <v>0</v>
      </c>
      <c r="K50" s="96">
        <f>SUMIF($B$14:$B$733,T50,$E$14:$E$733)-SUM($K$18:K49)</f>
        <v>0</v>
      </c>
      <c r="L50" s="90">
        <f t="shared" si="4"/>
        <v>0</v>
      </c>
      <c r="M50" s="90">
        <f t="shared" si="5"/>
        <v>0</v>
      </c>
      <c r="N50" s="62"/>
      <c r="O50" s="78"/>
      <c r="P50" s="78"/>
      <c r="Q50" s="278"/>
      <c r="R50" s="62"/>
      <c r="S50" s="62"/>
      <c r="T50" s="92" t="str">
        <f t="shared" si="6"/>
        <v>&lt;=396</v>
      </c>
    </row>
    <row r="51" spans="2:20">
      <c r="B51" s="64">
        <v>38</v>
      </c>
      <c r="C51" s="397">
        <f t="shared" si="0"/>
        <v>0</v>
      </c>
      <c r="D51" s="398">
        <f t="shared" si="1"/>
        <v>0</v>
      </c>
      <c r="E51" s="398">
        <f t="shared" si="2"/>
        <v>0</v>
      </c>
      <c r="F51" s="398">
        <f t="shared" si="3"/>
        <v>0</v>
      </c>
      <c r="G51" s="62"/>
      <c r="H51" s="88">
        <f t="shared" si="8"/>
        <v>408</v>
      </c>
      <c r="I51" s="80">
        <f t="shared" si="7"/>
        <v>1938</v>
      </c>
      <c r="J51" s="89">
        <f>SUMIF($B$14:$B$733,T51,$D$14:$D$733)-SUM($J$18:J50)</f>
        <v>0</v>
      </c>
      <c r="K51" s="96">
        <f>SUMIF($B$14:$B$733,T51,$E$14:$E$733)-SUM($K$18:K50)</f>
        <v>0</v>
      </c>
      <c r="L51" s="90">
        <f t="shared" si="4"/>
        <v>0</v>
      </c>
      <c r="M51" s="90">
        <f t="shared" si="5"/>
        <v>0</v>
      </c>
      <c r="N51" s="62"/>
      <c r="O51" s="78"/>
      <c r="P51" s="78"/>
      <c r="Q51" s="278"/>
      <c r="R51" s="62"/>
      <c r="S51" s="62"/>
      <c r="T51" s="92" t="str">
        <f t="shared" si="6"/>
        <v>&lt;=408</v>
      </c>
    </row>
    <row r="52" spans="2:20">
      <c r="B52" s="64">
        <v>39</v>
      </c>
      <c r="C52" s="397">
        <f t="shared" si="0"/>
        <v>0</v>
      </c>
      <c r="D52" s="398">
        <f t="shared" si="1"/>
        <v>0</v>
      </c>
      <c r="E52" s="398">
        <f t="shared" si="2"/>
        <v>0</v>
      </c>
      <c r="F52" s="398">
        <f t="shared" si="3"/>
        <v>0</v>
      </c>
      <c r="G52" s="62"/>
      <c r="H52" s="88">
        <f t="shared" si="8"/>
        <v>420</v>
      </c>
      <c r="I52" s="80">
        <f t="shared" si="7"/>
        <v>1939</v>
      </c>
      <c r="J52" s="89">
        <f>SUMIF($B$14:$B$733,T52,$D$14:$D$733)-SUM($J$18:J51)</f>
        <v>0</v>
      </c>
      <c r="K52" s="96">
        <f>SUMIF($B$14:$B$733,T52,$E$14:$E$733)-SUM($K$18:K51)</f>
        <v>0</v>
      </c>
      <c r="L52" s="90">
        <f t="shared" si="4"/>
        <v>0</v>
      </c>
      <c r="M52" s="90">
        <f t="shared" si="5"/>
        <v>0</v>
      </c>
      <c r="N52" s="62"/>
      <c r="O52" s="78"/>
      <c r="P52" s="78"/>
      <c r="Q52" s="278"/>
      <c r="R52" s="62"/>
      <c r="S52" s="62"/>
      <c r="T52" s="92" t="str">
        <f t="shared" si="6"/>
        <v>&lt;=420</v>
      </c>
    </row>
    <row r="53" spans="2:20">
      <c r="B53" s="64">
        <v>40</v>
      </c>
      <c r="C53" s="397">
        <f t="shared" si="0"/>
        <v>0</v>
      </c>
      <c r="D53" s="398">
        <f t="shared" si="1"/>
        <v>0</v>
      </c>
      <c r="E53" s="398">
        <f t="shared" si="2"/>
        <v>0</v>
      </c>
      <c r="F53" s="398">
        <f t="shared" si="3"/>
        <v>0</v>
      </c>
      <c r="G53" s="62"/>
      <c r="H53" s="88">
        <f t="shared" si="8"/>
        <v>432</v>
      </c>
      <c r="I53" s="80">
        <f t="shared" si="7"/>
        <v>1940</v>
      </c>
      <c r="J53" s="89">
        <f>SUMIF($B$14:$B$733,T53,$D$14:$D$733)-SUM($J$18:J52)</f>
        <v>0</v>
      </c>
      <c r="K53" s="96">
        <f>SUMIF($B$14:$B$733,T53,$E$14:$E$733)-SUM($K$18:K52)</f>
        <v>0</v>
      </c>
      <c r="L53" s="90">
        <f t="shared" si="4"/>
        <v>0</v>
      </c>
      <c r="M53" s="90">
        <f t="shared" si="5"/>
        <v>0</v>
      </c>
      <c r="N53" s="62"/>
      <c r="O53" s="78"/>
      <c r="P53" s="78"/>
      <c r="Q53" s="278"/>
      <c r="R53" s="62"/>
      <c r="S53" s="62"/>
      <c r="T53" s="92" t="str">
        <f t="shared" si="6"/>
        <v>&lt;=432</v>
      </c>
    </row>
    <row r="54" spans="2:20">
      <c r="B54" s="64">
        <v>41</v>
      </c>
      <c r="C54" s="397">
        <f t="shared" si="0"/>
        <v>0</v>
      </c>
      <c r="D54" s="398">
        <f t="shared" si="1"/>
        <v>0</v>
      </c>
      <c r="E54" s="398">
        <f t="shared" si="2"/>
        <v>0</v>
      </c>
      <c r="F54" s="398">
        <f t="shared" si="3"/>
        <v>0</v>
      </c>
      <c r="G54" s="62"/>
      <c r="H54" s="88">
        <f t="shared" si="8"/>
        <v>444</v>
      </c>
      <c r="I54" s="80">
        <f t="shared" si="7"/>
        <v>1941</v>
      </c>
      <c r="J54" s="89">
        <f>SUMIF($B$14:$B$733,T54,$D$14:$D$733)-SUM($J$18:J53)</f>
        <v>0</v>
      </c>
      <c r="K54" s="96">
        <f>SUMIF($B$14:$B$733,T54,$E$14:$E$733)-SUM($K$18:K53)</f>
        <v>0</v>
      </c>
      <c r="L54" s="90">
        <f t="shared" si="4"/>
        <v>0</v>
      </c>
      <c r="M54" s="90">
        <f t="shared" si="5"/>
        <v>0</v>
      </c>
      <c r="N54" s="62"/>
      <c r="O54" s="78"/>
      <c r="P54" s="78"/>
      <c r="Q54" s="278"/>
      <c r="R54" s="62"/>
      <c r="S54" s="62"/>
      <c r="T54" s="92" t="str">
        <f t="shared" si="6"/>
        <v>&lt;=444</v>
      </c>
    </row>
    <row r="55" spans="2:20">
      <c r="B55" s="64">
        <v>42</v>
      </c>
      <c r="C55" s="397">
        <f t="shared" si="0"/>
        <v>0</v>
      </c>
      <c r="D55" s="398">
        <f t="shared" si="1"/>
        <v>0</v>
      </c>
      <c r="E55" s="398">
        <f t="shared" si="2"/>
        <v>0</v>
      </c>
      <c r="F55" s="398">
        <f t="shared" si="3"/>
        <v>0</v>
      </c>
      <c r="G55" s="62"/>
      <c r="H55" s="88">
        <f t="shared" si="8"/>
        <v>456</v>
      </c>
      <c r="I55" s="80">
        <f t="shared" si="7"/>
        <v>1942</v>
      </c>
      <c r="J55" s="89">
        <f>SUMIF($B$14:$B$733,T55,$D$14:$D$733)-SUM($J$18:J54)</f>
        <v>0</v>
      </c>
      <c r="K55" s="96">
        <f>SUMIF($B$14:$B$733,T55,$E$14:$E$733)-SUM($K$18:K54)</f>
        <v>0</v>
      </c>
      <c r="L55" s="90">
        <f t="shared" si="4"/>
        <v>0</v>
      </c>
      <c r="M55" s="90">
        <f t="shared" si="5"/>
        <v>0</v>
      </c>
      <c r="N55" s="62"/>
      <c r="O55" s="78"/>
      <c r="P55" s="78"/>
      <c r="Q55" s="278"/>
      <c r="R55" s="62"/>
      <c r="S55" s="62"/>
      <c r="T55" s="92" t="str">
        <f t="shared" si="6"/>
        <v>&lt;=456</v>
      </c>
    </row>
    <row r="56" spans="2:20">
      <c r="B56" s="64">
        <v>43</v>
      </c>
      <c r="C56" s="397">
        <f t="shared" si="0"/>
        <v>0</v>
      </c>
      <c r="D56" s="398">
        <f t="shared" si="1"/>
        <v>0</v>
      </c>
      <c r="E56" s="398">
        <f t="shared" si="2"/>
        <v>0</v>
      </c>
      <c r="F56" s="398">
        <f t="shared" si="3"/>
        <v>0</v>
      </c>
      <c r="G56" s="62"/>
      <c r="H56" s="88">
        <f t="shared" si="8"/>
        <v>468</v>
      </c>
      <c r="I56" s="80">
        <f t="shared" si="7"/>
        <v>1943</v>
      </c>
      <c r="J56" s="89">
        <f>SUMIF($B$14:$B$733,T56,$D$14:$D$733)-SUM($J$18:J55)</f>
        <v>0</v>
      </c>
      <c r="K56" s="96">
        <f>SUMIF($B$14:$B$733,T56,$E$14:$E$733)-SUM($K$18:K55)</f>
        <v>0</v>
      </c>
      <c r="L56" s="90">
        <f t="shared" si="4"/>
        <v>0</v>
      </c>
      <c r="M56" s="90">
        <f t="shared" si="5"/>
        <v>0</v>
      </c>
      <c r="N56" s="62"/>
      <c r="O56" s="78"/>
      <c r="P56" s="78"/>
      <c r="Q56" s="278"/>
      <c r="R56" s="62"/>
      <c r="S56" s="62"/>
      <c r="T56" s="92" t="str">
        <f t="shared" si="6"/>
        <v>&lt;=468</v>
      </c>
    </row>
    <row r="57" spans="2:20">
      <c r="B57" s="64">
        <v>44</v>
      </c>
      <c r="C57" s="397">
        <f t="shared" si="0"/>
        <v>0</v>
      </c>
      <c r="D57" s="398">
        <f t="shared" si="1"/>
        <v>0</v>
      </c>
      <c r="E57" s="398">
        <f t="shared" si="2"/>
        <v>0</v>
      </c>
      <c r="F57" s="398">
        <f t="shared" si="3"/>
        <v>0</v>
      </c>
      <c r="G57" s="62"/>
      <c r="H57" s="88">
        <f t="shared" si="8"/>
        <v>480</v>
      </c>
      <c r="I57" s="80">
        <f t="shared" si="7"/>
        <v>1944</v>
      </c>
      <c r="J57" s="89">
        <f>SUMIF($B$14:$B$733,T57,$D$14:$D$733)-SUM($J$18:J56)</f>
        <v>0</v>
      </c>
      <c r="K57" s="96">
        <f>SUMIF($B$14:$B$733,T57,$E$14:$E$733)-SUM($K$18:K56)</f>
        <v>0</v>
      </c>
      <c r="L57" s="90">
        <f t="shared" si="4"/>
        <v>0</v>
      </c>
      <c r="M57" s="90">
        <f t="shared" si="5"/>
        <v>0</v>
      </c>
      <c r="N57" s="62"/>
      <c r="O57" s="78"/>
      <c r="P57" s="78"/>
      <c r="Q57" s="278"/>
      <c r="R57" s="62"/>
      <c r="S57" s="62"/>
      <c r="T57" s="92" t="str">
        <f t="shared" si="6"/>
        <v>&lt;=480</v>
      </c>
    </row>
    <row r="58" spans="2:20">
      <c r="B58" s="64">
        <v>45</v>
      </c>
      <c r="C58" s="397">
        <f t="shared" si="0"/>
        <v>0</v>
      </c>
      <c r="D58" s="398">
        <f t="shared" si="1"/>
        <v>0</v>
      </c>
      <c r="E58" s="398">
        <f t="shared" si="2"/>
        <v>0</v>
      </c>
      <c r="F58" s="398">
        <f t="shared" si="3"/>
        <v>0</v>
      </c>
      <c r="G58" s="62"/>
      <c r="H58" s="88">
        <f t="shared" si="8"/>
        <v>492</v>
      </c>
      <c r="I58" s="80">
        <f t="shared" si="7"/>
        <v>1945</v>
      </c>
      <c r="J58" s="89">
        <f>SUMIF($B$14:$B$733,T58,$D$14:$D$733)-SUM($J$18:J57)</f>
        <v>0</v>
      </c>
      <c r="K58" s="96">
        <f>SUMIF($B$14:$B$733,T58,$E$14:$E$733)-SUM($K$18:K57)</f>
        <v>0</v>
      </c>
      <c r="L58" s="90">
        <f t="shared" si="4"/>
        <v>0</v>
      </c>
      <c r="M58" s="90">
        <f t="shared" si="5"/>
        <v>0</v>
      </c>
      <c r="N58" s="62"/>
      <c r="O58" s="78"/>
      <c r="P58" s="78"/>
      <c r="Q58" s="278"/>
      <c r="R58" s="62"/>
      <c r="S58" s="62"/>
      <c r="T58" s="92" t="str">
        <f t="shared" si="6"/>
        <v>&lt;=492</v>
      </c>
    </row>
    <row r="59" spans="2:20">
      <c r="B59" s="64">
        <v>46</v>
      </c>
      <c r="C59" s="397">
        <f t="shared" si="0"/>
        <v>0</v>
      </c>
      <c r="D59" s="398">
        <f t="shared" si="1"/>
        <v>0</v>
      </c>
      <c r="E59" s="398">
        <f t="shared" si="2"/>
        <v>0</v>
      </c>
      <c r="F59" s="398">
        <f t="shared" si="3"/>
        <v>0</v>
      </c>
      <c r="G59" s="62"/>
      <c r="H59" s="88">
        <f t="shared" si="8"/>
        <v>504</v>
      </c>
      <c r="I59" s="80">
        <f t="shared" si="7"/>
        <v>1946</v>
      </c>
      <c r="J59" s="89">
        <f>SUMIF($B$14:$B$733,T59,$D$14:$D$733)-SUM($J$18:J58)</f>
        <v>0</v>
      </c>
      <c r="K59" s="96">
        <f>SUMIF($B$14:$B$733,T59,$E$14:$E$733)-SUM($K$18:K58)</f>
        <v>0</v>
      </c>
      <c r="L59" s="90">
        <f t="shared" si="4"/>
        <v>0</v>
      </c>
      <c r="M59" s="90">
        <f t="shared" si="5"/>
        <v>0</v>
      </c>
      <c r="N59" s="62"/>
      <c r="O59" s="78"/>
      <c r="P59" s="78"/>
      <c r="Q59" s="278"/>
      <c r="R59" s="62"/>
      <c r="S59" s="62"/>
      <c r="T59" s="92" t="str">
        <f t="shared" si="6"/>
        <v>&lt;=504</v>
      </c>
    </row>
    <row r="60" spans="2:20">
      <c r="B60" s="64">
        <v>47</v>
      </c>
      <c r="C60" s="397">
        <f t="shared" si="0"/>
        <v>0</v>
      </c>
      <c r="D60" s="398">
        <f t="shared" si="1"/>
        <v>0</v>
      </c>
      <c r="E60" s="398">
        <f t="shared" si="2"/>
        <v>0</v>
      </c>
      <c r="F60" s="398">
        <f t="shared" si="3"/>
        <v>0</v>
      </c>
      <c r="G60" s="62"/>
      <c r="H60" s="88">
        <f t="shared" si="8"/>
        <v>516</v>
      </c>
      <c r="I60" s="80">
        <f t="shared" si="7"/>
        <v>1947</v>
      </c>
      <c r="J60" s="89">
        <f>SUMIF($B$14:$B$733,T60,$D$14:$D$733)-SUM($J$18:J59)</f>
        <v>0</v>
      </c>
      <c r="K60" s="96">
        <f>SUMIF($B$14:$B$733,T60,$E$14:$E$733)-SUM($K$18:K59)</f>
        <v>0</v>
      </c>
      <c r="L60" s="90">
        <f t="shared" si="4"/>
        <v>0</v>
      </c>
      <c r="M60" s="90">
        <f t="shared" si="5"/>
        <v>0</v>
      </c>
      <c r="N60" s="62"/>
      <c r="O60" s="78"/>
      <c r="P60" s="78"/>
      <c r="Q60" s="278"/>
      <c r="R60" s="62"/>
      <c r="S60" s="62"/>
      <c r="T60" s="92" t="str">
        <f t="shared" si="6"/>
        <v>&lt;=516</v>
      </c>
    </row>
    <row r="61" spans="2:20">
      <c r="B61" s="64">
        <v>48</v>
      </c>
      <c r="C61" s="397">
        <f t="shared" si="0"/>
        <v>0</v>
      </c>
      <c r="D61" s="398">
        <f t="shared" si="1"/>
        <v>0</v>
      </c>
      <c r="E61" s="398">
        <f t="shared" si="2"/>
        <v>0</v>
      </c>
      <c r="F61" s="398">
        <f t="shared" si="3"/>
        <v>0</v>
      </c>
      <c r="G61" s="62"/>
      <c r="H61" s="88">
        <f t="shared" si="8"/>
        <v>528</v>
      </c>
      <c r="I61" s="80">
        <f t="shared" si="7"/>
        <v>1948</v>
      </c>
      <c r="J61" s="89">
        <f>SUMIF($B$14:$B$733,T61,$D$14:$D$733)-SUM($J$18:J60)</f>
        <v>0</v>
      </c>
      <c r="K61" s="96">
        <f>SUMIF($B$14:$B$733,T61,$E$14:$E$733)-SUM($K$18:K60)</f>
        <v>0</v>
      </c>
      <c r="L61" s="90">
        <f t="shared" si="4"/>
        <v>0</v>
      </c>
      <c r="M61" s="90">
        <f t="shared" si="5"/>
        <v>0</v>
      </c>
      <c r="N61" s="62"/>
      <c r="O61" s="78"/>
      <c r="P61" s="78"/>
      <c r="Q61" s="278"/>
      <c r="R61" s="62"/>
      <c r="S61" s="62"/>
      <c r="T61" s="92" t="str">
        <f t="shared" si="6"/>
        <v>&lt;=528</v>
      </c>
    </row>
    <row r="62" spans="2:20">
      <c r="B62" s="64">
        <v>49</v>
      </c>
      <c r="C62" s="397">
        <f t="shared" si="0"/>
        <v>0</v>
      </c>
      <c r="D62" s="398">
        <f t="shared" si="1"/>
        <v>0</v>
      </c>
      <c r="E62" s="398">
        <f t="shared" si="2"/>
        <v>0</v>
      </c>
      <c r="F62" s="398">
        <f t="shared" si="3"/>
        <v>0</v>
      </c>
      <c r="G62" s="62"/>
      <c r="H62" s="88">
        <f t="shared" si="8"/>
        <v>540</v>
      </c>
      <c r="I62" s="80">
        <f t="shared" si="7"/>
        <v>1949</v>
      </c>
      <c r="J62" s="89">
        <f>SUMIF($B$14:$B$733,T62,$D$14:$D$733)-SUM($J$18:J61)</f>
        <v>0</v>
      </c>
      <c r="K62" s="96">
        <f>SUMIF($B$14:$B$733,T62,$E$14:$E$733)-SUM($K$18:K61)</f>
        <v>0</v>
      </c>
      <c r="L62" s="90">
        <f t="shared" si="4"/>
        <v>0</v>
      </c>
      <c r="M62" s="90">
        <f t="shared" si="5"/>
        <v>0</v>
      </c>
      <c r="N62" s="62"/>
      <c r="O62" s="78"/>
      <c r="P62" s="78"/>
      <c r="Q62" s="278"/>
      <c r="R62" s="62"/>
      <c r="S62" s="62"/>
      <c r="T62" s="92" t="str">
        <f t="shared" si="6"/>
        <v>&lt;=540</v>
      </c>
    </row>
    <row r="63" spans="2:20">
      <c r="B63" s="64">
        <v>50</v>
      </c>
      <c r="C63" s="397">
        <f t="shared" si="0"/>
        <v>0</v>
      </c>
      <c r="D63" s="398">
        <f t="shared" si="1"/>
        <v>0</v>
      </c>
      <c r="E63" s="398">
        <f t="shared" si="2"/>
        <v>0</v>
      </c>
      <c r="F63" s="398">
        <f t="shared" si="3"/>
        <v>0</v>
      </c>
      <c r="G63" s="62"/>
      <c r="H63" s="88">
        <f t="shared" si="8"/>
        <v>552</v>
      </c>
      <c r="I63" s="80">
        <f t="shared" si="7"/>
        <v>1950</v>
      </c>
      <c r="J63" s="89">
        <f>SUMIF($B$14:$B$733,T63,$D$14:$D$733)-SUM($J$18:J62)</f>
        <v>0</v>
      </c>
      <c r="K63" s="96">
        <f>SUMIF($B$14:$B$733,T63,$E$14:$E$733)-SUM($K$18:K62)</f>
        <v>0</v>
      </c>
      <c r="L63" s="90">
        <f t="shared" si="4"/>
        <v>0</v>
      </c>
      <c r="M63" s="90">
        <f t="shared" si="5"/>
        <v>0</v>
      </c>
      <c r="N63" s="62"/>
      <c r="O63" s="78"/>
      <c r="P63" s="78"/>
      <c r="Q63" s="278"/>
      <c r="R63" s="62"/>
      <c r="S63" s="62"/>
      <c r="T63" s="92" t="str">
        <f t="shared" si="6"/>
        <v>&lt;=552</v>
      </c>
    </row>
    <row r="64" spans="2:20">
      <c r="B64" s="64">
        <v>51</v>
      </c>
      <c r="C64" s="397">
        <f t="shared" si="0"/>
        <v>0</v>
      </c>
      <c r="D64" s="398">
        <f t="shared" si="1"/>
        <v>0</v>
      </c>
      <c r="E64" s="398">
        <f t="shared" si="2"/>
        <v>0</v>
      </c>
      <c r="F64" s="398">
        <f t="shared" si="3"/>
        <v>0</v>
      </c>
      <c r="G64" s="62"/>
      <c r="H64" s="88">
        <f t="shared" si="8"/>
        <v>564</v>
      </c>
      <c r="I64" s="80">
        <f t="shared" si="7"/>
        <v>1951</v>
      </c>
      <c r="J64" s="89">
        <f>SUMIF($B$14:$B$733,T64,$D$14:$D$733)-SUM($J$18:J63)</f>
        <v>0</v>
      </c>
      <c r="K64" s="96">
        <f>SUMIF($B$14:$B$733,T64,$E$14:$E$733)-SUM($K$18:K63)</f>
        <v>0</v>
      </c>
      <c r="L64" s="90">
        <f t="shared" si="4"/>
        <v>0</v>
      </c>
      <c r="M64" s="90">
        <f t="shared" si="5"/>
        <v>0</v>
      </c>
      <c r="N64" s="62"/>
      <c r="O64" s="78"/>
      <c r="P64" s="78"/>
      <c r="Q64" s="278"/>
      <c r="R64" s="62"/>
      <c r="S64" s="62"/>
      <c r="T64" s="92" t="str">
        <f t="shared" si="6"/>
        <v>&lt;=564</v>
      </c>
    </row>
    <row r="65" spans="2:21">
      <c r="B65" s="64">
        <v>52</v>
      </c>
      <c r="C65" s="397">
        <f t="shared" si="0"/>
        <v>0</v>
      </c>
      <c r="D65" s="398">
        <f t="shared" si="1"/>
        <v>0</v>
      </c>
      <c r="E65" s="398">
        <f t="shared" si="2"/>
        <v>0</v>
      </c>
      <c r="F65" s="398">
        <f t="shared" si="3"/>
        <v>0</v>
      </c>
      <c r="G65" s="62"/>
      <c r="H65" s="88">
        <f t="shared" si="8"/>
        <v>576</v>
      </c>
      <c r="I65" s="80">
        <f t="shared" si="7"/>
        <v>1952</v>
      </c>
      <c r="J65" s="89">
        <f>SUMIF($B$14:$B$733,T65,$D$14:$D$733)-SUM($J$18:J64)</f>
        <v>0</v>
      </c>
      <c r="K65" s="96">
        <f>SUMIF($B$14:$B$733,T65,$E$14:$E$733)-SUM($K$18:K64)</f>
        <v>0</v>
      </c>
      <c r="L65" s="90">
        <f t="shared" si="4"/>
        <v>0</v>
      </c>
      <c r="M65" s="90">
        <f t="shared" si="5"/>
        <v>0</v>
      </c>
      <c r="N65" s="62"/>
      <c r="O65" s="78"/>
      <c r="P65" s="78"/>
      <c r="Q65" s="278"/>
      <c r="R65" s="62"/>
      <c r="S65" s="62"/>
      <c r="T65" s="92" t="str">
        <f t="shared" si="6"/>
        <v>&lt;=576</v>
      </c>
    </row>
    <row r="66" spans="2:21">
      <c r="B66" s="64">
        <v>53</v>
      </c>
      <c r="C66" s="397">
        <f t="shared" si="0"/>
        <v>0</v>
      </c>
      <c r="D66" s="398">
        <f t="shared" si="1"/>
        <v>0</v>
      </c>
      <c r="E66" s="398">
        <f t="shared" si="2"/>
        <v>0</v>
      </c>
      <c r="F66" s="398">
        <f t="shared" si="3"/>
        <v>0</v>
      </c>
      <c r="G66" s="62"/>
      <c r="H66" s="88">
        <f t="shared" si="8"/>
        <v>588</v>
      </c>
      <c r="I66" s="80">
        <f t="shared" si="7"/>
        <v>1953</v>
      </c>
      <c r="J66" s="89">
        <f>SUMIF($B$14:$B$733,T66,$D$14:$D$733)-SUM($J$18:J65)</f>
        <v>0</v>
      </c>
      <c r="K66" s="96">
        <f>SUMIF($B$14:$B$733,T66,$E$14:$E$733)-SUM($K$18:K65)</f>
        <v>0</v>
      </c>
      <c r="L66" s="90">
        <f t="shared" si="4"/>
        <v>0</v>
      </c>
      <c r="M66" s="90">
        <f t="shared" si="5"/>
        <v>0</v>
      </c>
      <c r="N66" s="62"/>
      <c r="O66" s="78"/>
      <c r="P66" s="78"/>
      <c r="Q66" s="278"/>
      <c r="R66" s="62"/>
      <c r="S66" s="62"/>
      <c r="T66" s="92" t="str">
        <f t="shared" si="6"/>
        <v>&lt;=588</v>
      </c>
    </row>
    <row r="67" spans="2:21">
      <c r="B67" s="64">
        <v>54</v>
      </c>
      <c r="C67" s="397">
        <f t="shared" si="0"/>
        <v>0</v>
      </c>
      <c r="D67" s="398">
        <f t="shared" si="1"/>
        <v>0</v>
      </c>
      <c r="E67" s="398">
        <f t="shared" si="2"/>
        <v>0</v>
      </c>
      <c r="F67" s="398">
        <f t="shared" si="3"/>
        <v>0</v>
      </c>
      <c r="G67" s="62"/>
      <c r="H67" s="88">
        <f t="shared" si="8"/>
        <v>600</v>
      </c>
      <c r="I67" s="80">
        <f t="shared" si="7"/>
        <v>1954</v>
      </c>
      <c r="J67" s="89">
        <f>SUMIF($B$14:$B$733,T67,$D$14:$D$733)-SUM($J$18:J66)</f>
        <v>0</v>
      </c>
      <c r="K67" s="96">
        <f>SUMIF($B$14:$B$733,T67,$E$14:$E$733)-SUM($K$18:K66)</f>
        <v>0</v>
      </c>
      <c r="L67" s="90">
        <f t="shared" si="4"/>
        <v>0</v>
      </c>
      <c r="M67" s="90">
        <f t="shared" si="5"/>
        <v>0</v>
      </c>
      <c r="N67" s="62"/>
      <c r="O67" s="78"/>
      <c r="P67" s="78"/>
      <c r="Q67" s="278"/>
      <c r="R67" s="62"/>
      <c r="S67" s="62"/>
      <c r="T67" s="92" t="str">
        <f t="shared" si="6"/>
        <v>&lt;=600</v>
      </c>
    </row>
    <row r="68" spans="2:21">
      <c r="B68" s="64">
        <v>55</v>
      </c>
      <c r="C68" s="397">
        <f t="shared" si="0"/>
        <v>0</v>
      </c>
      <c r="D68" s="398">
        <f t="shared" si="1"/>
        <v>0</v>
      </c>
      <c r="E68" s="398">
        <f t="shared" si="2"/>
        <v>0</v>
      </c>
      <c r="F68" s="398">
        <f t="shared" si="3"/>
        <v>0</v>
      </c>
      <c r="G68" s="62"/>
      <c r="H68" s="88">
        <f t="shared" si="8"/>
        <v>612</v>
      </c>
      <c r="I68" s="80">
        <f t="shared" si="7"/>
        <v>1955</v>
      </c>
      <c r="J68" s="89">
        <f>SUMIF($B$14:$B$733,T68,$D$14:$D$733)-SUM($J$18:J67)</f>
        <v>0</v>
      </c>
      <c r="K68" s="96">
        <f>SUMIF($B$14:$B$733,T68,$E$14:$E$733)-SUM($K$18:K67)</f>
        <v>0</v>
      </c>
      <c r="L68" s="90">
        <f t="shared" si="4"/>
        <v>0</v>
      </c>
      <c r="M68" s="90">
        <f t="shared" si="5"/>
        <v>0</v>
      </c>
      <c r="N68" s="62"/>
      <c r="O68" s="78"/>
      <c r="P68" s="78"/>
      <c r="Q68" s="278"/>
      <c r="R68" s="62"/>
      <c r="S68" s="62"/>
      <c r="T68" s="92" t="str">
        <f t="shared" si="6"/>
        <v>&lt;=612</v>
      </c>
    </row>
    <row r="69" spans="2:21">
      <c r="B69" s="64">
        <v>56</v>
      </c>
      <c r="C69" s="397">
        <f t="shared" si="0"/>
        <v>0</v>
      </c>
      <c r="D69" s="398">
        <f t="shared" si="1"/>
        <v>0</v>
      </c>
      <c r="E69" s="398">
        <f t="shared" si="2"/>
        <v>0</v>
      </c>
      <c r="F69" s="398">
        <f t="shared" si="3"/>
        <v>0</v>
      </c>
      <c r="G69" s="62"/>
      <c r="H69" s="88">
        <f t="shared" si="8"/>
        <v>624</v>
      </c>
      <c r="I69" s="80">
        <f t="shared" si="7"/>
        <v>1956</v>
      </c>
      <c r="J69" s="89">
        <f>SUMIF($B$14:$B$733,T69,$D$14:$D$733)-SUM($J$18:J68)</f>
        <v>0</v>
      </c>
      <c r="K69" s="96">
        <f>SUMIF($B$14:$B$733,T69,$E$14:$E$733)-SUM($K$18:K68)</f>
        <v>0</v>
      </c>
      <c r="L69" s="90">
        <f t="shared" si="4"/>
        <v>0</v>
      </c>
      <c r="M69" s="90">
        <f t="shared" si="5"/>
        <v>0</v>
      </c>
      <c r="N69" s="62"/>
      <c r="O69" s="78"/>
      <c r="P69" s="78"/>
      <c r="Q69" s="278"/>
      <c r="R69" s="62"/>
      <c r="S69" s="62"/>
      <c r="T69" s="92" t="str">
        <f t="shared" si="6"/>
        <v>&lt;=624</v>
      </c>
    </row>
    <row r="70" spans="2:21">
      <c r="B70" s="64">
        <v>57</v>
      </c>
      <c r="C70" s="397">
        <f t="shared" si="0"/>
        <v>0</v>
      </c>
      <c r="D70" s="398">
        <f t="shared" si="1"/>
        <v>0</v>
      </c>
      <c r="E70" s="398">
        <f t="shared" si="2"/>
        <v>0</v>
      </c>
      <c r="F70" s="398">
        <f t="shared" si="3"/>
        <v>0</v>
      </c>
      <c r="G70" s="62"/>
      <c r="H70" s="88">
        <f t="shared" si="8"/>
        <v>636</v>
      </c>
      <c r="I70" s="80">
        <f t="shared" si="7"/>
        <v>1957</v>
      </c>
      <c r="J70" s="89">
        <f>SUMIF($B$14:$B$733,T70,$D$14:$D$733)-SUM($J$18:J69)</f>
        <v>0</v>
      </c>
      <c r="K70" s="96">
        <f>SUMIF($B$14:$B$733,T70,$E$14:$E$733)-SUM($K$18:K69)</f>
        <v>0</v>
      </c>
      <c r="L70" s="90">
        <f t="shared" si="4"/>
        <v>0</v>
      </c>
      <c r="M70" s="90">
        <f t="shared" si="5"/>
        <v>0</v>
      </c>
      <c r="N70" s="62"/>
      <c r="O70" s="78"/>
      <c r="P70" s="78"/>
      <c r="Q70" s="278"/>
      <c r="R70" s="62"/>
      <c r="S70" s="62"/>
      <c r="T70" s="92" t="str">
        <f t="shared" si="6"/>
        <v>&lt;=636</v>
      </c>
    </row>
    <row r="71" spans="2:21">
      <c r="B71" s="64">
        <v>58</v>
      </c>
      <c r="C71" s="397">
        <f t="shared" si="0"/>
        <v>0</v>
      </c>
      <c r="D71" s="398">
        <f t="shared" si="1"/>
        <v>0</v>
      </c>
      <c r="E71" s="398">
        <f t="shared" si="2"/>
        <v>0</v>
      </c>
      <c r="F71" s="398">
        <f t="shared" si="3"/>
        <v>0</v>
      </c>
      <c r="G71" s="62"/>
      <c r="H71" s="88">
        <f t="shared" si="8"/>
        <v>648</v>
      </c>
      <c r="I71" s="80">
        <f t="shared" si="7"/>
        <v>1958</v>
      </c>
      <c r="J71" s="89">
        <f>SUMIF($B$14:$B$733,T71,$D$14:$D$733)-SUM($J$18:J70)</f>
        <v>0</v>
      </c>
      <c r="K71" s="96">
        <f>SUMIF($B$14:$B$733,T71,$E$14:$E$733)-SUM($K$18:K70)</f>
        <v>0</v>
      </c>
      <c r="L71" s="90">
        <f t="shared" si="4"/>
        <v>0</v>
      </c>
      <c r="M71" s="90">
        <f t="shared" si="5"/>
        <v>0</v>
      </c>
      <c r="N71" s="62"/>
      <c r="O71" s="78"/>
      <c r="P71" s="78"/>
      <c r="Q71" s="278"/>
      <c r="R71" s="62"/>
      <c r="S71" s="62"/>
      <c r="T71" s="92" t="str">
        <f t="shared" si="6"/>
        <v>&lt;=648</v>
      </c>
    </row>
    <row r="72" spans="2:21">
      <c r="B72" s="64">
        <v>59</v>
      </c>
      <c r="C72" s="397">
        <f t="shared" si="0"/>
        <v>0</v>
      </c>
      <c r="D72" s="398">
        <f t="shared" si="1"/>
        <v>0</v>
      </c>
      <c r="E72" s="398">
        <f t="shared" si="2"/>
        <v>0</v>
      </c>
      <c r="F72" s="398">
        <f t="shared" si="3"/>
        <v>0</v>
      </c>
      <c r="G72" s="66"/>
      <c r="H72" s="88">
        <f t="shared" si="8"/>
        <v>660</v>
      </c>
      <c r="I72" s="80">
        <f t="shared" si="7"/>
        <v>1959</v>
      </c>
      <c r="J72" s="89">
        <f>SUMIF($B$14:$B$733,T72,$D$14:$D$733)-SUM($J$18:J71)</f>
        <v>0</v>
      </c>
      <c r="K72" s="96">
        <f>SUMIF($B$14:$B$733,T72,$E$14:$E$733)-SUM($K$18:K71)</f>
        <v>0</v>
      </c>
      <c r="L72" s="90">
        <f t="shared" si="4"/>
        <v>0</v>
      </c>
      <c r="M72" s="90">
        <f t="shared" si="5"/>
        <v>0</v>
      </c>
      <c r="N72" s="62"/>
      <c r="O72" s="78"/>
      <c r="P72" s="78"/>
      <c r="Q72" s="278"/>
      <c r="R72" s="62"/>
      <c r="S72" s="62"/>
      <c r="T72" s="92" t="str">
        <f t="shared" si="6"/>
        <v>&lt;=660</v>
      </c>
    </row>
    <row r="73" spans="2:21">
      <c r="B73" s="64">
        <v>60</v>
      </c>
      <c r="C73" s="397">
        <f t="shared" si="0"/>
        <v>0</v>
      </c>
      <c r="D73" s="398">
        <f t="shared" si="1"/>
        <v>0</v>
      </c>
      <c r="E73" s="398">
        <f t="shared" si="2"/>
        <v>0</v>
      </c>
      <c r="F73" s="398">
        <f t="shared" si="3"/>
        <v>0</v>
      </c>
      <c r="G73" s="62"/>
      <c r="H73" s="88">
        <f t="shared" si="8"/>
        <v>672</v>
      </c>
      <c r="I73" s="80">
        <f t="shared" si="7"/>
        <v>1960</v>
      </c>
      <c r="J73" s="89">
        <f>SUMIF($B$14:$B$733,T73,$D$14:$D$733)-SUM($J$18:J72)</f>
        <v>0</v>
      </c>
      <c r="K73" s="96">
        <f>SUMIF($B$14:$B$733,T73,$E$14:$E$733)-SUM($K$18:K72)</f>
        <v>0</v>
      </c>
      <c r="L73" s="90">
        <f t="shared" si="4"/>
        <v>0</v>
      </c>
      <c r="M73" s="90">
        <f t="shared" si="5"/>
        <v>0</v>
      </c>
      <c r="N73" s="62"/>
      <c r="O73" s="78"/>
      <c r="P73" s="78"/>
      <c r="Q73" s="278"/>
      <c r="R73" s="62"/>
      <c r="S73" s="62"/>
      <c r="T73" s="92" t="str">
        <f t="shared" si="6"/>
        <v>&lt;=672</v>
      </c>
    </row>
    <row r="74" spans="2:21">
      <c r="B74" s="64">
        <v>61</v>
      </c>
      <c r="C74" s="397">
        <f t="shared" si="0"/>
        <v>0</v>
      </c>
      <c r="D74" s="398">
        <f t="shared" si="1"/>
        <v>0</v>
      </c>
      <c r="E74" s="398">
        <f t="shared" si="2"/>
        <v>0</v>
      </c>
      <c r="F74" s="398">
        <f t="shared" si="3"/>
        <v>0</v>
      </c>
      <c r="G74" s="62"/>
      <c r="H74" s="88">
        <f t="shared" si="8"/>
        <v>684</v>
      </c>
      <c r="I74" s="80">
        <f t="shared" si="7"/>
        <v>1961</v>
      </c>
      <c r="J74" s="89">
        <f>SUMIF($B$14:$B$733,T74,$D$14:$D$733)-SUM($J$18:J73)</f>
        <v>0</v>
      </c>
      <c r="K74" s="96">
        <f>SUMIF($B$14:$B$733,T74,$E$14:$E$733)-SUM($K$18:K73)</f>
        <v>0</v>
      </c>
      <c r="L74" s="90">
        <f t="shared" si="4"/>
        <v>0</v>
      </c>
      <c r="M74" s="90">
        <f t="shared" si="5"/>
        <v>0</v>
      </c>
      <c r="N74" s="62"/>
      <c r="O74" s="78"/>
      <c r="P74" s="78"/>
      <c r="Q74" s="278"/>
      <c r="R74" s="62"/>
      <c r="S74" s="62"/>
      <c r="T74" s="92" t="str">
        <f t="shared" si="6"/>
        <v>&lt;=684</v>
      </c>
    </row>
    <row r="75" spans="2:21">
      <c r="B75" s="64">
        <v>62</v>
      </c>
      <c r="C75" s="397">
        <f t="shared" si="0"/>
        <v>0</v>
      </c>
      <c r="D75" s="398">
        <f t="shared" si="1"/>
        <v>0</v>
      </c>
      <c r="E75" s="398">
        <f t="shared" si="2"/>
        <v>0</v>
      </c>
      <c r="F75" s="398">
        <f t="shared" si="3"/>
        <v>0</v>
      </c>
      <c r="G75" s="62"/>
      <c r="H75" s="88">
        <f t="shared" si="8"/>
        <v>696</v>
      </c>
      <c r="I75" s="80">
        <f t="shared" si="7"/>
        <v>1962</v>
      </c>
      <c r="J75" s="89">
        <f>SUMIF($B$14:$B$733,T75,$D$14:$D$733)-SUM($J$18:J74)</f>
        <v>0</v>
      </c>
      <c r="K75" s="96">
        <f>SUMIF($B$14:$B$733,T75,$E$14:$E$733)-SUM($K$18:K74)</f>
        <v>0</v>
      </c>
      <c r="L75" s="90">
        <f t="shared" si="4"/>
        <v>0</v>
      </c>
      <c r="M75" s="90">
        <f t="shared" si="5"/>
        <v>0</v>
      </c>
      <c r="N75" s="62"/>
      <c r="O75" s="78"/>
      <c r="P75" s="78"/>
      <c r="Q75" s="278"/>
      <c r="R75" s="62"/>
      <c r="S75" s="62"/>
      <c r="T75" s="92" t="str">
        <f t="shared" si="6"/>
        <v>&lt;=696</v>
      </c>
    </row>
    <row r="76" spans="2:21">
      <c r="B76" s="64">
        <v>63</v>
      </c>
      <c r="C76" s="397">
        <f t="shared" si="0"/>
        <v>0</v>
      </c>
      <c r="D76" s="398">
        <f t="shared" si="1"/>
        <v>0</v>
      </c>
      <c r="E76" s="398">
        <f t="shared" si="2"/>
        <v>0</v>
      </c>
      <c r="F76" s="398">
        <f t="shared" si="3"/>
        <v>0</v>
      </c>
      <c r="G76" s="62"/>
      <c r="H76" s="88">
        <f t="shared" si="8"/>
        <v>708</v>
      </c>
      <c r="I76" s="80">
        <f t="shared" si="7"/>
        <v>1963</v>
      </c>
      <c r="J76" s="89">
        <f>SUMIF($B$14:$B$733,T76,$D$14:$D$733)-SUM($J$18:J75)</f>
        <v>0</v>
      </c>
      <c r="K76" s="96">
        <f>SUMIF($B$14:$B$733,T76,$E$14:$E$733)-SUM($K$18:K75)</f>
        <v>0</v>
      </c>
      <c r="L76" s="90">
        <f t="shared" si="4"/>
        <v>0</v>
      </c>
      <c r="M76" s="90">
        <f t="shared" si="5"/>
        <v>0</v>
      </c>
      <c r="N76" s="62"/>
      <c r="O76" s="78"/>
      <c r="P76" s="78"/>
      <c r="Q76" s="278"/>
      <c r="R76" s="62"/>
      <c r="S76" s="62"/>
      <c r="T76" s="92" t="str">
        <f t="shared" si="6"/>
        <v>&lt;=708</v>
      </c>
    </row>
    <row r="77" spans="2:21">
      <c r="B77" s="64">
        <v>64</v>
      </c>
      <c r="C77" s="397">
        <f t="shared" si="0"/>
        <v>0</v>
      </c>
      <c r="D77" s="398">
        <f t="shared" si="1"/>
        <v>0</v>
      </c>
      <c r="E77" s="398">
        <f t="shared" si="2"/>
        <v>0</v>
      </c>
      <c r="F77" s="398">
        <f t="shared" si="3"/>
        <v>0</v>
      </c>
      <c r="G77" s="62"/>
      <c r="H77" s="88">
        <f t="shared" si="8"/>
        <v>720</v>
      </c>
      <c r="I77" s="80">
        <f t="shared" si="7"/>
        <v>1964</v>
      </c>
      <c r="J77" s="89">
        <f>SUMIF($B$14:$B$733,T77,$D$14:$D$733)-SUM($J$18:J76)</f>
        <v>0</v>
      </c>
      <c r="K77" s="96">
        <f>SUMIF($B$14:$B$733,T77,$E$14:$E$733)-SUM($K$18:K76)</f>
        <v>0</v>
      </c>
      <c r="L77" s="90">
        <f t="shared" si="4"/>
        <v>0</v>
      </c>
      <c r="M77" s="90">
        <f t="shared" si="5"/>
        <v>0</v>
      </c>
      <c r="N77" s="62"/>
      <c r="O77" s="78"/>
      <c r="P77" s="78"/>
      <c r="Q77" s="278"/>
      <c r="R77" s="62"/>
      <c r="S77" s="62"/>
      <c r="T77" s="92" t="str">
        <f t="shared" si="6"/>
        <v>&lt;=720</v>
      </c>
    </row>
    <row r="78" spans="2:21">
      <c r="B78" s="64">
        <v>65</v>
      </c>
      <c r="C78" s="397">
        <f t="shared" si="0"/>
        <v>0</v>
      </c>
      <c r="D78" s="398">
        <f t="shared" si="1"/>
        <v>0</v>
      </c>
      <c r="E78" s="398">
        <f t="shared" si="2"/>
        <v>0</v>
      </c>
      <c r="F78" s="398">
        <f t="shared" si="3"/>
        <v>0</v>
      </c>
      <c r="G78" s="62"/>
      <c r="H78" s="165"/>
      <c r="I78" s="163" t="s">
        <v>114</v>
      </c>
      <c r="J78" s="164">
        <v>0</v>
      </c>
      <c r="K78" s="164">
        <v>0</v>
      </c>
      <c r="L78" s="91"/>
      <c r="M78" s="164">
        <v>0</v>
      </c>
      <c r="N78" s="62"/>
      <c r="O78" s="62"/>
      <c r="P78" s="62"/>
      <c r="Q78" s="62"/>
      <c r="R78" s="62"/>
      <c r="S78" s="62"/>
      <c r="T78" s="62"/>
    </row>
    <row r="79" spans="2:21">
      <c r="B79" s="64">
        <v>66</v>
      </c>
      <c r="C79" s="397">
        <f t="shared" ref="C79:C142" si="9">IF(F78&gt;$C$7,$C$7,F78+D79)</f>
        <v>0</v>
      </c>
      <c r="D79" s="398">
        <f t="shared" ref="D79:D142" si="10">+$C$5*F78/12</f>
        <v>0</v>
      </c>
      <c r="E79" s="398">
        <f t="shared" si="2"/>
        <v>0</v>
      </c>
      <c r="F79" s="398">
        <f t="shared" si="3"/>
        <v>0</v>
      </c>
      <c r="G79" s="66"/>
      <c r="H79" s="66"/>
      <c r="I79" s="66"/>
      <c r="J79" s="74"/>
      <c r="K79" s="66"/>
      <c r="L79" s="66"/>
      <c r="M79" s="66"/>
      <c r="N79" s="74"/>
      <c r="O79" s="62"/>
      <c r="P79" s="62"/>
      <c r="Q79" s="62"/>
      <c r="R79" s="62"/>
      <c r="S79" s="62"/>
      <c r="T79" s="62"/>
      <c r="U79" s="62"/>
    </row>
    <row r="80" spans="2:21">
      <c r="B80" s="64">
        <v>67</v>
      </c>
      <c r="C80" s="397">
        <f t="shared" si="9"/>
        <v>0</v>
      </c>
      <c r="D80" s="398">
        <f t="shared" si="10"/>
        <v>0</v>
      </c>
      <c r="E80" s="398">
        <f t="shared" ref="E80:E143" si="11">+C80-D80</f>
        <v>0</v>
      </c>
      <c r="F80" s="398">
        <f t="shared" ref="F80:F143" si="12">+F79-E80</f>
        <v>0</v>
      </c>
      <c r="G80" s="66"/>
      <c r="I80" s="66"/>
      <c r="J80" s="74"/>
      <c r="K80" s="66"/>
      <c r="L80" s="66"/>
      <c r="M80" s="66"/>
      <c r="N80" s="74"/>
      <c r="O80" s="62"/>
      <c r="P80" s="62"/>
      <c r="Q80" s="62"/>
      <c r="R80" s="62"/>
      <c r="S80" s="62"/>
      <c r="T80" s="62"/>
      <c r="U80" s="62"/>
    </row>
    <row r="81" spans="2:21">
      <c r="B81" s="64">
        <v>68</v>
      </c>
      <c r="C81" s="397">
        <f t="shared" si="9"/>
        <v>0</v>
      </c>
      <c r="D81" s="398">
        <f t="shared" si="10"/>
        <v>0</v>
      </c>
      <c r="E81" s="398">
        <f t="shared" si="11"/>
        <v>0</v>
      </c>
      <c r="F81" s="398">
        <f t="shared" si="12"/>
        <v>0</v>
      </c>
      <c r="G81" s="66"/>
      <c r="H81" s="66"/>
      <c r="P81" s="62"/>
      <c r="Q81" s="62"/>
      <c r="R81" s="62"/>
      <c r="S81" s="62"/>
      <c r="T81" s="62"/>
      <c r="U81" s="62"/>
    </row>
    <row r="82" spans="2:21">
      <c r="B82" s="64">
        <v>69</v>
      </c>
      <c r="C82" s="397">
        <f t="shared" si="9"/>
        <v>0</v>
      </c>
      <c r="D82" s="398">
        <f t="shared" si="10"/>
        <v>0</v>
      </c>
      <c r="E82" s="398">
        <f t="shared" si="11"/>
        <v>0</v>
      </c>
      <c r="F82" s="398">
        <f t="shared" si="12"/>
        <v>0</v>
      </c>
      <c r="G82" s="66"/>
      <c r="P82" s="62"/>
      <c r="Q82" s="62"/>
      <c r="R82" s="62"/>
      <c r="S82" s="62"/>
      <c r="T82" s="62"/>
      <c r="U82" s="62"/>
    </row>
    <row r="83" spans="2:21">
      <c r="B83" s="64">
        <v>70</v>
      </c>
      <c r="C83" s="397">
        <f t="shared" si="9"/>
        <v>0</v>
      </c>
      <c r="D83" s="398">
        <f t="shared" si="10"/>
        <v>0</v>
      </c>
      <c r="E83" s="398">
        <f t="shared" si="11"/>
        <v>0</v>
      </c>
      <c r="F83" s="398">
        <f t="shared" si="12"/>
        <v>0</v>
      </c>
      <c r="G83" s="62"/>
    </row>
    <row r="84" spans="2:21">
      <c r="B84" s="64">
        <v>71</v>
      </c>
      <c r="C84" s="397">
        <f t="shared" si="9"/>
        <v>0</v>
      </c>
      <c r="D84" s="398">
        <f t="shared" si="10"/>
        <v>0</v>
      </c>
      <c r="E84" s="398">
        <f t="shared" si="11"/>
        <v>0</v>
      </c>
      <c r="F84" s="398">
        <f t="shared" si="12"/>
        <v>0</v>
      </c>
      <c r="G84" s="62"/>
    </row>
    <row r="85" spans="2:21">
      <c r="B85" s="64">
        <v>72</v>
      </c>
      <c r="C85" s="397">
        <f t="shared" si="9"/>
        <v>0</v>
      </c>
      <c r="D85" s="398">
        <f t="shared" si="10"/>
        <v>0</v>
      </c>
      <c r="E85" s="398">
        <f t="shared" si="11"/>
        <v>0</v>
      </c>
      <c r="F85" s="398">
        <f t="shared" si="12"/>
        <v>0</v>
      </c>
      <c r="G85" s="62"/>
    </row>
    <row r="86" spans="2:21">
      <c r="B86" s="64">
        <v>73</v>
      </c>
      <c r="C86" s="397">
        <f t="shared" si="9"/>
        <v>0</v>
      </c>
      <c r="D86" s="398">
        <f t="shared" si="10"/>
        <v>0</v>
      </c>
      <c r="E86" s="398">
        <f t="shared" si="11"/>
        <v>0</v>
      </c>
      <c r="F86" s="398">
        <f t="shared" si="12"/>
        <v>0</v>
      </c>
      <c r="G86" s="62"/>
    </row>
    <row r="87" spans="2:21">
      <c r="B87" s="64">
        <v>74</v>
      </c>
      <c r="C87" s="397">
        <f t="shared" si="9"/>
        <v>0</v>
      </c>
      <c r="D87" s="398">
        <f t="shared" si="10"/>
        <v>0</v>
      </c>
      <c r="E87" s="398">
        <f t="shared" si="11"/>
        <v>0</v>
      </c>
      <c r="F87" s="398">
        <f t="shared" si="12"/>
        <v>0</v>
      </c>
      <c r="G87" s="62"/>
    </row>
    <row r="88" spans="2:21">
      <c r="B88" s="64">
        <v>75</v>
      </c>
      <c r="C88" s="397">
        <f t="shared" si="9"/>
        <v>0</v>
      </c>
      <c r="D88" s="398">
        <f t="shared" si="10"/>
        <v>0</v>
      </c>
      <c r="E88" s="398">
        <f t="shared" si="11"/>
        <v>0</v>
      </c>
      <c r="F88" s="398">
        <f t="shared" si="12"/>
        <v>0</v>
      </c>
      <c r="G88" s="62"/>
    </row>
    <row r="89" spans="2:21">
      <c r="B89" s="64">
        <v>76</v>
      </c>
      <c r="C89" s="397">
        <f t="shared" si="9"/>
        <v>0</v>
      </c>
      <c r="D89" s="398">
        <f t="shared" si="10"/>
        <v>0</v>
      </c>
      <c r="E89" s="398">
        <f t="shared" si="11"/>
        <v>0</v>
      </c>
      <c r="F89" s="398">
        <f t="shared" si="12"/>
        <v>0</v>
      </c>
      <c r="G89" s="62"/>
    </row>
    <row r="90" spans="2:21">
      <c r="B90" s="64">
        <v>77</v>
      </c>
      <c r="C90" s="397">
        <f t="shared" si="9"/>
        <v>0</v>
      </c>
      <c r="D90" s="398">
        <f t="shared" si="10"/>
        <v>0</v>
      </c>
      <c r="E90" s="398">
        <f t="shared" si="11"/>
        <v>0</v>
      </c>
      <c r="F90" s="398">
        <f t="shared" si="12"/>
        <v>0</v>
      </c>
      <c r="G90" s="62"/>
    </row>
    <row r="91" spans="2:21">
      <c r="B91" s="64">
        <v>78</v>
      </c>
      <c r="C91" s="397">
        <f t="shared" si="9"/>
        <v>0</v>
      </c>
      <c r="D91" s="398">
        <f t="shared" si="10"/>
        <v>0</v>
      </c>
      <c r="E91" s="398">
        <f t="shared" si="11"/>
        <v>0</v>
      </c>
      <c r="F91" s="398">
        <f t="shared" si="12"/>
        <v>0</v>
      </c>
      <c r="G91" s="62"/>
    </row>
    <row r="92" spans="2:21">
      <c r="B92" s="64">
        <v>79</v>
      </c>
      <c r="C92" s="397">
        <f t="shared" si="9"/>
        <v>0</v>
      </c>
      <c r="D92" s="398">
        <f t="shared" si="10"/>
        <v>0</v>
      </c>
      <c r="E92" s="398">
        <f t="shared" si="11"/>
        <v>0</v>
      </c>
      <c r="F92" s="398">
        <f t="shared" si="12"/>
        <v>0</v>
      </c>
      <c r="G92" s="62"/>
    </row>
    <row r="93" spans="2:21">
      <c r="B93" s="64">
        <v>80</v>
      </c>
      <c r="C93" s="397">
        <f t="shared" si="9"/>
        <v>0</v>
      </c>
      <c r="D93" s="398">
        <f t="shared" si="10"/>
        <v>0</v>
      </c>
      <c r="E93" s="398">
        <f t="shared" si="11"/>
        <v>0</v>
      </c>
      <c r="F93" s="398">
        <f t="shared" si="12"/>
        <v>0</v>
      </c>
      <c r="G93" s="62"/>
    </row>
    <row r="94" spans="2:21">
      <c r="B94" s="64">
        <v>81</v>
      </c>
      <c r="C94" s="397">
        <f t="shared" si="9"/>
        <v>0</v>
      </c>
      <c r="D94" s="398">
        <f t="shared" si="10"/>
        <v>0</v>
      </c>
      <c r="E94" s="398">
        <f t="shared" si="11"/>
        <v>0</v>
      </c>
      <c r="F94" s="398">
        <f t="shared" si="12"/>
        <v>0</v>
      </c>
      <c r="G94" s="62"/>
      <c r="H94" s="66"/>
      <c r="I94" s="66"/>
      <c r="J94" s="66"/>
      <c r="K94" s="66"/>
      <c r="L94" s="66"/>
      <c r="M94" s="66"/>
      <c r="N94" s="66"/>
    </row>
    <row r="95" spans="2:21">
      <c r="B95" s="64">
        <v>82</v>
      </c>
      <c r="C95" s="397">
        <f t="shared" si="9"/>
        <v>0</v>
      </c>
      <c r="D95" s="398">
        <f t="shared" si="10"/>
        <v>0</v>
      </c>
      <c r="E95" s="398">
        <f t="shared" si="11"/>
        <v>0</v>
      </c>
      <c r="F95" s="398">
        <f t="shared" si="12"/>
        <v>0</v>
      </c>
      <c r="G95" s="62"/>
      <c r="H95" s="62"/>
      <c r="I95" s="62"/>
      <c r="J95" s="62"/>
      <c r="K95" s="62"/>
      <c r="L95" s="62"/>
      <c r="M95" s="62"/>
      <c r="N95" s="62"/>
    </row>
    <row r="96" spans="2:21">
      <c r="B96" s="64">
        <v>83</v>
      </c>
      <c r="C96" s="397">
        <f t="shared" si="9"/>
        <v>0</v>
      </c>
      <c r="D96" s="398">
        <f t="shared" si="10"/>
        <v>0</v>
      </c>
      <c r="E96" s="398">
        <f t="shared" si="11"/>
        <v>0</v>
      </c>
      <c r="F96" s="398">
        <f t="shared" si="12"/>
        <v>0</v>
      </c>
      <c r="G96" s="62"/>
      <c r="H96" s="62"/>
      <c r="I96" s="62"/>
      <c r="J96" s="62"/>
      <c r="K96" s="62"/>
      <c r="L96" s="62"/>
      <c r="M96" s="62"/>
      <c r="N96" s="62"/>
    </row>
    <row r="97" spans="1:14">
      <c r="B97" s="64">
        <v>84</v>
      </c>
      <c r="C97" s="397">
        <f t="shared" si="9"/>
        <v>0</v>
      </c>
      <c r="D97" s="398">
        <f t="shared" si="10"/>
        <v>0</v>
      </c>
      <c r="E97" s="398">
        <f t="shared" si="11"/>
        <v>0</v>
      </c>
      <c r="F97" s="398">
        <f t="shared" si="12"/>
        <v>0</v>
      </c>
      <c r="G97" s="62"/>
      <c r="H97" s="62"/>
      <c r="I97" s="62"/>
      <c r="J97" s="62"/>
      <c r="K97" s="62"/>
      <c r="L97" s="62"/>
      <c r="M97" s="62"/>
      <c r="N97" s="62"/>
    </row>
    <row r="98" spans="1:14">
      <c r="B98" s="64">
        <v>85</v>
      </c>
      <c r="C98" s="397">
        <f t="shared" si="9"/>
        <v>0</v>
      </c>
      <c r="D98" s="398">
        <f t="shared" si="10"/>
        <v>0</v>
      </c>
      <c r="E98" s="398">
        <f t="shared" si="11"/>
        <v>0</v>
      </c>
      <c r="F98" s="398">
        <f t="shared" si="12"/>
        <v>0</v>
      </c>
      <c r="G98" s="62"/>
      <c r="H98" s="62"/>
      <c r="I98" s="62"/>
      <c r="J98" s="62"/>
      <c r="K98" s="62"/>
      <c r="L98" s="62"/>
      <c r="M98" s="62"/>
      <c r="N98" s="62"/>
    </row>
    <row r="99" spans="1:14">
      <c r="A99" s="78"/>
      <c r="B99" s="64">
        <v>86</v>
      </c>
      <c r="C99" s="397">
        <f t="shared" si="9"/>
        <v>0</v>
      </c>
      <c r="D99" s="398">
        <f t="shared" si="10"/>
        <v>0</v>
      </c>
      <c r="E99" s="398">
        <f t="shared" si="11"/>
        <v>0</v>
      </c>
      <c r="F99" s="398">
        <f t="shared" si="12"/>
        <v>0</v>
      </c>
    </row>
    <row r="100" spans="1:14">
      <c r="A100" s="62"/>
      <c r="B100" s="64">
        <v>87</v>
      </c>
      <c r="C100" s="397">
        <f t="shared" si="9"/>
        <v>0</v>
      </c>
      <c r="D100" s="398">
        <f t="shared" si="10"/>
        <v>0</v>
      </c>
      <c r="E100" s="398">
        <f t="shared" si="11"/>
        <v>0</v>
      </c>
      <c r="F100" s="398">
        <f t="shared" si="12"/>
        <v>0</v>
      </c>
    </row>
    <row r="101" spans="1:14">
      <c r="A101" s="62"/>
      <c r="B101" s="64">
        <v>88</v>
      </c>
      <c r="C101" s="397">
        <f t="shared" si="9"/>
        <v>0</v>
      </c>
      <c r="D101" s="398">
        <f t="shared" si="10"/>
        <v>0</v>
      </c>
      <c r="E101" s="398">
        <f t="shared" si="11"/>
        <v>0</v>
      </c>
      <c r="F101" s="398">
        <f t="shared" si="12"/>
        <v>0</v>
      </c>
    </row>
    <row r="102" spans="1:14">
      <c r="A102" s="62"/>
      <c r="B102" s="64">
        <v>89</v>
      </c>
      <c r="C102" s="397">
        <f t="shared" si="9"/>
        <v>0</v>
      </c>
      <c r="D102" s="398">
        <f t="shared" si="10"/>
        <v>0</v>
      </c>
      <c r="E102" s="398">
        <f t="shared" si="11"/>
        <v>0</v>
      </c>
      <c r="F102" s="398">
        <f t="shared" si="12"/>
        <v>0</v>
      </c>
    </row>
    <row r="103" spans="1:14">
      <c r="A103" s="62"/>
      <c r="B103" s="64">
        <v>90</v>
      </c>
      <c r="C103" s="397">
        <f t="shared" si="9"/>
        <v>0</v>
      </c>
      <c r="D103" s="398">
        <f t="shared" si="10"/>
        <v>0</v>
      </c>
      <c r="E103" s="398">
        <f t="shared" si="11"/>
        <v>0</v>
      </c>
      <c r="F103" s="398">
        <f t="shared" si="12"/>
        <v>0</v>
      </c>
    </row>
    <row r="104" spans="1:14">
      <c r="A104" s="62"/>
      <c r="B104" s="64">
        <v>91</v>
      </c>
      <c r="C104" s="397">
        <f t="shared" si="9"/>
        <v>0</v>
      </c>
      <c r="D104" s="398">
        <f t="shared" si="10"/>
        <v>0</v>
      </c>
      <c r="E104" s="398">
        <f t="shared" si="11"/>
        <v>0</v>
      </c>
      <c r="F104" s="398">
        <f t="shared" si="12"/>
        <v>0</v>
      </c>
    </row>
    <row r="105" spans="1:14">
      <c r="A105" s="62"/>
      <c r="B105" s="64">
        <v>92</v>
      </c>
      <c r="C105" s="397">
        <f t="shared" si="9"/>
        <v>0</v>
      </c>
      <c r="D105" s="398">
        <f t="shared" si="10"/>
        <v>0</v>
      </c>
      <c r="E105" s="398">
        <f t="shared" si="11"/>
        <v>0</v>
      </c>
      <c r="F105" s="398">
        <f t="shared" si="12"/>
        <v>0</v>
      </c>
    </row>
    <row r="106" spans="1:14">
      <c r="A106" s="62"/>
      <c r="B106" s="64">
        <v>93</v>
      </c>
      <c r="C106" s="397">
        <f t="shared" si="9"/>
        <v>0</v>
      </c>
      <c r="D106" s="398">
        <f t="shared" si="10"/>
        <v>0</v>
      </c>
      <c r="E106" s="398">
        <f t="shared" si="11"/>
        <v>0</v>
      </c>
      <c r="F106" s="398">
        <f t="shared" si="12"/>
        <v>0</v>
      </c>
    </row>
    <row r="107" spans="1:14">
      <c r="A107" s="62"/>
      <c r="B107" s="64">
        <v>94</v>
      </c>
      <c r="C107" s="397">
        <f t="shared" si="9"/>
        <v>0</v>
      </c>
      <c r="D107" s="398">
        <f t="shared" si="10"/>
        <v>0</v>
      </c>
      <c r="E107" s="398">
        <f t="shared" si="11"/>
        <v>0</v>
      </c>
      <c r="F107" s="398">
        <f t="shared" si="12"/>
        <v>0</v>
      </c>
    </row>
    <row r="108" spans="1:14">
      <c r="A108" s="62"/>
      <c r="B108" s="64">
        <v>95</v>
      </c>
      <c r="C108" s="397">
        <f t="shared" si="9"/>
        <v>0</v>
      </c>
      <c r="D108" s="398">
        <f t="shared" si="10"/>
        <v>0</v>
      </c>
      <c r="E108" s="398">
        <f t="shared" si="11"/>
        <v>0</v>
      </c>
      <c r="F108" s="398">
        <f t="shared" si="12"/>
        <v>0</v>
      </c>
    </row>
    <row r="109" spans="1:14">
      <c r="A109" s="62"/>
      <c r="B109" s="64">
        <v>96</v>
      </c>
      <c r="C109" s="397">
        <f t="shared" si="9"/>
        <v>0</v>
      </c>
      <c r="D109" s="398">
        <f t="shared" si="10"/>
        <v>0</v>
      </c>
      <c r="E109" s="398">
        <f t="shared" si="11"/>
        <v>0</v>
      </c>
      <c r="F109" s="398">
        <f t="shared" si="12"/>
        <v>0</v>
      </c>
    </row>
    <row r="110" spans="1:14">
      <c r="A110" s="62"/>
      <c r="B110" s="64">
        <v>97</v>
      </c>
      <c r="C110" s="397">
        <f t="shared" si="9"/>
        <v>0</v>
      </c>
      <c r="D110" s="398">
        <f t="shared" si="10"/>
        <v>0</v>
      </c>
      <c r="E110" s="398">
        <f t="shared" si="11"/>
        <v>0</v>
      </c>
      <c r="F110" s="398">
        <f t="shared" si="12"/>
        <v>0</v>
      </c>
    </row>
    <row r="111" spans="1:14">
      <c r="A111" s="62"/>
      <c r="B111" s="64">
        <v>98</v>
      </c>
      <c r="C111" s="397">
        <f t="shared" si="9"/>
        <v>0</v>
      </c>
      <c r="D111" s="398">
        <f t="shared" si="10"/>
        <v>0</v>
      </c>
      <c r="E111" s="398">
        <f t="shared" si="11"/>
        <v>0</v>
      </c>
      <c r="F111" s="398">
        <f t="shared" si="12"/>
        <v>0</v>
      </c>
    </row>
    <row r="112" spans="1:14">
      <c r="A112" s="62"/>
      <c r="B112" s="64">
        <v>99</v>
      </c>
      <c r="C112" s="397">
        <f t="shared" si="9"/>
        <v>0</v>
      </c>
      <c r="D112" s="398">
        <f t="shared" si="10"/>
        <v>0</v>
      </c>
      <c r="E112" s="398">
        <f t="shared" si="11"/>
        <v>0</v>
      </c>
      <c r="F112" s="398">
        <f t="shared" si="12"/>
        <v>0</v>
      </c>
    </row>
    <row r="113" spans="1:6">
      <c r="A113" s="62"/>
      <c r="B113" s="64">
        <v>100</v>
      </c>
      <c r="C113" s="397">
        <f t="shared" si="9"/>
        <v>0</v>
      </c>
      <c r="D113" s="398">
        <f t="shared" si="10"/>
        <v>0</v>
      </c>
      <c r="E113" s="398">
        <f t="shared" si="11"/>
        <v>0</v>
      </c>
      <c r="F113" s="398">
        <f t="shared" si="12"/>
        <v>0</v>
      </c>
    </row>
    <row r="114" spans="1:6">
      <c r="A114" s="62"/>
      <c r="B114" s="64">
        <v>101</v>
      </c>
      <c r="C114" s="397">
        <f t="shared" si="9"/>
        <v>0</v>
      </c>
      <c r="D114" s="398">
        <f t="shared" si="10"/>
        <v>0</v>
      </c>
      <c r="E114" s="398">
        <f t="shared" si="11"/>
        <v>0</v>
      </c>
      <c r="F114" s="398">
        <f t="shared" si="12"/>
        <v>0</v>
      </c>
    </row>
    <row r="115" spans="1:6">
      <c r="B115" s="64">
        <v>102</v>
      </c>
      <c r="C115" s="397">
        <f t="shared" si="9"/>
        <v>0</v>
      </c>
      <c r="D115" s="398">
        <f t="shared" si="10"/>
        <v>0</v>
      </c>
      <c r="E115" s="398">
        <f t="shared" si="11"/>
        <v>0</v>
      </c>
      <c r="F115" s="398">
        <f t="shared" si="12"/>
        <v>0</v>
      </c>
    </row>
    <row r="116" spans="1:6">
      <c r="B116" s="64">
        <v>103</v>
      </c>
      <c r="C116" s="397">
        <f t="shared" si="9"/>
        <v>0</v>
      </c>
      <c r="D116" s="398">
        <f t="shared" si="10"/>
        <v>0</v>
      </c>
      <c r="E116" s="398">
        <f t="shared" si="11"/>
        <v>0</v>
      </c>
      <c r="F116" s="398">
        <f t="shared" si="12"/>
        <v>0</v>
      </c>
    </row>
    <row r="117" spans="1:6">
      <c r="B117" s="64">
        <v>104</v>
      </c>
      <c r="C117" s="397">
        <f t="shared" si="9"/>
        <v>0</v>
      </c>
      <c r="D117" s="398">
        <f t="shared" si="10"/>
        <v>0</v>
      </c>
      <c r="E117" s="398">
        <f t="shared" si="11"/>
        <v>0</v>
      </c>
      <c r="F117" s="398">
        <f t="shared" si="12"/>
        <v>0</v>
      </c>
    </row>
    <row r="118" spans="1:6">
      <c r="B118" s="64">
        <v>105</v>
      </c>
      <c r="C118" s="397">
        <f t="shared" si="9"/>
        <v>0</v>
      </c>
      <c r="D118" s="398">
        <f t="shared" si="10"/>
        <v>0</v>
      </c>
      <c r="E118" s="398">
        <f t="shared" si="11"/>
        <v>0</v>
      </c>
      <c r="F118" s="398">
        <f t="shared" si="12"/>
        <v>0</v>
      </c>
    </row>
    <row r="119" spans="1:6">
      <c r="B119" s="64">
        <v>106</v>
      </c>
      <c r="C119" s="397">
        <f t="shared" si="9"/>
        <v>0</v>
      </c>
      <c r="D119" s="398">
        <f t="shared" si="10"/>
        <v>0</v>
      </c>
      <c r="E119" s="398">
        <f t="shared" si="11"/>
        <v>0</v>
      </c>
      <c r="F119" s="398">
        <f t="shared" si="12"/>
        <v>0</v>
      </c>
    </row>
    <row r="120" spans="1:6">
      <c r="B120" s="64">
        <v>107</v>
      </c>
      <c r="C120" s="397">
        <f t="shared" si="9"/>
        <v>0</v>
      </c>
      <c r="D120" s="398">
        <f t="shared" si="10"/>
        <v>0</v>
      </c>
      <c r="E120" s="398">
        <f t="shared" si="11"/>
        <v>0</v>
      </c>
      <c r="F120" s="398">
        <f t="shared" si="12"/>
        <v>0</v>
      </c>
    </row>
    <row r="121" spans="1:6">
      <c r="B121" s="64">
        <v>108</v>
      </c>
      <c r="C121" s="397">
        <f t="shared" si="9"/>
        <v>0</v>
      </c>
      <c r="D121" s="398">
        <f t="shared" si="10"/>
        <v>0</v>
      </c>
      <c r="E121" s="398">
        <f t="shared" si="11"/>
        <v>0</v>
      </c>
      <c r="F121" s="398">
        <f t="shared" si="12"/>
        <v>0</v>
      </c>
    </row>
    <row r="122" spans="1:6">
      <c r="B122" s="64">
        <v>109</v>
      </c>
      <c r="C122" s="397">
        <f t="shared" si="9"/>
        <v>0</v>
      </c>
      <c r="D122" s="398">
        <f t="shared" si="10"/>
        <v>0</v>
      </c>
      <c r="E122" s="398">
        <f t="shared" si="11"/>
        <v>0</v>
      </c>
      <c r="F122" s="398">
        <f t="shared" si="12"/>
        <v>0</v>
      </c>
    </row>
    <row r="123" spans="1:6">
      <c r="B123" s="64">
        <v>110</v>
      </c>
      <c r="C123" s="397">
        <f t="shared" si="9"/>
        <v>0</v>
      </c>
      <c r="D123" s="398">
        <f t="shared" si="10"/>
        <v>0</v>
      </c>
      <c r="E123" s="398">
        <f t="shared" si="11"/>
        <v>0</v>
      </c>
      <c r="F123" s="398">
        <f t="shared" si="12"/>
        <v>0</v>
      </c>
    </row>
    <row r="124" spans="1:6">
      <c r="B124" s="64">
        <v>111</v>
      </c>
      <c r="C124" s="397">
        <f t="shared" si="9"/>
        <v>0</v>
      </c>
      <c r="D124" s="398">
        <f t="shared" si="10"/>
        <v>0</v>
      </c>
      <c r="E124" s="398">
        <f t="shared" si="11"/>
        <v>0</v>
      </c>
      <c r="F124" s="398">
        <f t="shared" si="12"/>
        <v>0</v>
      </c>
    </row>
    <row r="125" spans="1:6">
      <c r="B125" s="64">
        <v>112</v>
      </c>
      <c r="C125" s="397">
        <f t="shared" si="9"/>
        <v>0</v>
      </c>
      <c r="D125" s="398">
        <f t="shared" si="10"/>
        <v>0</v>
      </c>
      <c r="E125" s="398">
        <f t="shared" si="11"/>
        <v>0</v>
      </c>
      <c r="F125" s="398">
        <f t="shared" si="12"/>
        <v>0</v>
      </c>
    </row>
    <row r="126" spans="1:6">
      <c r="B126" s="64">
        <v>113</v>
      </c>
      <c r="C126" s="397">
        <f t="shared" si="9"/>
        <v>0</v>
      </c>
      <c r="D126" s="398">
        <f t="shared" si="10"/>
        <v>0</v>
      </c>
      <c r="E126" s="398">
        <f t="shared" si="11"/>
        <v>0</v>
      </c>
      <c r="F126" s="398">
        <f t="shared" si="12"/>
        <v>0</v>
      </c>
    </row>
    <row r="127" spans="1:6">
      <c r="B127" s="64">
        <v>114</v>
      </c>
      <c r="C127" s="397">
        <f t="shared" si="9"/>
        <v>0</v>
      </c>
      <c r="D127" s="398">
        <f t="shared" si="10"/>
        <v>0</v>
      </c>
      <c r="E127" s="398">
        <f t="shared" si="11"/>
        <v>0</v>
      </c>
      <c r="F127" s="398">
        <f t="shared" si="12"/>
        <v>0</v>
      </c>
    </row>
    <row r="128" spans="1:6">
      <c r="B128" s="64">
        <v>115</v>
      </c>
      <c r="C128" s="397">
        <f t="shared" si="9"/>
        <v>0</v>
      </c>
      <c r="D128" s="398">
        <f t="shared" si="10"/>
        <v>0</v>
      </c>
      <c r="E128" s="398">
        <f t="shared" si="11"/>
        <v>0</v>
      </c>
      <c r="F128" s="398">
        <f t="shared" si="12"/>
        <v>0</v>
      </c>
    </row>
    <row r="129" spans="2:6">
      <c r="B129" s="64">
        <v>116</v>
      </c>
      <c r="C129" s="397">
        <f t="shared" si="9"/>
        <v>0</v>
      </c>
      <c r="D129" s="398">
        <f t="shared" si="10"/>
        <v>0</v>
      </c>
      <c r="E129" s="398">
        <f t="shared" si="11"/>
        <v>0</v>
      </c>
      <c r="F129" s="398">
        <f t="shared" si="12"/>
        <v>0</v>
      </c>
    </row>
    <row r="130" spans="2:6">
      <c r="B130" s="64">
        <v>117</v>
      </c>
      <c r="C130" s="397">
        <f t="shared" si="9"/>
        <v>0</v>
      </c>
      <c r="D130" s="398">
        <f t="shared" si="10"/>
        <v>0</v>
      </c>
      <c r="E130" s="398">
        <f t="shared" si="11"/>
        <v>0</v>
      </c>
      <c r="F130" s="398">
        <f t="shared" si="12"/>
        <v>0</v>
      </c>
    </row>
    <row r="131" spans="2:6">
      <c r="B131" s="64">
        <v>118</v>
      </c>
      <c r="C131" s="397">
        <f t="shared" si="9"/>
        <v>0</v>
      </c>
      <c r="D131" s="398">
        <f t="shared" si="10"/>
        <v>0</v>
      </c>
      <c r="E131" s="398">
        <f t="shared" si="11"/>
        <v>0</v>
      </c>
      <c r="F131" s="398">
        <f t="shared" si="12"/>
        <v>0</v>
      </c>
    </row>
    <row r="132" spans="2:6">
      <c r="B132" s="64">
        <v>119</v>
      </c>
      <c r="C132" s="397">
        <f t="shared" si="9"/>
        <v>0</v>
      </c>
      <c r="D132" s="398">
        <f t="shared" si="10"/>
        <v>0</v>
      </c>
      <c r="E132" s="398">
        <f t="shared" si="11"/>
        <v>0</v>
      </c>
      <c r="F132" s="398">
        <f t="shared" si="12"/>
        <v>0</v>
      </c>
    </row>
    <row r="133" spans="2:6">
      <c r="B133" s="64">
        <v>120</v>
      </c>
      <c r="C133" s="397">
        <f t="shared" si="9"/>
        <v>0</v>
      </c>
      <c r="D133" s="398">
        <f t="shared" si="10"/>
        <v>0</v>
      </c>
      <c r="E133" s="398">
        <f t="shared" si="11"/>
        <v>0</v>
      </c>
      <c r="F133" s="398">
        <f t="shared" si="12"/>
        <v>0</v>
      </c>
    </row>
    <row r="134" spans="2:6">
      <c r="B134" s="64">
        <v>121</v>
      </c>
      <c r="C134" s="397">
        <f t="shared" si="9"/>
        <v>0</v>
      </c>
      <c r="D134" s="398">
        <f t="shared" si="10"/>
        <v>0</v>
      </c>
      <c r="E134" s="398">
        <f t="shared" si="11"/>
        <v>0</v>
      </c>
      <c r="F134" s="398">
        <f t="shared" si="12"/>
        <v>0</v>
      </c>
    </row>
    <row r="135" spans="2:6">
      <c r="B135" s="64">
        <v>122</v>
      </c>
      <c r="C135" s="397">
        <f t="shared" si="9"/>
        <v>0</v>
      </c>
      <c r="D135" s="398">
        <f t="shared" si="10"/>
        <v>0</v>
      </c>
      <c r="E135" s="398">
        <f t="shared" si="11"/>
        <v>0</v>
      </c>
      <c r="F135" s="398">
        <f t="shared" si="12"/>
        <v>0</v>
      </c>
    </row>
    <row r="136" spans="2:6">
      <c r="B136" s="64">
        <v>123</v>
      </c>
      <c r="C136" s="397">
        <f t="shared" si="9"/>
        <v>0</v>
      </c>
      <c r="D136" s="398">
        <f t="shared" si="10"/>
        <v>0</v>
      </c>
      <c r="E136" s="398">
        <f t="shared" si="11"/>
        <v>0</v>
      </c>
      <c r="F136" s="398">
        <f t="shared" si="12"/>
        <v>0</v>
      </c>
    </row>
    <row r="137" spans="2:6">
      <c r="B137" s="64">
        <v>124</v>
      </c>
      <c r="C137" s="397">
        <f t="shared" si="9"/>
        <v>0</v>
      </c>
      <c r="D137" s="398">
        <f t="shared" si="10"/>
        <v>0</v>
      </c>
      <c r="E137" s="398">
        <f t="shared" si="11"/>
        <v>0</v>
      </c>
      <c r="F137" s="398">
        <f t="shared" si="12"/>
        <v>0</v>
      </c>
    </row>
    <row r="138" spans="2:6">
      <c r="B138" s="64">
        <v>125</v>
      </c>
      <c r="C138" s="397">
        <f t="shared" si="9"/>
        <v>0</v>
      </c>
      <c r="D138" s="398">
        <f t="shared" si="10"/>
        <v>0</v>
      </c>
      <c r="E138" s="398">
        <f t="shared" si="11"/>
        <v>0</v>
      </c>
      <c r="F138" s="398">
        <f t="shared" si="12"/>
        <v>0</v>
      </c>
    </row>
    <row r="139" spans="2:6">
      <c r="B139" s="64">
        <v>126</v>
      </c>
      <c r="C139" s="397">
        <f t="shared" si="9"/>
        <v>0</v>
      </c>
      <c r="D139" s="398">
        <f t="shared" si="10"/>
        <v>0</v>
      </c>
      <c r="E139" s="398">
        <f t="shared" si="11"/>
        <v>0</v>
      </c>
      <c r="F139" s="398">
        <f t="shared" si="12"/>
        <v>0</v>
      </c>
    </row>
    <row r="140" spans="2:6">
      <c r="B140" s="64">
        <v>127</v>
      </c>
      <c r="C140" s="397">
        <f t="shared" si="9"/>
        <v>0</v>
      </c>
      <c r="D140" s="398">
        <f t="shared" si="10"/>
        <v>0</v>
      </c>
      <c r="E140" s="398">
        <f t="shared" si="11"/>
        <v>0</v>
      </c>
      <c r="F140" s="398">
        <f t="shared" si="12"/>
        <v>0</v>
      </c>
    </row>
    <row r="141" spans="2:6">
      <c r="B141" s="64">
        <v>128</v>
      </c>
      <c r="C141" s="397">
        <f t="shared" si="9"/>
        <v>0</v>
      </c>
      <c r="D141" s="398">
        <f t="shared" si="10"/>
        <v>0</v>
      </c>
      <c r="E141" s="398">
        <f t="shared" si="11"/>
        <v>0</v>
      </c>
      <c r="F141" s="398">
        <f t="shared" si="12"/>
        <v>0</v>
      </c>
    </row>
    <row r="142" spans="2:6">
      <c r="B142" s="64">
        <v>129</v>
      </c>
      <c r="C142" s="397">
        <f t="shared" si="9"/>
        <v>0</v>
      </c>
      <c r="D142" s="398">
        <f t="shared" si="10"/>
        <v>0</v>
      </c>
      <c r="E142" s="398">
        <f t="shared" si="11"/>
        <v>0</v>
      </c>
      <c r="F142" s="398">
        <f t="shared" si="12"/>
        <v>0</v>
      </c>
    </row>
    <row r="143" spans="2:6">
      <c r="B143" s="64">
        <v>130</v>
      </c>
      <c r="C143" s="397">
        <f t="shared" ref="C143:C206" si="13">IF(F142&gt;$C$7,$C$7,F142+D143)</f>
        <v>0</v>
      </c>
      <c r="D143" s="398">
        <f t="shared" ref="D143:D206" si="14">+$C$5*F142/12</f>
        <v>0</v>
      </c>
      <c r="E143" s="398">
        <f t="shared" si="11"/>
        <v>0</v>
      </c>
      <c r="F143" s="398">
        <f t="shared" si="12"/>
        <v>0</v>
      </c>
    </row>
    <row r="144" spans="2:6">
      <c r="B144" s="64">
        <v>131</v>
      </c>
      <c r="C144" s="397">
        <f t="shared" si="13"/>
        <v>0</v>
      </c>
      <c r="D144" s="398">
        <f t="shared" si="14"/>
        <v>0</v>
      </c>
      <c r="E144" s="398">
        <f t="shared" ref="E144:E207" si="15">+C144-D144</f>
        <v>0</v>
      </c>
      <c r="F144" s="398">
        <f t="shared" ref="F144:F207" si="16">+F143-E144</f>
        <v>0</v>
      </c>
    </row>
    <row r="145" spans="2:6">
      <c r="B145" s="64">
        <v>132</v>
      </c>
      <c r="C145" s="397">
        <f t="shared" si="13"/>
        <v>0</v>
      </c>
      <c r="D145" s="398">
        <f t="shared" si="14"/>
        <v>0</v>
      </c>
      <c r="E145" s="398">
        <f t="shared" si="15"/>
        <v>0</v>
      </c>
      <c r="F145" s="398">
        <f t="shared" si="16"/>
        <v>0</v>
      </c>
    </row>
    <row r="146" spans="2:6">
      <c r="B146" s="64">
        <v>133</v>
      </c>
      <c r="C146" s="397">
        <f t="shared" si="13"/>
        <v>0</v>
      </c>
      <c r="D146" s="398">
        <f t="shared" si="14"/>
        <v>0</v>
      </c>
      <c r="E146" s="398">
        <f t="shared" si="15"/>
        <v>0</v>
      </c>
      <c r="F146" s="398">
        <f t="shared" si="16"/>
        <v>0</v>
      </c>
    </row>
    <row r="147" spans="2:6">
      <c r="B147" s="64">
        <v>134</v>
      </c>
      <c r="C147" s="397">
        <f t="shared" si="13"/>
        <v>0</v>
      </c>
      <c r="D147" s="398">
        <f t="shared" si="14"/>
        <v>0</v>
      </c>
      <c r="E147" s="398">
        <f t="shared" si="15"/>
        <v>0</v>
      </c>
      <c r="F147" s="398">
        <f t="shared" si="16"/>
        <v>0</v>
      </c>
    </row>
    <row r="148" spans="2:6">
      <c r="B148" s="64">
        <v>135</v>
      </c>
      <c r="C148" s="397">
        <f t="shared" si="13"/>
        <v>0</v>
      </c>
      <c r="D148" s="398">
        <f t="shared" si="14"/>
        <v>0</v>
      </c>
      <c r="E148" s="398">
        <f t="shared" si="15"/>
        <v>0</v>
      </c>
      <c r="F148" s="398">
        <f t="shared" si="16"/>
        <v>0</v>
      </c>
    </row>
    <row r="149" spans="2:6">
      <c r="B149" s="64">
        <v>136</v>
      </c>
      <c r="C149" s="397">
        <f t="shared" si="13"/>
        <v>0</v>
      </c>
      <c r="D149" s="398">
        <f t="shared" si="14"/>
        <v>0</v>
      </c>
      <c r="E149" s="398">
        <f t="shared" si="15"/>
        <v>0</v>
      </c>
      <c r="F149" s="398">
        <f t="shared" si="16"/>
        <v>0</v>
      </c>
    </row>
    <row r="150" spans="2:6">
      <c r="B150" s="64">
        <v>137</v>
      </c>
      <c r="C150" s="397">
        <f t="shared" si="13"/>
        <v>0</v>
      </c>
      <c r="D150" s="398">
        <f t="shared" si="14"/>
        <v>0</v>
      </c>
      <c r="E150" s="398">
        <f t="shared" si="15"/>
        <v>0</v>
      </c>
      <c r="F150" s="398">
        <f t="shared" si="16"/>
        <v>0</v>
      </c>
    </row>
    <row r="151" spans="2:6">
      <c r="B151" s="64">
        <v>138</v>
      </c>
      <c r="C151" s="397">
        <f t="shared" si="13"/>
        <v>0</v>
      </c>
      <c r="D151" s="398">
        <f t="shared" si="14"/>
        <v>0</v>
      </c>
      <c r="E151" s="398">
        <f t="shared" si="15"/>
        <v>0</v>
      </c>
      <c r="F151" s="398">
        <f t="shared" si="16"/>
        <v>0</v>
      </c>
    </row>
    <row r="152" spans="2:6">
      <c r="B152" s="64">
        <v>139</v>
      </c>
      <c r="C152" s="397">
        <f t="shared" si="13"/>
        <v>0</v>
      </c>
      <c r="D152" s="398">
        <f t="shared" si="14"/>
        <v>0</v>
      </c>
      <c r="E152" s="398">
        <f t="shared" si="15"/>
        <v>0</v>
      </c>
      <c r="F152" s="398">
        <f t="shared" si="16"/>
        <v>0</v>
      </c>
    </row>
    <row r="153" spans="2:6">
      <c r="B153" s="64">
        <v>140</v>
      </c>
      <c r="C153" s="397">
        <f t="shared" si="13"/>
        <v>0</v>
      </c>
      <c r="D153" s="398">
        <f t="shared" si="14"/>
        <v>0</v>
      </c>
      <c r="E153" s="398">
        <f t="shared" si="15"/>
        <v>0</v>
      </c>
      <c r="F153" s="398">
        <f t="shared" si="16"/>
        <v>0</v>
      </c>
    </row>
    <row r="154" spans="2:6">
      <c r="B154" s="64">
        <v>141</v>
      </c>
      <c r="C154" s="397">
        <f t="shared" si="13"/>
        <v>0</v>
      </c>
      <c r="D154" s="398">
        <f t="shared" si="14"/>
        <v>0</v>
      </c>
      <c r="E154" s="398">
        <f t="shared" si="15"/>
        <v>0</v>
      </c>
      <c r="F154" s="398">
        <f t="shared" si="16"/>
        <v>0</v>
      </c>
    </row>
    <row r="155" spans="2:6">
      <c r="B155" s="64">
        <v>142</v>
      </c>
      <c r="C155" s="397">
        <f t="shared" si="13"/>
        <v>0</v>
      </c>
      <c r="D155" s="398">
        <f t="shared" si="14"/>
        <v>0</v>
      </c>
      <c r="E155" s="398">
        <f t="shared" si="15"/>
        <v>0</v>
      </c>
      <c r="F155" s="398">
        <f t="shared" si="16"/>
        <v>0</v>
      </c>
    </row>
    <row r="156" spans="2:6">
      <c r="B156" s="64">
        <v>143</v>
      </c>
      <c r="C156" s="397">
        <f t="shared" si="13"/>
        <v>0</v>
      </c>
      <c r="D156" s="398">
        <f t="shared" si="14"/>
        <v>0</v>
      </c>
      <c r="E156" s="398">
        <f t="shared" si="15"/>
        <v>0</v>
      </c>
      <c r="F156" s="398">
        <f t="shared" si="16"/>
        <v>0</v>
      </c>
    </row>
    <row r="157" spans="2:6">
      <c r="B157" s="64">
        <v>144</v>
      </c>
      <c r="C157" s="397">
        <f t="shared" si="13"/>
        <v>0</v>
      </c>
      <c r="D157" s="398">
        <f t="shared" si="14"/>
        <v>0</v>
      </c>
      <c r="E157" s="398">
        <f t="shared" si="15"/>
        <v>0</v>
      </c>
      <c r="F157" s="398">
        <f t="shared" si="16"/>
        <v>0</v>
      </c>
    </row>
    <row r="158" spans="2:6">
      <c r="B158" s="64">
        <v>145</v>
      </c>
      <c r="C158" s="397">
        <f t="shared" si="13"/>
        <v>0</v>
      </c>
      <c r="D158" s="398">
        <f t="shared" si="14"/>
        <v>0</v>
      </c>
      <c r="E158" s="398">
        <f t="shared" si="15"/>
        <v>0</v>
      </c>
      <c r="F158" s="398">
        <f t="shared" si="16"/>
        <v>0</v>
      </c>
    </row>
    <row r="159" spans="2:6">
      <c r="B159" s="64">
        <v>146</v>
      </c>
      <c r="C159" s="397">
        <f t="shared" si="13"/>
        <v>0</v>
      </c>
      <c r="D159" s="398">
        <f t="shared" si="14"/>
        <v>0</v>
      </c>
      <c r="E159" s="398">
        <f t="shared" si="15"/>
        <v>0</v>
      </c>
      <c r="F159" s="398">
        <f t="shared" si="16"/>
        <v>0</v>
      </c>
    </row>
    <row r="160" spans="2:6">
      <c r="B160" s="64">
        <v>147</v>
      </c>
      <c r="C160" s="397">
        <f t="shared" si="13"/>
        <v>0</v>
      </c>
      <c r="D160" s="398">
        <f t="shared" si="14"/>
        <v>0</v>
      </c>
      <c r="E160" s="398">
        <f t="shared" si="15"/>
        <v>0</v>
      </c>
      <c r="F160" s="398">
        <f t="shared" si="16"/>
        <v>0</v>
      </c>
    </row>
    <row r="161" spans="2:6">
      <c r="B161" s="64">
        <v>148</v>
      </c>
      <c r="C161" s="397">
        <f t="shared" si="13"/>
        <v>0</v>
      </c>
      <c r="D161" s="398">
        <f t="shared" si="14"/>
        <v>0</v>
      </c>
      <c r="E161" s="398">
        <f t="shared" si="15"/>
        <v>0</v>
      </c>
      <c r="F161" s="398">
        <f t="shared" si="16"/>
        <v>0</v>
      </c>
    </row>
    <row r="162" spans="2:6">
      <c r="B162" s="64">
        <v>149</v>
      </c>
      <c r="C162" s="397">
        <f t="shared" si="13"/>
        <v>0</v>
      </c>
      <c r="D162" s="398">
        <f t="shared" si="14"/>
        <v>0</v>
      </c>
      <c r="E162" s="398">
        <f t="shared" si="15"/>
        <v>0</v>
      </c>
      <c r="F162" s="398">
        <f t="shared" si="16"/>
        <v>0</v>
      </c>
    </row>
    <row r="163" spans="2:6">
      <c r="B163" s="64">
        <v>150</v>
      </c>
      <c r="C163" s="397">
        <f t="shared" si="13"/>
        <v>0</v>
      </c>
      <c r="D163" s="398">
        <f t="shared" si="14"/>
        <v>0</v>
      </c>
      <c r="E163" s="398">
        <f t="shared" si="15"/>
        <v>0</v>
      </c>
      <c r="F163" s="398">
        <f t="shared" si="16"/>
        <v>0</v>
      </c>
    </row>
    <row r="164" spans="2:6">
      <c r="B164" s="64">
        <v>151</v>
      </c>
      <c r="C164" s="397">
        <f t="shared" si="13"/>
        <v>0</v>
      </c>
      <c r="D164" s="398">
        <f t="shared" si="14"/>
        <v>0</v>
      </c>
      <c r="E164" s="398">
        <f t="shared" si="15"/>
        <v>0</v>
      </c>
      <c r="F164" s="398">
        <f t="shared" si="16"/>
        <v>0</v>
      </c>
    </row>
    <row r="165" spans="2:6">
      <c r="B165" s="64">
        <v>152</v>
      </c>
      <c r="C165" s="397">
        <f t="shared" si="13"/>
        <v>0</v>
      </c>
      <c r="D165" s="398">
        <f t="shared" si="14"/>
        <v>0</v>
      </c>
      <c r="E165" s="398">
        <f t="shared" si="15"/>
        <v>0</v>
      </c>
      <c r="F165" s="398">
        <f t="shared" si="16"/>
        <v>0</v>
      </c>
    </row>
    <row r="166" spans="2:6">
      <c r="B166" s="64">
        <v>153</v>
      </c>
      <c r="C166" s="397">
        <f t="shared" si="13"/>
        <v>0</v>
      </c>
      <c r="D166" s="398">
        <f t="shared" si="14"/>
        <v>0</v>
      </c>
      <c r="E166" s="398">
        <f t="shared" si="15"/>
        <v>0</v>
      </c>
      <c r="F166" s="398">
        <f t="shared" si="16"/>
        <v>0</v>
      </c>
    </row>
    <row r="167" spans="2:6">
      <c r="B167" s="64">
        <v>154</v>
      </c>
      <c r="C167" s="397">
        <f t="shared" si="13"/>
        <v>0</v>
      </c>
      <c r="D167" s="398">
        <f t="shared" si="14"/>
        <v>0</v>
      </c>
      <c r="E167" s="398">
        <f t="shared" si="15"/>
        <v>0</v>
      </c>
      <c r="F167" s="398">
        <f t="shared" si="16"/>
        <v>0</v>
      </c>
    </row>
    <row r="168" spans="2:6">
      <c r="B168" s="64">
        <v>155</v>
      </c>
      <c r="C168" s="397">
        <f t="shared" si="13"/>
        <v>0</v>
      </c>
      <c r="D168" s="398">
        <f t="shared" si="14"/>
        <v>0</v>
      </c>
      <c r="E168" s="398">
        <f t="shared" si="15"/>
        <v>0</v>
      </c>
      <c r="F168" s="398">
        <f t="shared" si="16"/>
        <v>0</v>
      </c>
    </row>
    <row r="169" spans="2:6">
      <c r="B169" s="64">
        <v>156</v>
      </c>
      <c r="C169" s="397">
        <f t="shared" si="13"/>
        <v>0</v>
      </c>
      <c r="D169" s="398">
        <f t="shared" si="14"/>
        <v>0</v>
      </c>
      <c r="E169" s="398">
        <f t="shared" si="15"/>
        <v>0</v>
      </c>
      <c r="F169" s="398">
        <f t="shared" si="16"/>
        <v>0</v>
      </c>
    </row>
    <row r="170" spans="2:6">
      <c r="B170" s="64">
        <v>157</v>
      </c>
      <c r="C170" s="397">
        <f t="shared" si="13"/>
        <v>0</v>
      </c>
      <c r="D170" s="398">
        <f t="shared" si="14"/>
        <v>0</v>
      </c>
      <c r="E170" s="398">
        <f t="shared" si="15"/>
        <v>0</v>
      </c>
      <c r="F170" s="398">
        <f t="shared" si="16"/>
        <v>0</v>
      </c>
    </row>
    <row r="171" spans="2:6">
      <c r="B171" s="64">
        <v>158</v>
      </c>
      <c r="C171" s="397">
        <f t="shared" si="13"/>
        <v>0</v>
      </c>
      <c r="D171" s="398">
        <f t="shared" si="14"/>
        <v>0</v>
      </c>
      <c r="E171" s="398">
        <f t="shared" si="15"/>
        <v>0</v>
      </c>
      <c r="F171" s="398">
        <f t="shared" si="16"/>
        <v>0</v>
      </c>
    </row>
    <row r="172" spans="2:6">
      <c r="B172" s="64">
        <v>159</v>
      </c>
      <c r="C172" s="397">
        <f t="shared" si="13"/>
        <v>0</v>
      </c>
      <c r="D172" s="398">
        <f t="shared" si="14"/>
        <v>0</v>
      </c>
      <c r="E172" s="398">
        <f t="shared" si="15"/>
        <v>0</v>
      </c>
      <c r="F172" s="398">
        <f t="shared" si="16"/>
        <v>0</v>
      </c>
    </row>
    <row r="173" spans="2:6">
      <c r="B173" s="64">
        <v>160</v>
      </c>
      <c r="C173" s="397">
        <f t="shared" si="13"/>
        <v>0</v>
      </c>
      <c r="D173" s="398">
        <f t="shared" si="14"/>
        <v>0</v>
      </c>
      <c r="E173" s="398">
        <f t="shared" si="15"/>
        <v>0</v>
      </c>
      <c r="F173" s="398">
        <f t="shared" si="16"/>
        <v>0</v>
      </c>
    </row>
    <row r="174" spans="2:6">
      <c r="B174" s="64">
        <v>161</v>
      </c>
      <c r="C174" s="397">
        <f t="shared" si="13"/>
        <v>0</v>
      </c>
      <c r="D174" s="398">
        <f t="shared" si="14"/>
        <v>0</v>
      </c>
      <c r="E174" s="398">
        <f t="shared" si="15"/>
        <v>0</v>
      </c>
      <c r="F174" s="398">
        <f t="shared" si="16"/>
        <v>0</v>
      </c>
    </row>
    <row r="175" spans="2:6">
      <c r="B175" s="64">
        <v>162</v>
      </c>
      <c r="C175" s="397">
        <f t="shared" si="13"/>
        <v>0</v>
      </c>
      <c r="D175" s="398">
        <f t="shared" si="14"/>
        <v>0</v>
      </c>
      <c r="E175" s="398">
        <f t="shared" si="15"/>
        <v>0</v>
      </c>
      <c r="F175" s="398">
        <f t="shared" si="16"/>
        <v>0</v>
      </c>
    </row>
    <row r="176" spans="2:6">
      <c r="B176" s="64">
        <v>163</v>
      </c>
      <c r="C176" s="397">
        <f t="shared" si="13"/>
        <v>0</v>
      </c>
      <c r="D176" s="398">
        <f t="shared" si="14"/>
        <v>0</v>
      </c>
      <c r="E176" s="398">
        <f t="shared" si="15"/>
        <v>0</v>
      </c>
      <c r="F176" s="398">
        <f t="shared" si="16"/>
        <v>0</v>
      </c>
    </row>
    <row r="177" spans="2:6">
      <c r="B177" s="64">
        <v>164</v>
      </c>
      <c r="C177" s="397">
        <f t="shared" si="13"/>
        <v>0</v>
      </c>
      <c r="D177" s="398">
        <f t="shared" si="14"/>
        <v>0</v>
      </c>
      <c r="E177" s="398">
        <f t="shared" si="15"/>
        <v>0</v>
      </c>
      <c r="F177" s="398">
        <f t="shared" si="16"/>
        <v>0</v>
      </c>
    </row>
    <row r="178" spans="2:6">
      <c r="B178" s="64">
        <v>165</v>
      </c>
      <c r="C178" s="397">
        <f t="shared" si="13"/>
        <v>0</v>
      </c>
      <c r="D178" s="398">
        <f t="shared" si="14"/>
        <v>0</v>
      </c>
      <c r="E178" s="398">
        <f t="shared" si="15"/>
        <v>0</v>
      </c>
      <c r="F178" s="398">
        <f t="shared" si="16"/>
        <v>0</v>
      </c>
    </row>
    <row r="179" spans="2:6">
      <c r="B179" s="64">
        <v>166</v>
      </c>
      <c r="C179" s="397">
        <f t="shared" si="13"/>
        <v>0</v>
      </c>
      <c r="D179" s="398">
        <f t="shared" si="14"/>
        <v>0</v>
      </c>
      <c r="E179" s="398">
        <f t="shared" si="15"/>
        <v>0</v>
      </c>
      <c r="F179" s="398">
        <f t="shared" si="16"/>
        <v>0</v>
      </c>
    </row>
    <row r="180" spans="2:6">
      <c r="B180" s="64">
        <v>167</v>
      </c>
      <c r="C180" s="397">
        <f t="shared" si="13"/>
        <v>0</v>
      </c>
      <c r="D180" s="398">
        <f t="shared" si="14"/>
        <v>0</v>
      </c>
      <c r="E180" s="398">
        <f t="shared" si="15"/>
        <v>0</v>
      </c>
      <c r="F180" s="398">
        <f t="shared" si="16"/>
        <v>0</v>
      </c>
    </row>
    <row r="181" spans="2:6">
      <c r="B181" s="64">
        <v>168</v>
      </c>
      <c r="C181" s="397">
        <f t="shared" si="13"/>
        <v>0</v>
      </c>
      <c r="D181" s="398">
        <f t="shared" si="14"/>
        <v>0</v>
      </c>
      <c r="E181" s="398">
        <f t="shared" si="15"/>
        <v>0</v>
      </c>
      <c r="F181" s="398">
        <f t="shared" si="16"/>
        <v>0</v>
      </c>
    </row>
    <row r="182" spans="2:6">
      <c r="B182" s="64">
        <v>169</v>
      </c>
      <c r="C182" s="397">
        <f t="shared" si="13"/>
        <v>0</v>
      </c>
      <c r="D182" s="398">
        <f t="shared" si="14"/>
        <v>0</v>
      </c>
      <c r="E182" s="398">
        <f t="shared" si="15"/>
        <v>0</v>
      </c>
      <c r="F182" s="398">
        <f t="shared" si="16"/>
        <v>0</v>
      </c>
    </row>
    <row r="183" spans="2:6">
      <c r="B183" s="64">
        <v>170</v>
      </c>
      <c r="C183" s="397">
        <f t="shared" si="13"/>
        <v>0</v>
      </c>
      <c r="D183" s="398">
        <f t="shared" si="14"/>
        <v>0</v>
      </c>
      <c r="E183" s="398">
        <f t="shared" si="15"/>
        <v>0</v>
      </c>
      <c r="F183" s="398">
        <f t="shared" si="16"/>
        <v>0</v>
      </c>
    </row>
    <row r="184" spans="2:6">
      <c r="B184" s="64">
        <v>171</v>
      </c>
      <c r="C184" s="397">
        <f t="shared" si="13"/>
        <v>0</v>
      </c>
      <c r="D184" s="398">
        <f t="shared" si="14"/>
        <v>0</v>
      </c>
      <c r="E184" s="398">
        <f t="shared" si="15"/>
        <v>0</v>
      </c>
      <c r="F184" s="398">
        <f t="shared" si="16"/>
        <v>0</v>
      </c>
    </row>
    <row r="185" spans="2:6">
      <c r="B185" s="64">
        <v>172</v>
      </c>
      <c r="C185" s="397">
        <f t="shared" si="13"/>
        <v>0</v>
      </c>
      <c r="D185" s="398">
        <f t="shared" si="14"/>
        <v>0</v>
      </c>
      <c r="E185" s="398">
        <f t="shared" si="15"/>
        <v>0</v>
      </c>
      <c r="F185" s="398">
        <f t="shared" si="16"/>
        <v>0</v>
      </c>
    </row>
    <row r="186" spans="2:6">
      <c r="B186" s="64">
        <v>173</v>
      </c>
      <c r="C186" s="397">
        <f t="shared" si="13"/>
        <v>0</v>
      </c>
      <c r="D186" s="398">
        <f t="shared" si="14"/>
        <v>0</v>
      </c>
      <c r="E186" s="398">
        <f t="shared" si="15"/>
        <v>0</v>
      </c>
      <c r="F186" s="398">
        <f t="shared" si="16"/>
        <v>0</v>
      </c>
    </row>
    <row r="187" spans="2:6">
      <c r="B187" s="64">
        <v>174</v>
      </c>
      <c r="C187" s="397">
        <f t="shared" si="13"/>
        <v>0</v>
      </c>
      <c r="D187" s="398">
        <f t="shared" si="14"/>
        <v>0</v>
      </c>
      <c r="E187" s="398">
        <f t="shared" si="15"/>
        <v>0</v>
      </c>
      <c r="F187" s="398">
        <f t="shared" si="16"/>
        <v>0</v>
      </c>
    </row>
    <row r="188" spans="2:6">
      <c r="B188" s="64">
        <v>175</v>
      </c>
      <c r="C188" s="397">
        <f t="shared" si="13"/>
        <v>0</v>
      </c>
      <c r="D188" s="398">
        <f t="shared" si="14"/>
        <v>0</v>
      </c>
      <c r="E188" s="398">
        <f t="shared" si="15"/>
        <v>0</v>
      </c>
      <c r="F188" s="398">
        <f t="shared" si="16"/>
        <v>0</v>
      </c>
    </row>
    <row r="189" spans="2:6">
      <c r="B189" s="64">
        <v>176</v>
      </c>
      <c r="C189" s="397">
        <f t="shared" si="13"/>
        <v>0</v>
      </c>
      <c r="D189" s="398">
        <f t="shared" si="14"/>
        <v>0</v>
      </c>
      <c r="E189" s="398">
        <f t="shared" si="15"/>
        <v>0</v>
      </c>
      <c r="F189" s="398">
        <f t="shared" si="16"/>
        <v>0</v>
      </c>
    </row>
    <row r="190" spans="2:6">
      <c r="B190" s="64">
        <v>177</v>
      </c>
      <c r="C190" s="397">
        <f t="shared" si="13"/>
        <v>0</v>
      </c>
      <c r="D190" s="398">
        <f t="shared" si="14"/>
        <v>0</v>
      </c>
      <c r="E190" s="398">
        <f t="shared" si="15"/>
        <v>0</v>
      </c>
      <c r="F190" s="398">
        <f t="shared" si="16"/>
        <v>0</v>
      </c>
    </row>
    <row r="191" spans="2:6">
      <c r="B191" s="64">
        <v>178</v>
      </c>
      <c r="C191" s="397">
        <f t="shared" si="13"/>
        <v>0</v>
      </c>
      <c r="D191" s="398">
        <f t="shared" si="14"/>
        <v>0</v>
      </c>
      <c r="E191" s="398">
        <f t="shared" si="15"/>
        <v>0</v>
      </c>
      <c r="F191" s="398">
        <f t="shared" si="16"/>
        <v>0</v>
      </c>
    </row>
    <row r="192" spans="2:6">
      <c r="B192" s="64">
        <v>179</v>
      </c>
      <c r="C192" s="397">
        <f t="shared" si="13"/>
        <v>0</v>
      </c>
      <c r="D192" s="398">
        <f t="shared" si="14"/>
        <v>0</v>
      </c>
      <c r="E192" s="398">
        <f t="shared" si="15"/>
        <v>0</v>
      </c>
      <c r="F192" s="398">
        <f t="shared" si="16"/>
        <v>0</v>
      </c>
    </row>
    <row r="193" spans="2:6">
      <c r="B193" s="64">
        <v>180</v>
      </c>
      <c r="C193" s="397">
        <f t="shared" si="13"/>
        <v>0</v>
      </c>
      <c r="D193" s="398">
        <f t="shared" si="14"/>
        <v>0</v>
      </c>
      <c r="E193" s="398">
        <f t="shared" si="15"/>
        <v>0</v>
      </c>
      <c r="F193" s="398">
        <f t="shared" si="16"/>
        <v>0</v>
      </c>
    </row>
    <row r="194" spans="2:6">
      <c r="B194" s="64">
        <v>181</v>
      </c>
      <c r="C194" s="397">
        <f t="shared" si="13"/>
        <v>0</v>
      </c>
      <c r="D194" s="398">
        <f t="shared" si="14"/>
        <v>0</v>
      </c>
      <c r="E194" s="398">
        <f t="shared" si="15"/>
        <v>0</v>
      </c>
      <c r="F194" s="398">
        <f t="shared" si="16"/>
        <v>0</v>
      </c>
    </row>
    <row r="195" spans="2:6">
      <c r="B195" s="64">
        <v>182</v>
      </c>
      <c r="C195" s="397">
        <f t="shared" si="13"/>
        <v>0</v>
      </c>
      <c r="D195" s="398">
        <f t="shared" si="14"/>
        <v>0</v>
      </c>
      <c r="E195" s="398">
        <f t="shared" si="15"/>
        <v>0</v>
      </c>
      <c r="F195" s="398">
        <f t="shared" si="16"/>
        <v>0</v>
      </c>
    </row>
    <row r="196" spans="2:6">
      <c r="B196" s="64">
        <v>183</v>
      </c>
      <c r="C196" s="397">
        <f t="shared" si="13"/>
        <v>0</v>
      </c>
      <c r="D196" s="398">
        <f t="shared" si="14"/>
        <v>0</v>
      </c>
      <c r="E196" s="398">
        <f t="shared" si="15"/>
        <v>0</v>
      </c>
      <c r="F196" s="398">
        <f t="shared" si="16"/>
        <v>0</v>
      </c>
    </row>
    <row r="197" spans="2:6">
      <c r="B197" s="64">
        <v>184</v>
      </c>
      <c r="C197" s="397">
        <f t="shared" si="13"/>
        <v>0</v>
      </c>
      <c r="D197" s="398">
        <f t="shared" si="14"/>
        <v>0</v>
      </c>
      <c r="E197" s="398">
        <f t="shared" si="15"/>
        <v>0</v>
      </c>
      <c r="F197" s="398">
        <f t="shared" si="16"/>
        <v>0</v>
      </c>
    </row>
    <row r="198" spans="2:6">
      <c r="B198" s="64">
        <v>185</v>
      </c>
      <c r="C198" s="397">
        <f t="shared" si="13"/>
        <v>0</v>
      </c>
      <c r="D198" s="398">
        <f t="shared" si="14"/>
        <v>0</v>
      </c>
      <c r="E198" s="398">
        <f t="shared" si="15"/>
        <v>0</v>
      </c>
      <c r="F198" s="398">
        <f t="shared" si="16"/>
        <v>0</v>
      </c>
    </row>
    <row r="199" spans="2:6">
      <c r="B199" s="64">
        <v>186</v>
      </c>
      <c r="C199" s="397">
        <f t="shared" si="13"/>
        <v>0</v>
      </c>
      <c r="D199" s="398">
        <f t="shared" si="14"/>
        <v>0</v>
      </c>
      <c r="E199" s="398">
        <f t="shared" si="15"/>
        <v>0</v>
      </c>
      <c r="F199" s="398">
        <f t="shared" si="16"/>
        <v>0</v>
      </c>
    </row>
    <row r="200" spans="2:6">
      <c r="B200" s="64">
        <v>187</v>
      </c>
      <c r="C200" s="397">
        <f t="shared" si="13"/>
        <v>0</v>
      </c>
      <c r="D200" s="398">
        <f t="shared" si="14"/>
        <v>0</v>
      </c>
      <c r="E200" s="398">
        <f t="shared" si="15"/>
        <v>0</v>
      </c>
      <c r="F200" s="398">
        <f t="shared" si="16"/>
        <v>0</v>
      </c>
    </row>
    <row r="201" spans="2:6">
      <c r="B201" s="64">
        <v>188</v>
      </c>
      <c r="C201" s="397">
        <f t="shared" si="13"/>
        <v>0</v>
      </c>
      <c r="D201" s="398">
        <f t="shared" si="14"/>
        <v>0</v>
      </c>
      <c r="E201" s="398">
        <f t="shared" si="15"/>
        <v>0</v>
      </c>
      <c r="F201" s="398">
        <f t="shared" si="16"/>
        <v>0</v>
      </c>
    </row>
    <row r="202" spans="2:6">
      <c r="B202" s="64">
        <v>189</v>
      </c>
      <c r="C202" s="397">
        <f t="shared" si="13"/>
        <v>0</v>
      </c>
      <c r="D202" s="398">
        <f t="shared" si="14"/>
        <v>0</v>
      </c>
      <c r="E202" s="398">
        <f t="shared" si="15"/>
        <v>0</v>
      </c>
      <c r="F202" s="398">
        <f t="shared" si="16"/>
        <v>0</v>
      </c>
    </row>
    <row r="203" spans="2:6">
      <c r="B203" s="64">
        <v>190</v>
      </c>
      <c r="C203" s="397">
        <f t="shared" si="13"/>
        <v>0</v>
      </c>
      <c r="D203" s="398">
        <f t="shared" si="14"/>
        <v>0</v>
      </c>
      <c r="E203" s="398">
        <f t="shared" si="15"/>
        <v>0</v>
      </c>
      <c r="F203" s="398">
        <f t="shared" si="16"/>
        <v>0</v>
      </c>
    </row>
    <row r="204" spans="2:6">
      <c r="B204" s="64">
        <v>191</v>
      </c>
      <c r="C204" s="397">
        <f t="shared" si="13"/>
        <v>0</v>
      </c>
      <c r="D204" s="398">
        <f t="shared" si="14"/>
        <v>0</v>
      </c>
      <c r="E204" s="398">
        <f t="shared" si="15"/>
        <v>0</v>
      </c>
      <c r="F204" s="398">
        <f t="shared" si="16"/>
        <v>0</v>
      </c>
    </row>
    <row r="205" spans="2:6">
      <c r="B205" s="64">
        <v>192</v>
      </c>
      <c r="C205" s="397">
        <f t="shared" si="13"/>
        <v>0</v>
      </c>
      <c r="D205" s="398">
        <f t="shared" si="14"/>
        <v>0</v>
      </c>
      <c r="E205" s="398">
        <f t="shared" si="15"/>
        <v>0</v>
      </c>
      <c r="F205" s="398">
        <f t="shared" si="16"/>
        <v>0</v>
      </c>
    </row>
    <row r="206" spans="2:6">
      <c r="B206" s="64">
        <v>193</v>
      </c>
      <c r="C206" s="397">
        <f t="shared" si="13"/>
        <v>0</v>
      </c>
      <c r="D206" s="398">
        <f t="shared" si="14"/>
        <v>0</v>
      </c>
      <c r="E206" s="398">
        <f t="shared" si="15"/>
        <v>0</v>
      </c>
      <c r="F206" s="398">
        <f t="shared" si="16"/>
        <v>0</v>
      </c>
    </row>
    <row r="207" spans="2:6">
      <c r="B207" s="64">
        <v>194</v>
      </c>
      <c r="C207" s="397">
        <f t="shared" ref="C207:C270" si="17">IF(F206&gt;$C$7,$C$7,F206+D207)</f>
        <v>0</v>
      </c>
      <c r="D207" s="398">
        <f t="shared" ref="D207:D270" si="18">+$C$5*F206/12</f>
        <v>0</v>
      </c>
      <c r="E207" s="398">
        <f t="shared" si="15"/>
        <v>0</v>
      </c>
      <c r="F207" s="398">
        <f t="shared" si="16"/>
        <v>0</v>
      </c>
    </row>
    <row r="208" spans="2:6">
      <c r="B208" s="64">
        <v>195</v>
      </c>
      <c r="C208" s="397">
        <f t="shared" si="17"/>
        <v>0</v>
      </c>
      <c r="D208" s="398">
        <f t="shared" si="18"/>
        <v>0</v>
      </c>
      <c r="E208" s="398">
        <f t="shared" ref="E208:E271" si="19">+C208-D208</f>
        <v>0</v>
      </c>
      <c r="F208" s="398">
        <f t="shared" ref="F208:F271" si="20">+F207-E208</f>
        <v>0</v>
      </c>
    </row>
    <row r="209" spans="2:6">
      <c r="B209" s="64">
        <v>196</v>
      </c>
      <c r="C209" s="397">
        <f t="shared" si="17"/>
        <v>0</v>
      </c>
      <c r="D209" s="398">
        <f t="shared" si="18"/>
        <v>0</v>
      </c>
      <c r="E209" s="398">
        <f t="shared" si="19"/>
        <v>0</v>
      </c>
      <c r="F209" s="398">
        <f t="shared" si="20"/>
        <v>0</v>
      </c>
    </row>
    <row r="210" spans="2:6">
      <c r="B210" s="64">
        <v>197</v>
      </c>
      <c r="C210" s="397">
        <f t="shared" si="17"/>
        <v>0</v>
      </c>
      <c r="D210" s="398">
        <f t="shared" si="18"/>
        <v>0</v>
      </c>
      <c r="E210" s="398">
        <f t="shared" si="19"/>
        <v>0</v>
      </c>
      <c r="F210" s="398">
        <f t="shared" si="20"/>
        <v>0</v>
      </c>
    </row>
    <row r="211" spans="2:6">
      <c r="B211" s="64">
        <v>198</v>
      </c>
      <c r="C211" s="397">
        <f t="shared" si="17"/>
        <v>0</v>
      </c>
      <c r="D211" s="398">
        <f t="shared" si="18"/>
        <v>0</v>
      </c>
      <c r="E211" s="398">
        <f t="shared" si="19"/>
        <v>0</v>
      </c>
      <c r="F211" s="398">
        <f t="shared" si="20"/>
        <v>0</v>
      </c>
    </row>
    <row r="212" spans="2:6">
      <c r="B212" s="64">
        <v>199</v>
      </c>
      <c r="C212" s="397">
        <f t="shared" si="17"/>
        <v>0</v>
      </c>
      <c r="D212" s="398">
        <f t="shared" si="18"/>
        <v>0</v>
      </c>
      <c r="E212" s="398">
        <f t="shared" si="19"/>
        <v>0</v>
      </c>
      <c r="F212" s="398">
        <f t="shared" si="20"/>
        <v>0</v>
      </c>
    </row>
    <row r="213" spans="2:6">
      <c r="B213" s="64">
        <v>200</v>
      </c>
      <c r="C213" s="397">
        <f t="shared" si="17"/>
        <v>0</v>
      </c>
      <c r="D213" s="398">
        <f t="shared" si="18"/>
        <v>0</v>
      </c>
      <c r="E213" s="398">
        <f t="shared" si="19"/>
        <v>0</v>
      </c>
      <c r="F213" s="398">
        <f t="shared" si="20"/>
        <v>0</v>
      </c>
    </row>
    <row r="214" spans="2:6">
      <c r="B214" s="64">
        <v>201</v>
      </c>
      <c r="C214" s="397">
        <f t="shared" si="17"/>
        <v>0</v>
      </c>
      <c r="D214" s="398">
        <f t="shared" si="18"/>
        <v>0</v>
      </c>
      <c r="E214" s="398">
        <f t="shared" si="19"/>
        <v>0</v>
      </c>
      <c r="F214" s="398">
        <f t="shared" si="20"/>
        <v>0</v>
      </c>
    </row>
    <row r="215" spans="2:6">
      <c r="B215" s="64">
        <v>202</v>
      </c>
      <c r="C215" s="397">
        <f t="shared" si="17"/>
        <v>0</v>
      </c>
      <c r="D215" s="398">
        <f t="shared" si="18"/>
        <v>0</v>
      </c>
      <c r="E215" s="398">
        <f t="shared" si="19"/>
        <v>0</v>
      </c>
      <c r="F215" s="398">
        <f t="shared" si="20"/>
        <v>0</v>
      </c>
    </row>
    <row r="216" spans="2:6">
      <c r="B216" s="64">
        <v>203</v>
      </c>
      <c r="C216" s="397">
        <f t="shared" si="17"/>
        <v>0</v>
      </c>
      <c r="D216" s="398">
        <f t="shared" si="18"/>
        <v>0</v>
      </c>
      <c r="E216" s="398">
        <f t="shared" si="19"/>
        <v>0</v>
      </c>
      <c r="F216" s="398">
        <f t="shared" si="20"/>
        <v>0</v>
      </c>
    </row>
    <row r="217" spans="2:6">
      <c r="B217" s="64">
        <v>204</v>
      </c>
      <c r="C217" s="397">
        <f t="shared" si="17"/>
        <v>0</v>
      </c>
      <c r="D217" s="398">
        <f t="shared" si="18"/>
        <v>0</v>
      </c>
      <c r="E217" s="398">
        <f t="shared" si="19"/>
        <v>0</v>
      </c>
      <c r="F217" s="398">
        <f t="shared" si="20"/>
        <v>0</v>
      </c>
    </row>
    <row r="218" spans="2:6">
      <c r="B218" s="64">
        <v>205</v>
      </c>
      <c r="C218" s="397">
        <f t="shared" si="17"/>
        <v>0</v>
      </c>
      <c r="D218" s="398">
        <f t="shared" si="18"/>
        <v>0</v>
      </c>
      <c r="E218" s="398">
        <f t="shared" si="19"/>
        <v>0</v>
      </c>
      <c r="F218" s="398">
        <f t="shared" si="20"/>
        <v>0</v>
      </c>
    </row>
    <row r="219" spans="2:6">
      <c r="B219" s="64">
        <v>206</v>
      </c>
      <c r="C219" s="397">
        <f t="shared" si="17"/>
        <v>0</v>
      </c>
      <c r="D219" s="398">
        <f t="shared" si="18"/>
        <v>0</v>
      </c>
      <c r="E219" s="398">
        <f t="shared" si="19"/>
        <v>0</v>
      </c>
      <c r="F219" s="398">
        <f t="shared" si="20"/>
        <v>0</v>
      </c>
    </row>
    <row r="220" spans="2:6">
      <c r="B220" s="64">
        <v>207</v>
      </c>
      <c r="C220" s="397">
        <f t="shared" si="17"/>
        <v>0</v>
      </c>
      <c r="D220" s="398">
        <f t="shared" si="18"/>
        <v>0</v>
      </c>
      <c r="E220" s="398">
        <f t="shared" si="19"/>
        <v>0</v>
      </c>
      <c r="F220" s="398">
        <f t="shared" si="20"/>
        <v>0</v>
      </c>
    </row>
    <row r="221" spans="2:6">
      <c r="B221" s="64">
        <v>208</v>
      </c>
      <c r="C221" s="397">
        <f t="shared" si="17"/>
        <v>0</v>
      </c>
      <c r="D221" s="398">
        <f t="shared" si="18"/>
        <v>0</v>
      </c>
      <c r="E221" s="398">
        <f t="shared" si="19"/>
        <v>0</v>
      </c>
      <c r="F221" s="398">
        <f t="shared" si="20"/>
        <v>0</v>
      </c>
    </row>
    <row r="222" spans="2:6">
      <c r="B222" s="64">
        <v>209</v>
      </c>
      <c r="C222" s="397">
        <f t="shared" si="17"/>
        <v>0</v>
      </c>
      <c r="D222" s="398">
        <f t="shared" si="18"/>
        <v>0</v>
      </c>
      <c r="E222" s="398">
        <f t="shared" si="19"/>
        <v>0</v>
      </c>
      <c r="F222" s="398">
        <f t="shared" si="20"/>
        <v>0</v>
      </c>
    </row>
    <row r="223" spans="2:6">
      <c r="B223" s="64">
        <v>210</v>
      </c>
      <c r="C223" s="397">
        <f t="shared" si="17"/>
        <v>0</v>
      </c>
      <c r="D223" s="398">
        <f t="shared" si="18"/>
        <v>0</v>
      </c>
      <c r="E223" s="398">
        <f t="shared" si="19"/>
        <v>0</v>
      </c>
      <c r="F223" s="398">
        <f t="shared" si="20"/>
        <v>0</v>
      </c>
    </row>
    <row r="224" spans="2:6">
      <c r="B224" s="64">
        <v>211</v>
      </c>
      <c r="C224" s="397">
        <f t="shared" si="17"/>
        <v>0</v>
      </c>
      <c r="D224" s="398">
        <f t="shared" si="18"/>
        <v>0</v>
      </c>
      <c r="E224" s="398">
        <f t="shared" si="19"/>
        <v>0</v>
      </c>
      <c r="F224" s="398">
        <f t="shared" si="20"/>
        <v>0</v>
      </c>
    </row>
    <row r="225" spans="2:6">
      <c r="B225" s="64">
        <v>212</v>
      </c>
      <c r="C225" s="397">
        <f t="shared" si="17"/>
        <v>0</v>
      </c>
      <c r="D225" s="398">
        <f t="shared" si="18"/>
        <v>0</v>
      </c>
      <c r="E225" s="398">
        <f t="shared" si="19"/>
        <v>0</v>
      </c>
      <c r="F225" s="398">
        <f t="shared" si="20"/>
        <v>0</v>
      </c>
    </row>
    <row r="226" spans="2:6">
      <c r="B226" s="64">
        <v>213</v>
      </c>
      <c r="C226" s="397">
        <f t="shared" si="17"/>
        <v>0</v>
      </c>
      <c r="D226" s="398">
        <f t="shared" si="18"/>
        <v>0</v>
      </c>
      <c r="E226" s="398">
        <f t="shared" si="19"/>
        <v>0</v>
      </c>
      <c r="F226" s="398">
        <f t="shared" si="20"/>
        <v>0</v>
      </c>
    </row>
    <row r="227" spans="2:6">
      <c r="B227" s="64">
        <v>214</v>
      </c>
      <c r="C227" s="397">
        <f t="shared" si="17"/>
        <v>0</v>
      </c>
      <c r="D227" s="398">
        <f t="shared" si="18"/>
        <v>0</v>
      </c>
      <c r="E227" s="398">
        <f t="shared" si="19"/>
        <v>0</v>
      </c>
      <c r="F227" s="398">
        <f t="shared" si="20"/>
        <v>0</v>
      </c>
    </row>
    <row r="228" spans="2:6">
      <c r="B228" s="64">
        <v>215</v>
      </c>
      <c r="C228" s="397">
        <f t="shared" si="17"/>
        <v>0</v>
      </c>
      <c r="D228" s="398">
        <f t="shared" si="18"/>
        <v>0</v>
      </c>
      <c r="E228" s="398">
        <f t="shared" si="19"/>
        <v>0</v>
      </c>
      <c r="F228" s="398">
        <f t="shared" si="20"/>
        <v>0</v>
      </c>
    </row>
    <row r="229" spans="2:6">
      <c r="B229" s="64">
        <v>216</v>
      </c>
      <c r="C229" s="397">
        <f t="shared" si="17"/>
        <v>0</v>
      </c>
      <c r="D229" s="398">
        <f t="shared" si="18"/>
        <v>0</v>
      </c>
      <c r="E229" s="398">
        <f t="shared" si="19"/>
        <v>0</v>
      </c>
      <c r="F229" s="398">
        <f t="shared" si="20"/>
        <v>0</v>
      </c>
    </row>
    <row r="230" spans="2:6">
      <c r="B230" s="64">
        <v>217</v>
      </c>
      <c r="C230" s="397">
        <f t="shared" si="17"/>
        <v>0</v>
      </c>
      <c r="D230" s="398">
        <f t="shared" si="18"/>
        <v>0</v>
      </c>
      <c r="E230" s="398">
        <f t="shared" si="19"/>
        <v>0</v>
      </c>
      <c r="F230" s="398">
        <f t="shared" si="20"/>
        <v>0</v>
      </c>
    </row>
    <row r="231" spans="2:6">
      <c r="B231" s="64">
        <v>218</v>
      </c>
      <c r="C231" s="397">
        <f t="shared" si="17"/>
        <v>0</v>
      </c>
      <c r="D231" s="398">
        <f t="shared" si="18"/>
        <v>0</v>
      </c>
      <c r="E231" s="398">
        <f t="shared" si="19"/>
        <v>0</v>
      </c>
      <c r="F231" s="398">
        <f t="shared" si="20"/>
        <v>0</v>
      </c>
    </row>
    <row r="232" spans="2:6">
      <c r="B232" s="64">
        <v>219</v>
      </c>
      <c r="C232" s="397">
        <f t="shared" si="17"/>
        <v>0</v>
      </c>
      <c r="D232" s="398">
        <f t="shared" si="18"/>
        <v>0</v>
      </c>
      <c r="E232" s="398">
        <f t="shared" si="19"/>
        <v>0</v>
      </c>
      <c r="F232" s="398">
        <f t="shared" si="20"/>
        <v>0</v>
      </c>
    </row>
    <row r="233" spans="2:6">
      <c r="B233" s="64">
        <v>220</v>
      </c>
      <c r="C233" s="397">
        <f t="shared" si="17"/>
        <v>0</v>
      </c>
      <c r="D233" s="398">
        <f t="shared" si="18"/>
        <v>0</v>
      </c>
      <c r="E233" s="398">
        <f t="shared" si="19"/>
        <v>0</v>
      </c>
      <c r="F233" s="398">
        <f t="shared" si="20"/>
        <v>0</v>
      </c>
    </row>
    <row r="234" spans="2:6">
      <c r="B234" s="64">
        <v>221</v>
      </c>
      <c r="C234" s="397">
        <f t="shared" si="17"/>
        <v>0</v>
      </c>
      <c r="D234" s="398">
        <f t="shared" si="18"/>
        <v>0</v>
      </c>
      <c r="E234" s="398">
        <f t="shared" si="19"/>
        <v>0</v>
      </c>
      <c r="F234" s="398">
        <f t="shared" si="20"/>
        <v>0</v>
      </c>
    </row>
    <row r="235" spans="2:6">
      <c r="B235" s="64">
        <v>222</v>
      </c>
      <c r="C235" s="397">
        <f t="shared" si="17"/>
        <v>0</v>
      </c>
      <c r="D235" s="398">
        <f t="shared" si="18"/>
        <v>0</v>
      </c>
      <c r="E235" s="398">
        <f t="shared" si="19"/>
        <v>0</v>
      </c>
      <c r="F235" s="398">
        <f t="shared" si="20"/>
        <v>0</v>
      </c>
    </row>
    <row r="236" spans="2:6">
      <c r="B236" s="64">
        <v>223</v>
      </c>
      <c r="C236" s="397">
        <f t="shared" si="17"/>
        <v>0</v>
      </c>
      <c r="D236" s="398">
        <f t="shared" si="18"/>
        <v>0</v>
      </c>
      <c r="E236" s="398">
        <f t="shared" si="19"/>
        <v>0</v>
      </c>
      <c r="F236" s="398">
        <f t="shared" si="20"/>
        <v>0</v>
      </c>
    </row>
    <row r="237" spans="2:6">
      <c r="B237" s="64">
        <v>224</v>
      </c>
      <c r="C237" s="397">
        <f t="shared" si="17"/>
        <v>0</v>
      </c>
      <c r="D237" s="398">
        <f t="shared" si="18"/>
        <v>0</v>
      </c>
      <c r="E237" s="398">
        <f t="shared" si="19"/>
        <v>0</v>
      </c>
      <c r="F237" s="398">
        <f t="shared" si="20"/>
        <v>0</v>
      </c>
    </row>
    <row r="238" spans="2:6">
      <c r="B238" s="64">
        <v>225</v>
      </c>
      <c r="C238" s="397">
        <f t="shared" si="17"/>
        <v>0</v>
      </c>
      <c r="D238" s="398">
        <f t="shared" si="18"/>
        <v>0</v>
      </c>
      <c r="E238" s="398">
        <f t="shared" si="19"/>
        <v>0</v>
      </c>
      <c r="F238" s="398">
        <f t="shared" si="20"/>
        <v>0</v>
      </c>
    </row>
    <row r="239" spans="2:6">
      <c r="B239" s="64">
        <v>226</v>
      </c>
      <c r="C239" s="397">
        <f t="shared" si="17"/>
        <v>0</v>
      </c>
      <c r="D239" s="398">
        <f t="shared" si="18"/>
        <v>0</v>
      </c>
      <c r="E239" s="398">
        <f t="shared" si="19"/>
        <v>0</v>
      </c>
      <c r="F239" s="398">
        <f t="shared" si="20"/>
        <v>0</v>
      </c>
    </row>
    <row r="240" spans="2:6">
      <c r="B240" s="64">
        <v>227</v>
      </c>
      <c r="C240" s="397">
        <f t="shared" si="17"/>
        <v>0</v>
      </c>
      <c r="D240" s="398">
        <f t="shared" si="18"/>
        <v>0</v>
      </c>
      <c r="E240" s="398">
        <f t="shared" si="19"/>
        <v>0</v>
      </c>
      <c r="F240" s="398">
        <f t="shared" si="20"/>
        <v>0</v>
      </c>
    </row>
    <row r="241" spans="2:6">
      <c r="B241" s="64">
        <v>228</v>
      </c>
      <c r="C241" s="397">
        <f t="shared" si="17"/>
        <v>0</v>
      </c>
      <c r="D241" s="398">
        <f t="shared" si="18"/>
        <v>0</v>
      </c>
      <c r="E241" s="398">
        <f t="shared" si="19"/>
        <v>0</v>
      </c>
      <c r="F241" s="398">
        <f t="shared" si="20"/>
        <v>0</v>
      </c>
    </row>
    <row r="242" spans="2:6">
      <c r="B242" s="64">
        <v>229</v>
      </c>
      <c r="C242" s="397">
        <f t="shared" si="17"/>
        <v>0</v>
      </c>
      <c r="D242" s="398">
        <f t="shared" si="18"/>
        <v>0</v>
      </c>
      <c r="E242" s="398">
        <f t="shared" si="19"/>
        <v>0</v>
      </c>
      <c r="F242" s="398">
        <f t="shared" si="20"/>
        <v>0</v>
      </c>
    </row>
    <row r="243" spans="2:6">
      <c r="B243" s="64">
        <v>230</v>
      </c>
      <c r="C243" s="397">
        <f t="shared" si="17"/>
        <v>0</v>
      </c>
      <c r="D243" s="398">
        <f t="shared" si="18"/>
        <v>0</v>
      </c>
      <c r="E243" s="398">
        <f t="shared" si="19"/>
        <v>0</v>
      </c>
      <c r="F243" s="398">
        <f t="shared" si="20"/>
        <v>0</v>
      </c>
    </row>
    <row r="244" spans="2:6">
      <c r="B244" s="64">
        <v>231</v>
      </c>
      <c r="C244" s="397">
        <f t="shared" si="17"/>
        <v>0</v>
      </c>
      <c r="D244" s="398">
        <f t="shared" si="18"/>
        <v>0</v>
      </c>
      <c r="E244" s="398">
        <f t="shared" si="19"/>
        <v>0</v>
      </c>
      <c r="F244" s="398">
        <f t="shared" si="20"/>
        <v>0</v>
      </c>
    </row>
    <row r="245" spans="2:6">
      <c r="B245" s="64">
        <v>232</v>
      </c>
      <c r="C245" s="397">
        <f t="shared" si="17"/>
        <v>0</v>
      </c>
      <c r="D245" s="398">
        <f t="shared" si="18"/>
        <v>0</v>
      </c>
      <c r="E245" s="398">
        <f t="shared" si="19"/>
        <v>0</v>
      </c>
      <c r="F245" s="398">
        <f t="shared" si="20"/>
        <v>0</v>
      </c>
    </row>
    <row r="246" spans="2:6">
      <c r="B246" s="64">
        <v>233</v>
      </c>
      <c r="C246" s="397">
        <f t="shared" si="17"/>
        <v>0</v>
      </c>
      <c r="D246" s="398">
        <f t="shared" si="18"/>
        <v>0</v>
      </c>
      <c r="E246" s="398">
        <f t="shared" si="19"/>
        <v>0</v>
      </c>
      <c r="F246" s="398">
        <f t="shared" si="20"/>
        <v>0</v>
      </c>
    </row>
    <row r="247" spans="2:6">
      <c r="B247" s="64">
        <v>234</v>
      </c>
      <c r="C247" s="397">
        <f t="shared" si="17"/>
        <v>0</v>
      </c>
      <c r="D247" s="398">
        <f t="shared" si="18"/>
        <v>0</v>
      </c>
      <c r="E247" s="398">
        <f t="shared" si="19"/>
        <v>0</v>
      </c>
      <c r="F247" s="398">
        <f t="shared" si="20"/>
        <v>0</v>
      </c>
    </row>
    <row r="248" spans="2:6">
      <c r="B248" s="64">
        <v>235</v>
      </c>
      <c r="C248" s="397">
        <f t="shared" si="17"/>
        <v>0</v>
      </c>
      <c r="D248" s="398">
        <f t="shared" si="18"/>
        <v>0</v>
      </c>
      <c r="E248" s="398">
        <f t="shared" si="19"/>
        <v>0</v>
      </c>
      <c r="F248" s="398">
        <f t="shared" si="20"/>
        <v>0</v>
      </c>
    </row>
    <row r="249" spans="2:6">
      <c r="B249" s="64">
        <v>236</v>
      </c>
      <c r="C249" s="397">
        <f t="shared" si="17"/>
        <v>0</v>
      </c>
      <c r="D249" s="398">
        <f t="shared" si="18"/>
        <v>0</v>
      </c>
      <c r="E249" s="398">
        <f t="shared" si="19"/>
        <v>0</v>
      </c>
      <c r="F249" s="398">
        <f t="shared" si="20"/>
        <v>0</v>
      </c>
    </row>
    <row r="250" spans="2:6">
      <c r="B250" s="64">
        <v>237</v>
      </c>
      <c r="C250" s="397">
        <f t="shared" si="17"/>
        <v>0</v>
      </c>
      <c r="D250" s="398">
        <f t="shared" si="18"/>
        <v>0</v>
      </c>
      <c r="E250" s="398">
        <f t="shared" si="19"/>
        <v>0</v>
      </c>
      <c r="F250" s="398">
        <f t="shared" si="20"/>
        <v>0</v>
      </c>
    </row>
    <row r="251" spans="2:6">
      <c r="B251" s="64">
        <v>238</v>
      </c>
      <c r="C251" s="397">
        <f t="shared" si="17"/>
        <v>0</v>
      </c>
      <c r="D251" s="398">
        <f t="shared" si="18"/>
        <v>0</v>
      </c>
      <c r="E251" s="398">
        <f t="shared" si="19"/>
        <v>0</v>
      </c>
      <c r="F251" s="398">
        <f t="shared" si="20"/>
        <v>0</v>
      </c>
    </row>
    <row r="252" spans="2:6">
      <c r="B252" s="64">
        <v>239</v>
      </c>
      <c r="C252" s="397">
        <f t="shared" si="17"/>
        <v>0</v>
      </c>
      <c r="D252" s="398">
        <f t="shared" si="18"/>
        <v>0</v>
      </c>
      <c r="E252" s="398">
        <f t="shared" si="19"/>
        <v>0</v>
      </c>
      <c r="F252" s="398">
        <f t="shared" si="20"/>
        <v>0</v>
      </c>
    </row>
    <row r="253" spans="2:6">
      <c r="B253" s="64">
        <v>240</v>
      </c>
      <c r="C253" s="397">
        <f t="shared" si="17"/>
        <v>0</v>
      </c>
      <c r="D253" s="398">
        <f t="shared" si="18"/>
        <v>0</v>
      </c>
      <c r="E253" s="398">
        <f t="shared" si="19"/>
        <v>0</v>
      </c>
      <c r="F253" s="398">
        <f t="shared" si="20"/>
        <v>0</v>
      </c>
    </row>
    <row r="254" spans="2:6">
      <c r="B254" s="64">
        <v>241</v>
      </c>
      <c r="C254" s="397">
        <f t="shared" si="17"/>
        <v>0</v>
      </c>
      <c r="D254" s="398">
        <f t="shared" si="18"/>
        <v>0</v>
      </c>
      <c r="E254" s="398">
        <f t="shared" si="19"/>
        <v>0</v>
      </c>
      <c r="F254" s="398">
        <f t="shared" si="20"/>
        <v>0</v>
      </c>
    </row>
    <row r="255" spans="2:6">
      <c r="B255" s="64">
        <v>242</v>
      </c>
      <c r="C255" s="397">
        <f t="shared" si="17"/>
        <v>0</v>
      </c>
      <c r="D255" s="398">
        <f t="shared" si="18"/>
        <v>0</v>
      </c>
      <c r="E255" s="398">
        <f t="shared" si="19"/>
        <v>0</v>
      </c>
      <c r="F255" s="398">
        <f t="shared" si="20"/>
        <v>0</v>
      </c>
    </row>
    <row r="256" spans="2:6">
      <c r="B256" s="64">
        <v>243</v>
      </c>
      <c r="C256" s="397">
        <f t="shared" si="17"/>
        <v>0</v>
      </c>
      <c r="D256" s="398">
        <f t="shared" si="18"/>
        <v>0</v>
      </c>
      <c r="E256" s="398">
        <f t="shared" si="19"/>
        <v>0</v>
      </c>
      <c r="F256" s="398">
        <f t="shared" si="20"/>
        <v>0</v>
      </c>
    </row>
    <row r="257" spans="2:6">
      <c r="B257" s="64">
        <v>244</v>
      </c>
      <c r="C257" s="397">
        <f t="shared" si="17"/>
        <v>0</v>
      </c>
      <c r="D257" s="398">
        <f t="shared" si="18"/>
        <v>0</v>
      </c>
      <c r="E257" s="398">
        <f t="shared" si="19"/>
        <v>0</v>
      </c>
      <c r="F257" s="398">
        <f t="shared" si="20"/>
        <v>0</v>
      </c>
    </row>
    <row r="258" spans="2:6">
      <c r="B258" s="64">
        <v>245</v>
      </c>
      <c r="C258" s="397">
        <f t="shared" si="17"/>
        <v>0</v>
      </c>
      <c r="D258" s="398">
        <f t="shared" si="18"/>
        <v>0</v>
      </c>
      <c r="E258" s="398">
        <f t="shared" si="19"/>
        <v>0</v>
      </c>
      <c r="F258" s="398">
        <f t="shared" si="20"/>
        <v>0</v>
      </c>
    </row>
    <row r="259" spans="2:6">
      <c r="B259" s="64">
        <v>246</v>
      </c>
      <c r="C259" s="397">
        <f t="shared" si="17"/>
        <v>0</v>
      </c>
      <c r="D259" s="398">
        <f t="shared" si="18"/>
        <v>0</v>
      </c>
      <c r="E259" s="398">
        <f t="shared" si="19"/>
        <v>0</v>
      </c>
      <c r="F259" s="398">
        <f t="shared" si="20"/>
        <v>0</v>
      </c>
    </row>
    <row r="260" spans="2:6">
      <c r="B260" s="64">
        <v>247</v>
      </c>
      <c r="C260" s="397">
        <f t="shared" si="17"/>
        <v>0</v>
      </c>
      <c r="D260" s="398">
        <f t="shared" si="18"/>
        <v>0</v>
      </c>
      <c r="E260" s="398">
        <f t="shared" si="19"/>
        <v>0</v>
      </c>
      <c r="F260" s="398">
        <f t="shared" si="20"/>
        <v>0</v>
      </c>
    </row>
    <row r="261" spans="2:6">
      <c r="B261" s="64">
        <v>248</v>
      </c>
      <c r="C261" s="397">
        <f t="shared" si="17"/>
        <v>0</v>
      </c>
      <c r="D261" s="398">
        <f t="shared" si="18"/>
        <v>0</v>
      </c>
      <c r="E261" s="398">
        <f t="shared" si="19"/>
        <v>0</v>
      </c>
      <c r="F261" s="398">
        <f t="shared" si="20"/>
        <v>0</v>
      </c>
    </row>
    <row r="262" spans="2:6">
      <c r="B262" s="64">
        <v>249</v>
      </c>
      <c r="C262" s="397">
        <f t="shared" si="17"/>
        <v>0</v>
      </c>
      <c r="D262" s="398">
        <f t="shared" si="18"/>
        <v>0</v>
      </c>
      <c r="E262" s="398">
        <f t="shared" si="19"/>
        <v>0</v>
      </c>
      <c r="F262" s="398">
        <f t="shared" si="20"/>
        <v>0</v>
      </c>
    </row>
    <row r="263" spans="2:6">
      <c r="B263" s="64">
        <v>250</v>
      </c>
      <c r="C263" s="397">
        <f t="shared" si="17"/>
        <v>0</v>
      </c>
      <c r="D263" s="398">
        <f t="shared" si="18"/>
        <v>0</v>
      </c>
      <c r="E263" s="398">
        <f t="shared" si="19"/>
        <v>0</v>
      </c>
      <c r="F263" s="398">
        <f t="shared" si="20"/>
        <v>0</v>
      </c>
    </row>
    <row r="264" spans="2:6">
      <c r="B264" s="64">
        <v>251</v>
      </c>
      <c r="C264" s="397">
        <f t="shared" si="17"/>
        <v>0</v>
      </c>
      <c r="D264" s="398">
        <f t="shared" si="18"/>
        <v>0</v>
      </c>
      <c r="E264" s="398">
        <f t="shared" si="19"/>
        <v>0</v>
      </c>
      <c r="F264" s="398">
        <f t="shared" si="20"/>
        <v>0</v>
      </c>
    </row>
    <row r="265" spans="2:6">
      <c r="B265" s="64">
        <v>252</v>
      </c>
      <c r="C265" s="397">
        <f t="shared" si="17"/>
        <v>0</v>
      </c>
      <c r="D265" s="398">
        <f t="shared" si="18"/>
        <v>0</v>
      </c>
      <c r="E265" s="398">
        <f t="shared" si="19"/>
        <v>0</v>
      </c>
      <c r="F265" s="398">
        <f t="shared" si="20"/>
        <v>0</v>
      </c>
    </row>
    <row r="266" spans="2:6">
      <c r="B266" s="64">
        <v>253</v>
      </c>
      <c r="C266" s="397">
        <f t="shared" si="17"/>
        <v>0</v>
      </c>
      <c r="D266" s="398">
        <f t="shared" si="18"/>
        <v>0</v>
      </c>
      <c r="E266" s="398">
        <f t="shared" si="19"/>
        <v>0</v>
      </c>
      <c r="F266" s="398">
        <f t="shared" si="20"/>
        <v>0</v>
      </c>
    </row>
    <row r="267" spans="2:6">
      <c r="B267" s="64">
        <v>254</v>
      </c>
      <c r="C267" s="397">
        <f t="shared" si="17"/>
        <v>0</v>
      </c>
      <c r="D267" s="398">
        <f t="shared" si="18"/>
        <v>0</v>
      </c>
      <c r="E267" s="398">
        <f t="shared" si="19"/>
        <v>0</v>
      </c>
      <c r="F267" s="398">
        <f t="shared" si="20"/>
        <v>0</v>
      </c>
    </row>
    <row r="268" spans="2:6">
      <c r="B268" s="64">
        <v>255</v>
      </c>
      <c r="C268" s="397">
        <f t="shared" si="17"/>
        <v>0</v>
      </c>
      <c r="D268" s="398">
        <f t="shared" si="18"/>
        <v>0</v>
      </c>
      <c r="E268" s="398">
        <f t="shared" si="19"/>
        <v>0</v>
      </c>
      <c r="F268" s="398">
        <f t="shared" si="20"/>
        <v>0</v>
      </c>
    </row>
    <row r="269" spans="2:6">
      <c r="B269" s="64">
        <v>256</v>
      </c>
      <c r="C269" s="397">
        <f t="shared" si="17"/>
        <v>0</v>
      </c>
      <c r="D269" s="398">
        <f t="shared" si="18"/>
        <v>0</v>
      </c>
      <c r="E269" s="398">
        <f t="shared" si="19"/>
        <v>0</v>
      </c>
      <c r="F269" s="398">
        <f t="shared" si="20"/>
        <v>0</v>
      </c>
    </row>
    <row r="270" spans="2:6">
      <c r="B270" s="64">
        <v>257</v>
      </c>
      <c r="C270" s="397">
        <f t="shared" si="17"/>
        <v>0</v>
      </c>
      <c r="D270" s="398">
        <f t="shared" si="18"/>
        <v>0</v>
      </c>
      <c r="E270" s="398">
        <f t="shared" si="19"/>
        <v>0</v>
      </c>
      <c r="F270" s="398">
        <f t="shared" si="20"/>
        <v>0</v>
      </c>
    </row>
    <row r="271" spans="2:6">
      <c r="B271" s="64">
        <v>258</v>
      </c>
      <c r="C271" s="397">
        <f t="shared" ref="C271:C334" si="21">IF(F270&gt;$C$7,$C$7,F270+D271)</f>
        <v>0</v>
      </c>
      <c r="D271" s="398">
        <f t="shared" ref="D271:D334" si="22">+$C$5*F270/12</f>
        <v>0</v>
      </c>
      <c r="E271" s="398">
        <f t="shared" si="19"/>
        <v>0</v>
      </c>
      <c r="F271" s="398">
        <f t="shared" si="20"/>
        <v>0</v>
      </c>
    </row>
    <row r="272" spans="2:6">
      <c r="B272" s="64">
        <v>259</v>
      </c>
      <c r="C272" s="397">
        <f t="shared" si="21"/>
        <v>0</v>
      </c>
      <c r="D272" s="398">
        <f t="shared" si="22"/>
        <v>0</v>
      </c>
      <c r="E272" s="398">
        <f t="shared" ref="E272:E335" si="23">+C272-D272</f>
        <v>0</v>
      </c>
      <c r="F272" s="398">
        <f t="shared" ref="F272:F335" si="24">+F271-E272</f>
        <v>0</v>
      </c>
    </row>
    <row r="273" spans="2:6">
      <c r="B273" s="64">
        <v>260</v>
      </c>
      <c r="C273" s="397">
        <f t="shared" si="21"/>
        <v>0</v>
      </c>
      <c r="D273" s="398">
        <f t="shared" si="22"/>
        <v>0</v>
      </c>
      <c r="E273" s="398">
        <f t="shared" si="23"/>
        <v>0</v>
      </c>
      <c r="F273" s="398">
        <f t="shared" si="24"/>
        <v>0</v>
      </c>
    </row>
    <row r="274" spans="2:6">
      <c r="B274" s="64">
        <v>261</v>
      </c>
      <c r="C274" s="397">
        <f t="shared" si="21"/>
        <v>0</v>
      </c>
      <c r="D274" s="398">
        <f t="shared" si="22"/>
        <v>0</v>
      </c>
      <c r="E274" s="398">
        <f t="shared" si="23"/>
        <v>0</v>
      </c>
      <c r="F274" s="398">
        <f t="shared" si="24"/>
        <v>0</v>
      </c>
    </row>
    <row r="275" spans="2:6">
      <c r="B275" s="64">
        <v>262</v>
      </c>
      <c r="C275" s="397">
        <f t="shared" si="21"/>
        <v>0</v>
      </c>
      <c r="D275" s="398">
        <f t="shared" si="22"/>
        <v>0</v>
      </c>
      <c r="E275" s="398">
        <f t="shared" si="23"/>
        <v>0</v>
      </c>
      <c r="F275" s="398">
        <f t="shared" si="24"/>
        <v>0</v>
      </c>
    </row>
    <row r="276" spans="2:6">
      <c r="B276" s="64">
        <v>263</v>
      </c>
      <c r="C276" s="397">
        <f t="shared" si="21"/>
        <v>0</v>
      </c>
      <c r="D276" s="398">
        <f t="shared" si="22"/>
        <v>0</v>
      </c>
      <c r="E276" s="398">
        <f t="shared" si="23"/>
        <v>0</v>
      </c>
      <c r="F276" s="398">
        <f t="shared" si="24"/>
        <v>0</v>
      </c>
    </row>
    <row r="277" spans="2:6">
      <c r="B277" s="64">
        <v>264</v>
      </c>
      <c r="C277" s="397">
        <f t="shared" si="21"/>
        <v>0</v>
      </c>
      <c r="D277" s="398">
        <f t="shared" si="22"/>
        <v>0</v>
      </c>
      <c r="E277" s="398">
        <f t="shared" si="23"/>
        <v>0</v>
      </c>
      <c r="F277" s="398">
        <f t="shared" si="24"/>
        <v>0</v>
      </c>
    </row>
    <row r="278" spans="2:6">
      <c r="B278" s="64">
        <v>265</v>
      </c>
      <c r="C278" s="397">
        <f t="shared" si="21"/>
        <v>0</v>
      </c>
      <c r="D278" s="398">
        <f t="shared" si="22"/>
        <v>0</v>
      </c>
      <c r="E278" s="398">
        <f t="shared" si="23"/>
        <v>0</v>
      </c>
      <c r="F278" s="398">
        <f t="shared" si="24"/>
        <v>0</v>
      </c>
    </row>
    <row r="279" spans="2:6">
      <c r="B279" s="64">
        <v>266</v>
      </c>
      <c r="C279" s="397">
        <f t="shared" si="21"/>
        <v>0</v>
      </c>
      <c r="D279" s="398">
        <f t="shared" si="22"/>
        <v>0</v>
      </c>
      <c r="E279" s="398">
        <f t="shared" si="23"/>
        <v>0</v>
      </c>
      <c r="F279" s="398">
        <f t="shared" si="24"/>
        <v>0</v>
      </c>
    </row>
    <row r="280" spans="2:6">
      <c r="B280" s="64">
        <v>267</v>
      </c>
      <c r="C280" s="397">
        <f t="shared" si="21"/>
        <v>0</v>
      </c>
      <c r="D280" s="398">
        <f t="shared" si="22"/>
        <v>0</v>
      </c>
      <c r="E280" s="398">
        <f t="shared" si="23"/>
        <v>0</v>
      </c>
      <c r="F280" s="398">
        <f t="shared" si="24"/>
        <v>0</v>
      </c>
    </row>
    <row r="281" spans="2:6">
      <c r="B281" s="64">
        <v>268</v>
      </c>
      <c r="C281" s="397">
        <f t="shared" si="21"/>
        <v>0</v>
      </c>
      <c r="D281" s="398">
        <f t="shared" si="22"/>
        <v>0</v>
      </c>
      <c r="E281" s="398">
        <f t="shared" si="23"/>
        <v>0</v>
      </c>
      <c r="F281" s="398">
        <f t="shared" si="24"/>
        <v>0</v>
      </c>
    </row>
    <row r="282" spans="2:6">
      <c r="B282" s="64">
        <v>269</v>
      </c>
      <c r="C282" s="397">
        <f t="shared" si="21"/>
        <v>0</v>
      </c>
      <c r="D282" s="398">
        <f t="shared" si="22"/>
        <v>0</v>
      </c>
      <c r="E282" s="398">
        <f t="shared" si="23"/>
        <v>0</v>
      </c>
      <c r="F282" s="398">
        <f t="shared" si="24"/>
        <v>0</v>
      </c>
    </row>
    <row r="283" spans="2:6">
      <c r="B283" s="64">
        <v>270</v>
      </c>
      <c r="C283" s="397">
        <f t="shared" si="21"/>
        <v>0</v>
      </c>
      <c r="D283" s="398">
        <f t="shared" si="22"/>
        <v>0</v>
      </c>
      <c r="E283" s="398">
        <f t="shared" si="23"/>
        <v>0</v>
      </c>
      <c r="F283" s="398">
        <f t="shared" si="24"/>
        <v>0</v>
      </c>
    </row>
    <row r="284" spans="2:6">
      <c r="B284" s="64">
        <v>271</v>
      </c>
      <c r="C284" s="397">
        <f t="shared" si="21"/>
        <v>0</v>
      </c>
      <c r="D284" s="398">
        <f t="shared" si="22"/>
        <v>0</v>
      </c>
      <c r="E284" s="398">
        <f t="shared" si="23"/>
        <v>0</v>
      </c>
      <c r="F284" s="398">
        <f t="shared" si="24"/>
        <v>0</v>
      </c>
    </row>
    <row r="285" spans="2:6">
      <c r="B285" s="64">
        <v>272</v>
      </c>
      <c r="C285" s="397">
        <f t="shared" si="21"/>
        <v>0</v>
      </c>
      <c r="D285" s="398">
        <f t="shared" si="22"/>
        <v>0</v>
      </c>
      <c r="E285" s="398">
        <f t="shared" si="23"/>
        <v>0</v>
      </c>
      <c r="F285" s="398">
        <f t="shared" si="24"/>
        <v>0</v>
      </c>
    </row>
    <row r="286" spans="2:6">
      <c r="B286" s="64">
        <v>273</v>
      </c>
      <c r="C286" s="397">
        <f t="shared" si="21"/>
        <v>0</v>
      </c>
      <c r="D286" s="398">
        <f t="shared" si="22"/>
        <v>0</v>
      </c>
      <c r="E286" s="398">
        <f t="shared" si="23"/>
        <v>0</v>
      </c>
      <c r="F286" s="398">
        <f t="shared" si="24"/>
        <v>0</v>
      </c>
    </row>
    <row r="287" spans="2:6">
      <c r="B287" s="64">
        <v>274</v>
      </c>
      <c r="C287" s="397">
        <f t="shared" si="21"/>
        <v>0</v>
      </c>
      <c r="D287" s="398">
        <f t="shared" si="22"/>
        <v>0</v>
      </c>
      <c r="E287" s="398">
        <f t="shared" si="23"/>
        <v>0</v>
      </c>
      <c r="F287" s="398">
        <f t="shared" si="24"/>
        <v>0</v>
      </c>
    </row>
    <row r="288" spans="2:6">
      <c r="B288" s="64">
        <v>275</v>
      </c>
      <c r="C288" s="397">
        <f t="shared" si="21"/>
        <v>0</v>
      </c>
      <c r="D288" s="398">
        <f t="shared" si="22"/>
        <v>0</v>
      </c>
      <c r="E288" s="398">
        <f t="shared" si="23"/>
        <v>0</v>
      </c>
      <c r="F288" s="398">
        <f t="shared" si="24"/>
        <v>0</v>
      </c>
    </row>
    <row r="289" spans="2:6">
      <c r="B289" s="64">
        <v>276</v>
      </c>
      <c r="C289" s="397">
        <f t="shared" si="21"/>
        <v>0</v>
      </c>
      <c r="D289" s="398">
        <f t="shared" si="22"/>
        <v>0</v>
      </c>
      <c r="E289" s="398">
        <f t="shared" si="23"/>
        <v>0</v>
      </c>
      <c r="F289" s="398">
        <f t="shared" si="24"/>
        <v>0</v>
      </c>
    </row>
    <row r="290" spans="2:6">
      <c r="B290" s="64">
        <v>277</v>
      </c>
      <c r="C290" s="397">
        <f t="shared" si="21"/>
        <v>0</v>
      </c>
      <c r="D290" s="398">
        <f t="shared" si="22"/>
        <v>0</v>
      </c>
      <c r="E290" s="398">
        <f t="shared" si="23"/>
        <v>0</v>
      </c>
      <c r="F290" s="398">
        <f t="shared" si="24"/>
        <v>0</v>
      </c>
    </row>
    <row r="291" spans="2:6">
      <c r="B291" s="64">
        <v>278</v>
      </c>
      <c r="C291" s="397">
        <f t="shared" si="21"/>
        <v>0</v>
      </c>
      <c r="D291" s="398">
        <f t="shared" si="22"/>
        <v>0</v>
      </c>
      <c r="E291" s="398">
        <f t="shared" si="23"/>
        <v>0</v>
      </c>
      <c r="F291" s="398">
        <f t="shared" si="24"/>
        <v>0</v>
      </c>
    </row>
    <row r="292" spans="2:6">
      <c r="B292" s="64">
        <v>279</v>
      </c>
      <c r="C292" s="397">
        <f t="shared" si="21"/>
        <v>0</v>
      </c>
      <c r="D292" s="398">
        <f t="shared" si="22"/>
        <v>0</v>
      </c>
      <c r="E292" s="398">
        <f t="shared" si="23"/>
        <v>0</v>
      </c>
      <c r="F292" s="398">
        <f t="shared" si="24"/>
        <v>0</v>
      </c>
    </row>
    <row r="293" spans="2:6">
      <c r="B293" s="64">
        <v>280</v>
      </c>
      <c r="C293" s="397">
        <f t="shared" si="21"/>
        <v>0</v>
      </c>
      <c r="D293" s="398">
        <f t="shared" si="22"/>
        <v>0</v>
      </c>
      <c r="E293" s="398">
        <f t="shared" si="23"/>
        <v>0</v>
      </c>
      <c r="F293" s="398">
        <f t="shared" si="24"/>
        <v>0</v>
      </c>
    </row>
    <row r="294" spans="2:6">
      <c r="B294" s="64">
        <v>281</v>
      </c>
      <c r="C294" s="397">
        <f t="shared" si="21"/>
        <v>0</v>
      </c>
      <c r="D294" s="398">
        <f t="shared" si="22"/>
        <v>0</v>
      </c>
      <c r="E294" s="398">
        <f t="shared" si="23"/>
        <v>0</v>
      </c>
      <c r="F294" s="398">
        <f t="shared" si="24"/>
        <v>0</v>
      </c>
    </row>
    <row r="295" spans="2:6">
      <c r="B295" s="64">
        <v>282</v>
      </c>
      <c r="C295" s="397">
        <f t="shared" si="21"/>
        <v>0</v>
      </c>
      <c r="D295" s="398">
        <f t="shared" si="22"/>
        <v>0</v>
      </c>
      <c r="E295" s="398">
        <f t="shared" si="23"/>
        <v>0</v>
      </c>
      <c r="F295" s="398">
        <f t="shared" si="24"/>
        <v>0</v>
      </c>
    </row>
    <row r="296" spans="2:6">
      <c r="B296" s="64">
        <v>283</v>
      </c>
      <c r="C296" s="397">
        <f t="shared" si="21"/>
        <v>0</v>
      </c>
      <c r="D296" s="398">
        <f t="shared" si="22"/>
        <v>0</v>
      </c>
      <c r="E296" s="398">
        <f t="shared" si="23"/>
        <v>0</v>
      </c>
      <c r="F296" s="398">
        <f t="shared" si="24"/>
        <v>0</v>
      </c>
    </row>
    <row r="297" spans="2:6">
      <c r="B297" s="64">
        <v>284</v>
      </c>
      <c r="C297" s="397">
        <f t="shared" si="21"/>
        <v>0</v>
      </c>
      <c r="D297" s="398">
        <f t="shared" si="22"/>
        <v>0</v>
      </c>
      <c r="E297" s="398">
        <f t="shared" si="23"/>
        <v>0</v>
      </c>
      <c r="F297" s="398">
        <f t="shared" si="24"/>
        <v>0</v>
      </c>
    </row>
    <row r="298" spans="2:6">
      <c r="B298" s="64">
        <v>285</v>
      </c>
      <c r="C298" s="397">
        <f t="shared" si="21"/>
        <v>0</v>
      </c>
      <c r="D298" s="398">
        <f t="shared" si="22"/>
        <v>0</v>
      </c>
      <c r="E298" s="398">
        <f t="shared" si="23"/>
        <v>0</v>
      </c>
      <c r="F298" s="398">
        <f t="shared" si="24"/>
        <v>0</v>
      </c>
    </row>
    <row r="299" spans="2:6">
      <c r="B299" s="64">
        <v>286</v>
      </c>
      <c r="C299" s="397">
        <f t="shared" si="21"/>
        <v>0</v>
      </c>
      <c r="D299" s="398">
        <f t="shared" si="22"/>
        <v>0</v>
      </c>
      <c r="E299" s="398">
        <f t="shared" si="23"/>
        <v>0</v>
      </c>
      <c r="F299" s="398">
        <f t="shared" si="24"/>
        <v>0</v>
      </c>
    </row>
    <row r="300" spans="2:6">
      <c r="B300" s="64">
        <v>287</v>
      </c>
      <c r="C300" s="397">
        <f t="shared" si="21"/>
        <v>0</v>
      </c>
      <c r="D300" s="398">
        <f t="shared" si="22"/>
        <v>0</v>
      </c>
      <c r="E300" s="398">
        <f t="shared" si="23"/>
        <v>0</v>
      </c>
      <c r="F300" s="398">
        <f t="shared" si="24"/>
        <v>0</v>
      </c>
    </row>
    <row r="301" spans="2:6">
      <c r="B301" s="64">
        <v>288</v>
      </c>
      <c r="C301" s="397">
        <f t="shared" si="21"/>
        <v>0</v>
      </c>
      <c r="D301" s="398">
        <f t="shared" si="22"/>
        <v>0</v>
      </c>
      <c r="E301" s="398">
        <f t="shared" si="23"/>
        <v>0</v>
      </c>
      <c r="F301" s="398">
        <f t="shared" si="24"/>
        <v>0</v>
      </c>
    </row>
    <row r="302" spans="2:6">
      <c r="B302" s="64">
        <v>289</v>
      </c>
      <c r="C302" s="397">
        <f t="shared" si="21"/>
        <v>0</v>
      </c>
      <c r="D302" s="398">
        <f t="shared" si="22"/>
        <v>0</v>
      </c>
      <c r="E302" s="398">
        <f t="shared" si="23"/>
        <v>0</v>
      </c>
      <c r="F302" s="398">
        <f t="shared" si="24"/>
        <v>0</v>
      </c>
    </row>
    <row r="303" spans="2:6">
      <c r="B303" s="64">
        <v>290</v>
      </c>
      <c r="C303" s="397">
        <f t="shared" si="21"/>
        <v>0</v>
      </c>
      <c r="D303" s="398">
        <f t="shared" si="22"/>
        <v>0</v>
      </c>
      <c r="E303" s="398">
        <f t="shared" si="23"/>
        <v>0</v>
      </c>
      <c r="F303" s="398">
        <f t="shared" si="24"/>
        <v>0</v>
      </c>
    </row>
    <row r="304" spans="2:6">
      <c r="B304" s="64">
        <v>291</v>
      </c>
      <c r="C304" s="397">
        <f t="shared" si="21"/>
        <v>0</v>
      </c>
      <c r="D304" s="398">
        <f t="shared" si="22"/>
        <v>0</v>
      </c>
      <c r="E304" s="398">
        <f t="shared" si="23"/>
        <v>0</v>
      </c>
      <c r="F304" s="398">
        <f t="shared" si="24"/>
        <v>0</v>
      </c>
    </row>
    <row r="305" spans="2:6">
      <c r="B305" s="64">
        <v>292</v>
      </c>
      <c r="C305" s="397">
        <f t="shared" si="21"/>
        <v>0</v>
      </c>
      <c r="D305" s="398">
        <f t="shared" si="22"/>
        <v>0</v>
      </c>
      <c r="E305" s="398">
        <f t="shared" si="23"/>
        <v>0</v>
      </c>
      <c r="F305" s="398">
        <f t="shared" si="24"/>
        <v>0</v>
      </c>
    </row>
    <row r="306" spans="2:6">
      <c r="B306" s="64">
        <v>293</v>
      </c>
      <c r="C306" s="397">
        <f t="shared" si="21"/>
        <v>0</v>
      </c>
      <c r="D306" s="398">
        <f t="shared" si="22"/>
        <v>0</v>
      </c>
      <c r="E306" s="398">
        <f t="shared" si="23"/>
        <v>0</v>
      </c>
      <c r="F306" s="398">
        <f t="shared" si="24"/>
        <v>0</v>
      </c>
    </row>
    <row r="307" spans="2:6">
      <c r="B307" s="64">
        <v>294</v>
      </c>
      <c r="C307" s="397">
        <f t="shared" si="21"/>
        <v>0</v>
      </c>
      <c r="D307" s="398">
        <f t="shared" si="22"/>
        <v>0</v>
      </c>
      <c r="E307" s="398">
        <f t="shared" si="23"/>
        <v>0</v>
      </c>
      <c r="F307" s="398">
        <f t="shared" si="24"/>
        <v>0</v>
      </c>
    </row>
    <row r="308" spans="2:6">
      <c r="B308" s="64">
        <v>295</v>
      </c>
      <c r="C308" s="397">
        <f t="shared" si="21"/>
        <v>0</v>
      </c>
      <c r="D308" s="398">
        <f t="shared" si="22"/>
        <v>0</v>
      </c>
      <c r="E308" s="398">
        <f t="shared" si="23"/>
        <v>0</v>
      </c>
      <c r="F308" s="398">
        <f t="shared" si="24"/>
        <v>0</v>
      </c>
    </row>
    <row r="309" spans="2:6">
      <c r="B309" s="64">
        <v>296</v>
      </c>
      <c r="C309" s="397">
        <f t="shared" si="21"/>
        <v>0</v>
      </c>
      <c r="D309" s="398">
        <f t="shared" si="22"/>
        <v>0</v>
      </c>
      <c r="E309" s="398">
        <f t="shared" si="23"/>
        <v>0</v>
      </c>
      <c r="F309" s="398">
        <f t="shared" si="24"/>
        <v>0</v>
      </c>
    </row>
    <row r="310" spans="2:6">
      <c r="B310" s="64">
        <v>297</v>
      </c>
      <c r="C310" s="397">
        <f t="shared" si="21"/>
        <v>0</v>
      </c>
      <c r="D310" s="398">
        <f t="shared" si="22"/>
        <v>0</v>
      </c>
      <c r="E310" s="398">
        <f t="shared" si="23"/>
        <v>0</v>
      </c>
      <c r="F310" s="398">
        <f t="shared" si="24"/>
        <v>0</v>
      </c>
    </row>
    <row r="311" spans="2:6">
      <c r="B311" s="64">
        <v>298</v>
      </c>
      <c r="C311" s="397">
        <f t="shared" si="21"/>
        <v>0</v>
      </c>
      <c r="D311" s="398">
        <f t="shared" si="22"/>
        <v>0</v>
      </c>
      <c r="E311" s="398">
        <f t="shared" si="23"/>
        <v>0</v>
      </c>
      <c r="F311" s="398">
        <f t="shared" si="24"/>
        <v>0</v>
      </c>
    </row>
    <row r="312" spans="2:6">
      <c r="B312" s="64">
        <v>299</v>
      </c>
      <c r="C312" s="397">
        <f t="shared" si="21"/>
        <v>0</v>
      </c>
      <c r="D312" s="398">
        <f t="shared" si="22"/>
        <v>0</v>
      </c>
      <c r="E312" s="398">
        <f t="shared" si="23"/>
        <v>0</v>
      </c>
      <c r="F312" s="398">
        <f t="shared" si="24"/>
        <v>0</v>
      </c>
    </row>
    <row r="313" spans="2:6">
      <c r="B313" s="64">
        <v>300</v>
      </c>
      <c r="C313" s="397">
        <f t="shared" si="21"/>
        <v>0</v>
      </c>
      <c r="D313" s="398">
        <f t="shared" si="22"/>
        <v>0</v>
      </c>
      <c r="E313" s="398">
        <f t="shared" si="23"/>
        <v>0</v>
      </c>
      <c r="F313" s="398">
        <f t="shared" si="24"/>
        <v>0</v>
      </c>
    </row>
    <row r="314" spans="2:6">
      <c r="B314" s="64">
        <v>301</v>
      </c>
      <c r="C314" s="397">
        <f t="shared" si="21"/>
        <v>0</v>
      </c>
      <c r="D314" s="398">
        <f t="shared" si="22"/>
        <v>0</v>
      </c>
      <c r="E314" s="398">
        <f t="shared" si="23"/>
        <v>0</v>
      </c>
      <c r="F314" s="398">
        <f t="shared" si="24"/>
        <v>0</v>
      </c>
    </row>
    <row r="315" spans="2:6">
      <c r="B315" s="64">
        <v>302</v>
      </c>
      <c r="C315" s="397">
        <f t="shared" si="21"/>
        <v>0</v>
      </c>
      <c r="D315" s="398">
        <f t="shared" si="22"/>
        <v>0</v>
      </c>
      <c r="E315" s="398">
        <f t="shared" si="23"/>
        <v>0</v>
      </c>
      <c r="F315" s="398">
        <f t="shared" si="24"/>
        <v>0</v>
      </c>
    </row>
    <row r="316" spans="2:6">
      <c r="B316" s="64">
        <v>303</v>
      </c>
      <c r="C316" s="397">
        <f t="shared" si="21"/>
        <v>0</v>
      </c>
      <c r="D316" s="398">
        <f t="shared" si="22"/>
        <v>0</v>
      </c>
      <c r="E316" s="398">
        <f t="shared" si="23"/>
        <v>0</v>
      </c>
      <c r="F316" s="398">
        <f t="shared" si="24"/>
        <v>0</v>
      </c>
    </row>
    <row r="317" spans="2:6">
      <c r="B317" s="64">
        <v>304</v>
      </c>
      <c r="C317" s="397">
        <f t="shared" si="21"/>
        <v>0</v>
      </c>
      <c r="D317" s="398">
        <f t="shared" si="22"/>
        <v>0</v>
      </c>
      <c r="E317" s="398">
        <f t="shared" si="23"/>
        <v>0</v>
      </c>
      <c r="F317" s="398">
        <f t="shared" si="24"/>
        <v>0</v>
      </c>
    </row>
    <row r="318" spans="2:6">
      <c r="B318" s="64">
        <v>305</v>
      </c>
      <c r="C318" s="397">
        <f t="shared" si="21"/>
        <v>0</v>
      </c>
      <c r="D318" s="398">
        <f t="shared" si="22"/>
        <v>0</v>
      </c>
      <c r="E318" s="398">
        <f t="shared" si="23"/>
        <v>0</v>
      </c>
      <c r="F318" s="398">
        <f t="shared" si="24"/>
        <v>0</v>
      </c>
    </row>
    <row r="319" spans="2:6">
      <c r="B319" s="64">
        <v>306</v>
      </c>
      <c r="C319" s="397">
        <f t="shared" si="21"/>
        <v>0</v>
      </c>
      <c r="D319" s="398">
        <f t="shared" si="22"/>
        <v>0</v>
      </c>
      <c r="E319" s="398">
        <f t="shared" si="23"/>
        <v>0</v>
      </c>
      <c r="F319" s="398">
        <f t="shared" si="24"/>
        <v>0</v>
      </c>
    </row>
    <row r="320" spans="2:6">
      <c r="B320" s="64">
        <v>307</v>
      </c>
      <c r="C320" s="397">
        <f t="shared" si="21"/>
        <v>0</v>
      </c>
      <c r="D320" s="398">
        <f t="shared" si="22"/>
        <v>0</v>
      </c>
      <c r="E320" s="398">
        <f t="shared" si="23"/>
        <v>0</v>
      </c>
      <c r="F320" s="398">
        <f t="shared" si="24"/>
        <v>0</v>
      </c>
    </row>
    <row r="321" spans="2:6">
      <c r="B321" s="64">
        <v>308</v>
      </c>
      <c r="C321" s="397">
        <f t="shared" si="21"/>
        <v>0</v>
      </c>
      <c r="D321" s="398">
        <f t="shared" si="22"/>
        <v>0</v>
      </c>
      <c r="E321" s="398">
        <f t="shared" si="23"/>
        <v>0</v>
      </c>
      <c r="F321" s="398">
        <f t="shared" si="24"/>
        <v>0</v>
      </c>
    </row>
    <row r="322" spans="2:6">
      <c r="B322" s="64">
        <v>309</v>
      </c>
      <c r="C322" s="397">
        <f t="shared" si="21"/>
        <v>0</v>
      </c>
      <c r="D322" s="398">
        <f t="shared" si="22"/>
        <v>0</v>
      </c>
      <c r="E322" s="398">
        <f t="shared" si="23"/>
        <v>0</v>
      </c>
      <c r="F322" s="398">
        <f t="shared" si="24"/>
        <v>0</v>
      </c>
    </row>
    <row r="323" spans="2:6">
      <c r="B323" s="64">
        <v>310</v>
      </c>
      <c r="C323" s="397">
        <f t="shared" si="21"/>
        <v>0</v>
      </c>
      <c r="D323" s="398">
        <f t="shared" si="22"/>
        <v>0</v>
      </c>
      <c r="E323" s="398">
        <f t="shared" si="23"/>
        <v>0</v>
      </c>
      <c r="F323" s="398">
        <f t="shared" si="24"/>
        <v>0</v>
      </c>
    </row>
    <row r="324" spans="2:6">
      <c r="B324" s="64">
        <v>311</v>
      </c>
      <c r="C324" s="397">
        <f t="shared" si="21"/>
        <v>0</v>
      </c>
      <c r="D324" s="398">
        <f t="shared" si="22"/>
        <v>0</v>
      </c>
      <c r="E324" s="398">
        <f t="shared" si="23"/>
        <v>0</v>
      </c>
      <c r="F324" s="398">
        <f t="shared" si="24"/>
        <v>0</v>
      </c>
    </row>
    <row r="325" spans="2:6">
      <c r="B325" s="64">
        <v>312</v>
      </c>
      <c r="C325" s="397">
        <f t="shared" si="21"/>
        <v>0</v>
      </c>
      <c r="D325" s="398">
        <f t="shared" si="22"/>
        <v>0</v>
      </c>
      <c r="E325" s="398">
        <f t="shared" si="23"/>
        <v>0</v>
      </c>
      <c r="F325" s="398">
        <f t="shared" si="24"/>
        <v>0</v>
      </c>
    </row>
    <row r="326" spans="2:6">
      <c r="B326" s="64">
        <v>313</v>
      </c>
      <c r="C326" s="397">
        <f t="shared" si="21"/>
        <v>0</v>
      </c>
      <c r="D326" s="398">
        <f t="shared" si="22"/>
        <v>0</v>
      </c>
      <c r="E326" s="398">
        <f t="shared" si="23"/>
        <v>0</v>
      </c>
      <c r="F326" s="398">
        <f t="shared" si="24"/>
        <v>0</v>
      </c>
    </row>
    <row r="327" spans="2:6">
      <c r="B327" s="64">
        <v>314</v>
      </c>
      <c r="C327" s="397">
        <f t="shared" si="21"/>
        <v>0</v>
      </c>
      <c r="D327" s="398">
        <f t="shared" si="22"/>
        <v>0</v>
      </c>
      <c r="E327" s="398">
        <f t="shared" si="23"/>
        <v>0</v>
      </c>
      <c r="F327" s="398">
        <f t="shared" si="24"/>
        <v>0</v>
      </c>
    </row>
    <row r="328" spans="2:6">
      <c r="B328" s="64">
        <v>315</v>
      </c>
      <c r="C328" s="397">
        <f t="shared" si="21"/>
        <v>0</v>
      </c>
      <c r="D328" s="398">
        <f t="shared" si="22"/>
        <v>0</v>
      </c>
      <c r="E328" s="398">
        <f t="shared" si="23"/>
        <v>0</v>
      </c>
      <c r="F328" s="398">
        <f t="shared" si="24"/>
        <v>0</v>
      </c>
    </row>
    <row r="329" spans="2:6">
      <c r="B329" s="64">
        <v>316</v>
      </c>
      <c r="C329" s="397">
        <f t="shared" si="21"/>
        <v>0</v>
      </c>
      <c r="D329" s="398">
        <f t="shared" si="22"/>
        <v>0</v>
      </c>
      <c r="E329" s="398">
        <f t="shared" si="23"/>
        <v>0</v>
      </c>
      <c r="F329" s="398">
        <f t="shared" si="24"/>
        <v>0</v>
      </c>
    </row>
    <row r="330" spans="2:6">
      <c r="B330" s="64">
        <v>317</v>
      </c>
      <c r="C330" s="397">
        <f t="shared" si="21"/>
        <v>0</v>
      </c>
      <c r="D330" s="398">
        <f t="shared" si="22"/>
        <v>0</v>
      </c>
      <c r="E330" s="398">
        <f t="shared" si="23"/>
        <v>0</v>
      </c>
      <c r="F330" s="398">
        <f t="shared" si="24"/>
        <v>0</v>
      </c>
    </row>
    <row r="331" spans="2:6">
      <c r="B331" s="64">
        <v>318</v>
      </c>
      <c r="C331" s="397">
        <f t="shared" si="21"/>
        <v>0</v>
      </c>
      <c r="D331" s="398">
        <f t="shared" si="22"/>
        <v>0</v>
      </c>
      <c r="E331" s="398">
        <f t="shared" si="23"/>
        <v>0</v>
      </c>
      <c r="F331" s="398">
        <f t="shared" si="24"/>
        <v>0</v>
      </c>
    </row>
    <row r="332" spans="2:6">
      <c r="B332" s="64">
        <v>319</v>
      </c>
      <c r="C332" s="397">
        <f t="shared" si="21"/>
        <v>0</v>
      </c>
      <c r="D332" s="398">
        <f t="shared" si="22"/>
        <v>0</v>
      </c>
      <c r="E332" s="398">
        <f t="shared" si="23"/>
        <v>0</v>
      </c>
      <c r="F332" s="398">
        <f t="shared" si="24"/>
        <v>0</v>
      </c>
    </row>
    <row r="333" spans="2:6">
      <c r="B333" s="64">
        <v>320</v>
      </c>
      <c r="C333" s="397">
        <f t="shared" si="21"/>
        <v>0</v>
      </c>
      <c r="D333" s="398">
        <f t="shared" si="22"/>
        <v>0</v>
      </c>
      <c r="E333" s="398">
        <f t="shared" si="23"/>
        <v>0</v>
      </c>
      <c r="F333" s="398">
        <f t="shared" si="24"/>
        <v>0</v>
      </c>
    </row>
    <row r="334" spans="2:6">
      <c r="B334" s="64">
        <v>321</v>
      </c>
      <c r="C334" s="397">
        <f t="shared" si="21"/>
        <v>0</v>
      </c>
      <c r="D334" s="398">
        <f t="shared" si="22"/>
        <v>0</v>
      </c>
      <c r="E334" s="398">
        <f t="shared" si="23"/>
        <v>0</v>
      </c>
      <c r="F334" s="398">
        <f t="shared" si="24"/>
        <v>0</v>
      </c>
    </row>
    <row r="335" spans="2:6">
      <c r="B335" s="64">
        <v>322</v>
      </c>
      <c r="C335" s="397">
        <f t="shared" ref="C335:C398" si="25">IF(F334&gt;$C$7,$C$7,F334+D335)</f>
        <v>0</v>
      </c>
      <c r="D335" s="398">
        <f t="shared" ref="D335:D398" si="26">+$C$5*F334/12</f>
        <v>0</v>
      </c>
      <c r="E335" s="398">
        <f t="shared" si="23"/>
        <v>0</v>
      </c>
      <c r="F335" s="398">
        <f t="shared" si="24"/>
        <v>0</v>
      </c>
    </row>
    <row r="336" spans="2:6">
      <c r="B336" s="64">
        <v>323</v>
      </c>
      <c r="C336" s="397">
        <f t="shared" si="25"/>
        <v>0</v>
      </c>
      <c r="D336" s="398">
        <f t="shared" si="26"/>
        <v>0</v>
      </c>
      <c r="E336" s="398">
        <f t="shared" ref="E336:E399" si="27">+C336-D336</f>
        <v>0</v>
      </c>
      <c r="F336" s="398">
        <f t="shared" ref="F336:F399" si="28">+F335-E336</f>
        <v>0</v>
      </c>
    </row>
    <row r="337" spans="2:6">
      <c r="B337" s="64">
        <v>324</v>
      </c>
      <c r="C337" s="397">
        <f t="shared" si="25"/>
        <v>0</v>
      </c>
      <c r="D337" s="398">
        <f t="shared" si="26"/>
        <v>0</v>
      </c>
      <c r="E337" s="398">
        <f t="shared" si="27"/>
        <v>0</v>
      </c>
      <c r="F337" s="398">
        <f t="shared" si="28"/>
        <v>0</v>
      </c>
    </row>
    <row r="338" spans="2:6">
      <c r="B338" s="64">
        <v>325</v>
      </c>
      <c r="C338" s="397">
        <f t="shared" si="25"/>
        <v>0</v>
      </c>
      <c r="D338" s="398">
        <f t="shared" si="26"/>
        <v>0</v>
      </c>
      <c r="E338" s="398">
        <f t="shared" si="27"/>
        <v>0</v>
      </c>
      <c r="F338" s="398">
        <f t="shared" si="28"/>
        <v>0</v>
      </c>
    </row>
    <row r="339" spans="2:6">
      <c r="B339" s="64">
        <v>326</v>
      </c>
      <c r="C339" s="397">
        <f t="shared" si="25"/>
        <v>0</v>
      </c>
      <c r="D339" s="398">
        <f t="shared" si="26"/>
        <v>0</v>
      </c>
      <c r="E339" s="398">
        <f t="shared" si="27"/>
        <v>0</v>
      </c>
      <c r="F339" s="398">
        <f t="shared" si="28"/>
        <v>0</v>
      </c>
    </row>
    <row r="340" spans="2:6">
      <c r="B340" s="64">
        <v>327</v>
      </c>
      <c r="C340" s="397">
        <f t="shared" si="25"/>
        <v>0</v>
      </c>
      <c r="D340" s="398">
        <f t="shared" si="26"/>
        <v>0</v>
      </c>
      <c r="E340" s="398">
        <f t="shared" si="27"/>
        <v>0</v>
      </c>
      <c r="F340" s="398">
        <f t="shared" si="28"/>
        <v>0</v>
      </c>
    </row>
    <row r="341" spans="2:6">
      <c r="B341" s="64">
        <v>328</v>
      </c>
      <c r="C341" s="397">
        <f t="shared" si="25"/>
        <v>0</v>
      </c>
      <c r="D341" s="398">
        <f t="shared" si="26"/>
        <v>0</v>
      </c>
      <c r="E341" s="398">
        <f t="shared" si="27"/>
        <v>0</v>
      </c>
      <c r="F341" s="398">
        <f t="shared" si="28"/>
        <v>0</v>
      </c>
    </row>
    <row r="342" spans="2:6">
      <c r="B342" s="64">
        <v>329</v>
      </c>
      <c r="C342" s="397">
        <f t="shared" si="25"/>
        <v>0</v>
      </c>
      <c r="D342" s="398">
        <f t="shared" si="26"/>
        <v>0</v>
      </c>
      <c r="E342" s="398">
        <f t="shared" si="27"/>
        <v>0</v>
      </c>
      <c r="F342" s="398">
        <f t="shared" si="28"/>
        <v>0</v>
      </c>
    </row>
    <row r="343" spans="2:6">
      <c r="B343" s="64">
        <v>330</v>
      </c>
      <c r="C343" s="397">
        <f t="shared" si="25"/>
        <v>0</v>
      </c>
      <c r="D343" s="398">
        <f t="shared" si="26"/>
        <v>0</v>
      </c>
      <c r="E343" s="398">
        <f t="shared" si="27"/>
        <v>0</v>
      </c>
      <c r="F343" s="398">
        <f t="shared" si="28"/>
        <v>0</v>
      </c>
    </row>
    <row r="344" spans="2:6">
      <c r="B344" s="64">
        <v>331</v>
      </c>
      <c r="C344" s="397">
        <f t="shared" si="25"/>
        <v>0</v>
      </c>
      <c r="D344" s="398">
        <f t="shared" si="26"/>
        <v>0</v>
      </c>
      <c r="E344" s="398">
        <f t="shared" si="27"/>
        <v>0</v>
      </c>
      <c r="F344" s="398">
        <f t="shared" si="28"/>
        <v>0</v>
      </c>
    </row>
    <row r="345" spans="2:6">
      <c r="B345" s="64">
        <v>332</v>
      </c>
      <c r="C345" s="397">
        <f t="shared" si="25"/>
        <v>0</v>
      </c>
      <c r="D345" s="398">
        <f t="shared" si="26"/>
        <v>0</v>
      </c>
      <c r="E345" s="398">
        <f t="shared" si="27"/>
        <v>0</v>
      </c>
      <c r="F345" s="398">
        <f t="shared" si="28"/>
        <v>0</v>
      </c>
    </row>
    <row r="346" spans="2:6">
      <c r="B346" s="64">
        <v>333</v>
      </c>
      <c r="C346" s="397">
        <f t="shared" si="25"/>
        <v>0</v>
      </c>
      <c r="D346" s="398">
        <f t="shared" si="26"/>
        <v>0</v>
      </c>
      <c r="E346" s="398">
        <f t="shared" si="27"/>
        <v>0</v>
      </c>
      <c r="F346" s="398">
        <f t="shared" si="28"/>
        <v>0</v>
      </c>
    </row>
    <row r="347" spans="2:6">
      <c r="B347" s="64">
        <v>334</v>
      </c>
      <c r="C347" s="397">
        <f t="shared" si="25"/>
        <v>0</v>
      </c>
      <c r="D347" s="398">
        <f t="shared" si="26"/>
        <v>0</v>
      </c>
      <c r="E347" s="398">
        <f t="shared" si="27"/>
        <v>0</v>
      </c>
      <c r="F347" s="398">
        <f t="shared" si="28"/>
        <v>0</v>
      </c>
    </row>
    <row r="348" spans="2:6">
      <c r="B348" s="64">
        <v>335</v>
      </c>
      <c r="C348" s="397">
        <f t="shared" si="25"/>
        <v>0</v>
      </c>
      <c r="D348" s="398">
        <f t="shared" si="26"/>
        <v>0</v>
      </c>
      <c r="E348" s="398">
        <f t="shared" si="27"/>
        <v>0</v>
      </c>
      <c r="F348" s="398">
        <f t="shared" si="28"/>
        <v>0</v>
      </c>
    </row>
    <row r="349" spans="2:6">
      <c r="B349" s="64">
        <v>336</v>
      </c>
      <c r="C349" s="397">
        <f t="shared" si="25"/>
        <v>0</v>
      </c>
      <c r="D349" s="398">
        <f t="shared" si="26"/>
        <v>0</v>
      </c>
      <c r="E349" s="398">
        <f t="shared" si="27"/>
        <v>0</v>
      </c>
      <c r="F349" s="398">
        <f t="shared" si="28"/>
        <v>0</v>
      </c>
    </row>
    <row r="350" spans="2:6">
      <c r="B350" s="64">
        <v>337</v>
      </c>
      <c r="C350" s="397">
        <f t="shared" si="25"/>
        <v>0</v>
      </c>
      <c r="D350" s="398">
        <f t="shared" si="26"/>
        <v>0</v>
      </c>
      <c r="E350" s="398">
        <f t="shared" si="27"/>
        <v>0</v>
      </c>
      <c r="F350" s="398">
        <f t="shared" si="28"/>
        <v>0</v>
      </c>
    </row>
    <row r="351" spans="2:6">
      <c r="B351" s="64">
        <v>338</v>
      </c>
      <c r="C351" s="397">
        <f t="shared" si="25"/>
        <v>0</v>
      </c>
      <c r="D351" s="398">
        <f t="shared" si="26"/>
        <v>0</v>
      </c>
      <c r="E351" s="398">
        <f t="shared" si="27"/>
        <v>0</v>
      </c>
      <c r="F351" s="398">
        <f t="shared" si="28"/>
        <v>0</v>
      </c>
    </row>
    <row r="352" spans="2:6">
      <c r="B352" s="64">
        <v>339</v>
      </c>
      <c r="C352" s="397">
        <f t="shared" si="25"/>
        <v>0</v>
      </c>
      <c r="D352" s="398">
        <f t="shared" si="26"/>
        <v>0</v>
      </c>
      <c r="E352" s="398">
        <f t="shared" si="27"/>
        <v>0</v>
      </c>
      <c r="F352" s="398">
        <f t="shared" si="28"/>
        <v>0</v>
      </c>
    </row>
    <row r="353" spans="2:6">
      <c r="B353" s="64">
        <v>340</v>
      </c>
      <c r="C353" s="397">
        <f t="shared" si="25"/>
        <v>0</v>
      </c>
      <c r="D353" s="398">
        <f t="shared" si="26"/>
        <v>0</v>
      </c>
      <c r="E353" s="398">
        <f t="shared" si="27"/>
        <v>0</v>
      </c>
      <c r="F353" s="398">
        <f t="shared" si="28"/>
        <v>0</v>
      </c>
    </row>
    <row r="354" spans="2:6">
      <c r="B354" s="64">
        <v>341</v>
      </c>
      <c r="C354" s="397">
        <f t="shared" si="25"/>
        <v>0</v>
      </c>
      <c r="D354" s="398">
        <f t="shared" si="26"/>
        <v>0</v>
      </c>
      <c r="E354" s="398">
        <f t="shared" si="27"/>
        <v>0</v>
      </c>
      <c r="F354" s="398">
        <f t="shared" si="28"/>
        <v>0</v>
      </c>
    </row>
    <row r="355" spans="2:6">
      <c r="B355" s="64">
        <v>342</v>
      </c>
      <c r="C355" s="397">
        <f t="shared" si="25"/>
        <v>0</v>
      </c>
      <c r="D355" s="398">
        <f t="shared" si="26"/>
        <v>0</v>
      </c>
      <c r="E355" s="398">
        <f t="shared" si="27"/>
        <v>0</v>
      </c>
      <c r="F355" s="398">
        <f t="shared" si="28"/>
        <v>0</v>
      </c>
    </row>
    <row r="356" spans="2:6">
      <c r="B356" s="64">
        <v>343</v>
      </c>
      <c r="C356" s="397">
        <f t="shared" si="25"/>
        <v>0</v>
      </c>
      <c r="D356" s="398">
        <f t="shared" si="26"/>
        <v>0</v>
      </c>
      <c r="E356" s="398">
        <f t="shared" si="27"/>
        <v>0</v>
      </c>
      <c r="F356" s="398">
        <f t="shared" si="28"/>
        <v>0</v>
      </c>
    </row>
    <row r="357" spans="2:6">
      <c r="B357" s="64">
        <v>344</v>
      </c>
      <c r="C357" s="397">
        <f t="shared" si="25"/>
        <v>0</v>
      </c>
      <c r="D357" s="398">
        <f t="shared" si="26"/>
        <v>0</v>
      </c>
      <c r="E357" s="398">
        <f t="shared" si="27"/>
        <v>0</v>
      </c>
      <c r="F357" s="398">
        <f t="shared" si="28"/>
        <v>0</v>
      </c>
    </row>
    <row r="358" spans="2:6">
      <c r="B358" s="64">
        <v>345</v>
      </c>
      <c r="C358" s="397">
        <f t="shared" si="25"/>
        <v>0</v>
      </c>
      <c r="D358" s="398">
        <f t="shared" si="26"/>
        <v>0</v>
      </c>
      <c r="E358" s="398">
        <f t="shared" si="27"/>
        <v>0</v>
      </c>
      <c r="F358" s="398">
        <f t="shared" si="28"/>
        <v>0</v>
      </c>
    </row>
    <row r="359" spans="2:6">
      <c r="B359" s="64">
        <v>346</v>
      </c>
      <c r="C359" s="397">
        <f t="shared" si="25"/>
        <v>0</v>
      </c>
      <c r="D359" s="398">
        <f t="shared" si="26"/>
        <v>0</v>
      </c>
      <c r="E359" s="398">
        <f t="shared" si="27"/>
        <v>0</v>
      </c>
      <c r="F359" s="398">
        <f t="shared" si="28"/>
        <v>0</v>
      </c>
    </row>
    <row r="360" spans="2:6">
      <c r="B360" s="64">
        <v>347</v>
      </c>
      <c r="C360" s="397">
        <f t="shared" si="25"/>
        <v>0</v>
      </c>
      <c r="D360" s="398">
        <f t="shared" si="26"/>
        <v>0</v>
      </c>
      <c r="E360" s="398">
        <f t="shared" si="27"/>
        <v>0</v>
      </c>
      <c r="F360" s="398">
        <f t="shared" si="28"/>
        <v>0</v>
      </c>
    </row>
    <row r="361" spans="2:6">
      <c r="B361" s="64">
        <v>348</v>
      </c>
      <c r="C361" s="397">
        <f t="shared" si="25"/>
        <v>0</v>
      </c>
      <c r="D361" s="398">
        <f t="shared" si="26"/>
        <v>0</v>
      </c>
      <c r="E361" s="398">
        <f t="shared" si="27"/>
        <v>0</v>
      </c>
      <c r="F361" s="398">
        <f t="shared" si="28"/>
        <v>0</v>
      </c>
    </row>
    <row r="362" spans="2:6">
      <c r="B362" s="64">
        <v>349</v>
      </c>
      <c r="C362" s="397">
        <f t="shared" si="25"/>
        <v>0</v>
      </c>
      <c r="D362" s="398">
        <f t="shared" si="26"/>
        <v>0</v>
      </c>
      <c r="E362" s="398">
        <f t="shared" si="27"/>
        <v>0</v>
      </c>
      <c r="F362" s="398">
        <f t="shared" si="28"/>
        <v>0</v>
      </c>
    </row>
    <row r="363" spans="2:6">
      <c r="B363" s="64">
        <v>350</v>
      </c>
      <c r="C363" s="397">
        <f t="shared" si="25"/>
        <v>0</v>
      </c>
      <c r="D363" s="398">
        <f t="shared" si="26"/>
        <v>0</v>
      </c>
      <c r="E363" s="398">
        <f t="shared" si="27"/>
        <v>0</v>
      </c>
      <c r="F363" s="398">
        <f t="shared" si="28"/>
        <v>0</v>
      </c>
    </row>
    <row r="364" spans="2:6">
      <c r="B364" s="64">
        <v>351</v>
      </c>
      <c r="C364" s="397">
        <f t="shared" si="25"/>
        <v>0</v>
      </c>
      <c r="D364" s="398">
        <f t="shared" si="26"/>
        <v>0</v>
      </c>
      <c r="E364" s="398">
        <f t="shared" si="27"/>
        <v>0</v>
      </c>
      <c r="F364" s="398">
        <f t="shared" si="28"/>
        <v>0</v>
      </c>
    </row>
    <row r="365" spans="2:6">
      <c r="B365" s="64">
        <v>352</v>
      </c>
      <c r="C365" s="397">
        <f t="shared" si="25"/>
        <v>0</v>
      </c>
      <c r="D365" s="398">
        <f t="shared" si="26"/>
        <v>0</v>
      </c>
      <c r="E365" s="398">
        <f t="shared" si="27"/>
        <v>0</v>
      </c>
      <c r="F365" s="398">
        <f t="shared" si="28"/>
        <v>0</v>
      </c>
    </row>
    <row r="366" spans="2:6">
      <c r="B366" s="64">
        <v>353</v>
      </c>
      <c r="C366" s="397">
        <f t="shared" si="25"/>
        <v>0</v>
      </c>
      <c r="D366" s="398">
        <f t="shared" si="26"/>
        <v>0</v>
      </c>
      <c r="E366" s="398">
        <f t="shared" si="27"/>
        <v>0</v>
      </c>
      <c r="F366" s="398">
        <f t="shared" si="28"/>
        <v>0</v>
      </c>
    </row>
    <row r="367" spans="2:6">
      <c r="B367" s="64">
        <v>354</v>
      </c>
      <c r="C367" s="397">
        <f t="shared" si="25"/>
        <v>0</v>
      </c>
      <c r="D367" s="398">
        <f t="shared" si="26"/>
        <v>0</v>
      </c>
      <c r="E367" s="398">
        <f t="shared" si="27"/>
        <v>0</v>
      </c>
      <c r="F367" s="398">
        <f t="shared" si="28"/>
        <v>0</v>
      </c>
    </row>
    <row r="368" spans="2:6">
      <c r="B368" s="64">
        <v>355</v>
      </c>
      <c r="C368" s="397">
        <f t="shared" si="25"/>
        <v>0</v>
      </c>
      <c r="D368" s="398">
        <f t="shared" si="26"/>
        <v>0</v>
      </c>
      <c r="E368" s="398">
        <f t="shared" si="27"/>
        <v>0</v>
      </c>
      <c r="F368" s="398">
        <f t="shared" si="28"/>
        <v>0</v>
      </c>
    </row>
    <row r="369" spans="2:6">
      <c r="B369" s="64">
        <v>356</v>
      </c>
      <c r="C369" s="397">
        <f t="shared" si="25"/>
        <v>0</v>
      </c>
      <c r="D369" s="398">
        <f t="shared" si="26"/>
        <v>0</v>
      </c>
      <c r="E369" s="398">
        <f t="shared" si="27"/>
        <v>0</v>
      </c>
      <c r="F369" s="398">
        <f t="shared" si="28"/>
        <v>0</v>
      </c>
    </row>
    <row r="370" spans="2:6">
      <c r="B370" s="64">
        <v>357</v>
      </c>
      <c r="C370" s="397">
        <f t="shared" si="25"/>
        <v>0</v>
      </c>
      <c r="D370" s="398">
        <f t="shared" si="26"/>
        <v>0</v>
      </c>
      <c r="E370" s="398">
        <f t="shared" si="27"/>
        <v>0</v>
      </c>
      <c r="F370" s="398">
        <f t="shared" si="28"/>
        <v>0</v>
      </c>
    </row>
    <row r="371" spans="2:6">
      <c r="B371" s="64">
        <v>358</v>
      </c>
      <c r="C371" s="397">
        <f t="shared" si="25"/>
        <v>0</v>
      </c>
      <c r="D371" s="398">
        <f t="shared" si="26"/>
        <v>0</v>
      </c>
      <c r="E371" s="398">
        <f t="shared" si="27"/>
        <v>0</v>
      </c>
      <c r="F371" s="398">
        <f t="shared" si="28"/>
        <v>0</v>
      </c>
    </row>
    <row r="372" spans="2:6">
      <c r="B372" s="64">
        <v>359</v>
      </c>
      <c r="C372" s="397">
        <f t="shared" si="25"/>
        <v>0</v>
      </c>
      <c r="D372" s="398">
        <f t="shared" si="26"/>
        <v>0</v>
      </c>
      <c r="E372" s="398">
        <f t="shared" si="27"/>
        <v>0</v>
      </c>
      <c r="F372" s="398">
        <f t="shared" si="28"/>
        <v>0</v>
      </c>
    </row>
    <row r="373" spans="2:6">
      <c r="B373" s="64">
        <v>360</v>
      </c>
      <c r="C373" s="397">
        <f t="shared" si="25"/>
        <v>0</v>
      </c>
      <c r="D373" s="398">
        <f t="shared" si="26"/>
        <v>0</v>
      </c>
      <c r="E373" s="398">
        <f t="shared" si="27"/>
        <v>0</v>
      </c>
      <c r="F373" s="398">
        <f t="shared" si="28"/>
        <v>0</v>
      </c>
    </row>
    <row r="374" spans="2:6">
      <c r="B374" s="64">
        <v>361</v>
      </c>
      <c r="C374" s="397">
        <f t="shared" si="25"/>
        <v>0</v>
      </c>
      <c r="D374" s="398">
        <f t="shared" si="26"/>
        <v>0</v>
      </c>
      <c r="E374" s="398">
        <f t="shared" si="27"/>
        <v>0</v>
      </c>
      <c r="F374" s="398">
        <f t="shared" si="28"/>
        <v>0</v>
      </c>
    </row>
    <row r="375" spans="2:6">
      <c r="B375" s="64">
        <v>362</v>
      </c>
      <c r="C375" s="397">
        <f t="shared" si="25"/>
        <v>0</v>
      </c>
      <c r="D375" s="398">
        <f t="shared" si="26"/>
        <v>0</v>
      </c>
      <c r="E375" s="398">
        <f t="shared" si="27"/>
        <v>0</v>
      </c>
      <c r="F375" s="398">
        <f t="shared" si="28"/>
        <v>0</v>
      </c>
    </row>
    <row r="376" spans="2:6">
      <c r="B376" s="64">
        <v>363</v>
      </c>
      <c r="C376" s="397">
        <f t="shared" si="25"/>
        <v>0</v>
      </c>
      <c r="D376" s="398">
        <f t="shared" si="26"/>
        <v>0</v>
      </c>
      <c r="E376" s="398">
        <f t="shared" si="27"/>
        <v>0</v>
      </c>
      <c r="F376" s="398">
        <f t="shared" si="28"/>
        <v>0</v>
      </c>
    </row>
    <row r="377" spans="2:6">
      <c r="B377" s="64">
        <v>364</v>
      </c>
      <c r="C377" s="397">
        <f t="shared" si="25"/>
        <v>0</v>
      </c>
      <c r="D377" s="398">
        <f t="shared" si="26"/>
        <v>0</v>
      </c>
      <c r="E377" s="398">
        <f t="shared" si="27"/>
        <v>0</v>
      </c>
      <c r="F377" s="398">
        <f t="shared" si="28"/>
        <v>0</v>
      </c>
    </row>
    <row r="378" spans="2:6">
      <c r="B378" s="64">
        <v>365</v>
      </c>
      <c r="C378" s="397">
        <f t="shared" si="25"/>
        <v>0</v>
      </c>
      <c r="D378" s="398">
        <f t="shared" si="26"/>
        <v>0</v>
      </c>
      <c r="E378" s="398">
        <f t="shared" si="27"/>
        <v>0</v>
      </c>
      <c r="F378" s="398">
        <f t="shared" si="28"/>
        <v>0</v>
      </c>
    </row>
    <row r="379" spans="2:6">
      <c r="B379" s="64">
        <v>366</v>
      </c>
      <c r="C379" s="397">
        <f t="shared" si="25"/>
        <v>0</v>
      </c>
      <c r="D379" s="398">
        <f t="shared" si="26"/>
        <v>0</v>
      </c>
      <c r="E379" s="398">
        <f t="shared" si="27"/>
        <v>0</v>
      </c>
      <c r="F379" s="398">
        <f t="shared" si="28"/>
        <v>0</v>
      </c>
    </row>
    <row r="380" spans="2:6">
      <c r="B380" s="64">
        <v>367</v>
      </c>
      <c r="C380" s="397">
        <f t="shared" si="25"/>
        <v>0</v>
      </c>
      <c r="D380" s="398">
        <f t="shared" si="26"/>
        <v>0</v>
      </c>
      <c r="E380" s="398">
        <f t="shared" si="27"/>
        <v>0</v>
      </c>
      <c r="F380" s="398">
        <f t="shared" si="28"/>
        <v>0</v>
      </c>
    </row>
    <row r="381" spans="2:6">
      <c r="B381" s="64">
        <v>368</v>
      </c>
      <c r="C381" s="397">
        <f t="shared" si="25"/>
        <v>0</v>
      </c>
      <c r="D381" s="398">
        <f t="shared" si="26"/>
        <v>0</v>
      </c>
      <c r="E381" s="398">
        <f t="shared" si="27"/>
        <v>0</v>
      </c>
      <c r="F381" s="398">
        <f t="shared" si="28"/>
        <v>0</v>
      </c>
    </row>
    <row r="382" spans="2:6">
      <c r="B382" s="64">
        <v>369</v>
      </c>
      <c r="C382" s="397">
        <f t="shared" si="25"/>
        <v>0</v>
      </c>
      <c r="D382" s="398">
        <f t="shared" si="26"/>
        <v>0</v>
      </c>
      <c r="E382" s="398">
        <f t="shared" si="27"/>
        <v>0</v>
      </c>
      <c r="F382" s="398">
        <f t="shared" si="28"/>
        <v>0</v>
      </c>
    </row>
    <row r="383" spans="2:6">
      <c r="B383" s="64">
        <v>370</v>
      </c>
      <c r="C383" s="397">
        <f t="shared" si="25"/>
        <v>0</v>
      </c>
      <c r="D383" s="398">
        <f t="shared" si="26"/>
        <v>0</v>
      </c>
      <c r="E383" s="398">
        <f t="shared" si="27"/>
        <v>0</v>
      </c>
      <c r="F383" s="398">
        <f t="shared" si="28"/>
        <v>0</v>
      </c>
    </row>
    <row r="384" spans="2:6">
      <c r="B384" s="64">
        <v>371</v>
      </c>
      <c r="C384" s="397">
        <f t="shared" si="25"/>
        <v>0</v>
      </c>
      <c r="D384" s="398">
        <f t="shared" si="26"/>
        <v>0</v>
      </c>
      <c r="E384" s="398">
        <f t="shared" si="27"/>
        <v>0</v>
      </c>
      <c r="F384" s="398">
        <f t="shared" si="28"/>
        <v>0</v>
      </c>
    </row>
    <row r="385" spans="2:6">
      <c r="B385" s="64">
        <v>372</v>
      </c>
      <c r="C385" s="397">
        <f t="shared" si="25"/>
        <v>0</v>
      </c>
      <c r="D385" s="398">
        <f t="shared" si="26"/>
        <v>0</v>
      </c>
      <c r="E385" s="398">
        <f t="shared" si="27"/>
        <v>0</v>
      </c>
      <c r="F385" s="398">
        <f t="shared" si="28"/>
        <v>0</v>
      </c>
    </row>
    <row r="386" spans="2:6">
      <c r="B386" s="64">
        <v>373</v>
      </c>
      <c r="C386" s="397">
        <f t="shared" si="25"/>
        <v>0</v>
      </c>
      <c r="D386" s="398">
        <f t="shared" si="26"/>
        <v>0</v>
      </c>
      <c r="E386" s="398">
        <f t="shared" si="27"/>
        <v>0</v>
      </c>
      <c r="F386" s="398">
        <f t="shared" si="28"/>
        <v>0</v>
      </c>
    </row>
    <row r="387" spans="2:6">
      <c r="B387" s="64">
        <v>374</v>
      </c>
      <c r="C387" s="397">
        <f t="shared" si="25"/>
        <v>0</v>
      </c>
      <c r="D387" s="398">
        <f t="shared" si="26"/>
        <v>0</v>
      </c>
      <c r="E387" s="398">
        <f t="shared" si="27"/>
        <v>0</v>
      </c>
      <c r="F387" s="398">
        <f t="shared" si="28"/>
        <v>0</v>
      </c>
    </row>
    <row r="388" spans="2:6">
      <c r="B388" s="64">
        <v>375</v>
      </c>
      <c r="C388" s="397">
        <f t="shared" si="25"/>
        <v>0</v>
      </c>
      <c r="D388" s="398">
        <f t="shared" si="26"/>
        <v>0</v>
      </c>
      <c r="E388" s="398">
        <f t="shared" si="27"/>
        <v>0</v>
      </c>
      <c r="F388" s="398">
        <f t="shared" si="28"/>
        <v>0</v>
      </c>
    </row>
    <row r="389" spans="2:6">
      <c r="B389" s="64">
        <v>376</v>
      </c>
      <c r="C389" s="397">
        <f t="shared" si="25"/>
        <v>0</v>
      </c>
      <c r="D389" s="398">
        <f t="shared" si="26"/>
        <v>0</v>
      </c>
      <c r="E389" s="398">
        <f t="shared" si="27"/>
        <v>0</v>
      </c>
      <c r="F389" s="398">
        <f t="shared" si="28"/>
        <v>0</v>
      </c>
    </row>
    <row r="390" spans="2:6">
      <c r="B390" s="64">
        <v>377</v>
      </c>
      <c r="C390" s="397">
        <f t="shared" si="25"/>
        <v>0</v>
      </c>
      <c r="D390" s="398">
        <f t="shared" si="26"/>
        <v>0</v>
      </c>
      <c r="E390" s="398">
        <f t="shared" si="27"/>
        <v>0</v>
      </c>
      <c r="F390" s="398">
        <f t="shared" si="28"/>
        <v>0</v>
      </c>
    </row>
    <row r="391" spans="2:6">
      <c r="B391" s="64">
        <v>378</v>
      </c>
      <c r="C391" s="397">
        <f t="shared" si="25"/>
        <v>0</v>
      </c>
      <c r="D391" s="398">
        <f t="shared" si="26"/>
        <v>0</v>
      </c>
      <c r="E391" s="398">
        <f t="shared" si="27"/>
        <v>0</v>
      </c>
      <c r="F391" s="398">
        <f t="shared" si="28"/>
        <v>0</v>
      </c>
    </row>
    <row r="392" spans="2:6">
      <c r="B392" s="64">
        <v>379</v>
      </c>
      <c r="C392" s="397">
        <f t="shared" si="25"/>
        <v>0</v>
      </c>
      <c r="D392" s="398">
        <f t="shared" si="26"/>
        <v>0</v>
      </c>
      <c r="E392" s="398">
        <f t="shared" si="27"/>
        <v>0</v>
      </c>
      <c r="F392" s="398">
        <f t="shared" si="28"/>
        <v>0</v>
      </c>
    </row>
    <row r="393" spans="2:6">
      <c r="B393" s="64">
        <v>380</v>
      </c>
      <c r="C393" s="397">
        <f t="shared" si="25"/>
        <v>0</v>
      </c>
      <c r="D393" s="398">
        <f t="shared" si="26"/>
        <v>0</v>
      </c>
      <c r="E393" s="398">
        <f t="shared" si="27"/>
        <v>0</v>
      </c>
      <c r="F393" s="398">
        <f t="shared" si="28"/>
        <v>0</v>
      </c>
    </row>
    <row r="394" spans="2:6">
      <c r="B394" s="64">
        <v>381</v>
      </c>
      <c r="C394" s="397">
        <f t="shared" si="25"/>
        <v>0</v>
      </c>
      <c r="D394" s="398">
        <f t="shared" si="26"/>
        <v>0</v>
      </c>
      <c r="E394" s="398">
        <f t="shared" si="27"/>
        <v>0</v>
      </c>
      <c r="F394" s="398">
        <f t="shared" si="28"/>
        <v>0</v>
      </c>
    </row>
    <row r="395" spans="2:6">
      <c r="B395" s="64">
        <v>382</v>
      </c>
      <c r="C395" s="397">
        <f t="shared" si="25"/>
        <v>0</v>
      </c>
      <c r="D395" s="398">
        <f t="shared" si="26"/>
        <v>0</v>
      </c>
      <c r="E395" s="398">
        <f t="shared" si="27"/>
        <v>0</v>
      </c>
      <c r="F395" s="398">
        <f t="shared" si="28"/>
        <v>0</v>
      </c>
    </row>
    <row r="396" spans="2:6">
      <c r="B396" s="64">
        <v>383</v>
      </c>
      <c r="C396" s="397">
        <f t="shared" si="25"/>
        <v>0</v>
      </c>
      <c r="D396" s="398">
        <f t="shared" si="26"/>
        <v>0</v>
      </c>
      <c r="E396" s="398">
        <f t="shared" si="27"/>
        <v>0</v>
      </c>
      <c r="F396" s="398">
        <f t="shared" si="28"/>
        <v>0</v>
      </c>
    </row>
    <row r="397" spans="2:6">
      <c r="B397" s="64">
        <v>384</v>
      </c>
      <c r="C397" s="397">
        <f t="shared" si="25"/>
        <v>0</v>
      </c>
      <c r="D397" s="398">
        <f t="shared" si="26"/>
        <v>0</v>
      </c>
      <c r="E397" s="398">
        <f t="shared" si="27"/>
        <v>0</v>
      </c>
      <c r="F397" s="398">
        <f t="shared" si="28"/>
        <v>0</v>
      </c>
    </row>
    <row r="398" spans="2:6">
      <c r="B398" s="64">
        <v>385</v>
      </c>
      <c r="C398" s="397">
        <f t="shared" si="25"/>
        <v>0</v>
      </c>
      <c r="D398" s="398">
        <f t="shared" si="26"/>
        <v>0</v>
      </c>
      <c r="E398" s="398">
        <f t="shared" si="27"/>
        <v>0</v>
      </c>
      <c r="F398" s="398">
        <f t="shared" si="28"/>
        <v>0</v>
      </c>
    </row>
    <row r="399" spans="2:6">
      <c r="B399" s="64">
        <v>386</v>
      </c>
      <c r="C399" s="397">
        <f t="shared" ref="C399:C462" si="29">IF(F398&gt;$C$7,$C$7,F398+D399)</f>
        <v>0</v>
      </c>
      <c r="D399" s="398">
        <f t="shared" ref="D399:D462" si="30">+$C$5*F398/12</f>
        <v>0</v>
      </c>
      <c r="E399" s="398">
        <f t="shared" si="27"/>
        <v>0</v>
      </c>
      <c r="F399" s="398">
        <f t="shared" si="28"/>
        <v>0</v>
      </c>
    </row>
    <row r="400" spans="2:6">
      <c r="B400" s="64">
        <v>387</v>
      </c>
      <c r="C400" s="397">
        <f t="shared" si="29"/>
        <v>0</v>
      </c>
      <c r="D400" s="398">
        <f t="shared" si="30"/>
        <v>0</v>
      </c>
      <c r="E400" s="398">
        <f t="shared" ref="E400:E463" si="31">+C400-D400</f>
        <v>0</v>
      </c>
      <c r="F400" s="398">
        <f t="shared" ref="F400:F463" si="32">+F399-E400</f>
        <v>0</v>
      </c>
    </row>
    <row r="401" spans="2:6">
      <c r="B401" s="64">
        <v>388</v>
      </c>
      <c r="C401" s="397">
        <f t="shared" si="29"/>
        <v>0</v>
      </c>
      <c r="D401" s="398">
        <f t="shared" si="30"/>
        <v>0</v>
      </c>
      <c r="E401" s="398">
        <f t="shared" si="31"/>
        <v>0</v>
      </c>
      <c r="F401" s="398">
        <f t="shared" si="32"/>
        <v>0</v>
      </c>
    </row>
    <row r="402" spans="2:6">
      <c r="B402" s="64">
        <v>389</v>
      </c>
      <c r="C402" s="397">
        <f t="shared" si="29"/>
        <v>0</v>
      </c>
      <c r="D402" s="398">
        <f t="shared" si="30"/>
        <v>0</v>
      </c>
      <c r="E402" s="398">
        <f t="shared" si="31"/>
        <v>0</v>
      </c>
      <c r="F402" s="398">
        <f t="shared" si="32"/>
        <v>0</v>
      </c>
    </row>
    <row r="403" spans="2:6">
      <c r="B403" s="64">
        <v>390</v>
      </c>
      <c r="C403" s="397">
        <f t="shared" si="29"/>
        <v>0</v>
      </c>
      <c r="D403" s="398">
        <f t="shared" si="30"/>
        <v>0</v>
      </c>
      <c r="E403" s="398">
        <f t="shared" si="31"/>
        <v>0</v>
      </c>
      <c r="F403" s="398">
        <f t="shared" si="32"/>
        <v>0</v>
      </c>
    </row>
    <row r="404" spans="2:6">
      <c r="B404" s="64">
        <v>391</v>
      </c>
      <c r="C404" s="397">
        <f t="shared" si="29"/>
        <v>0</v>
      </c>
      <c r="D404" s="398">
        <f t="shared" si="30"/>
        <v>0</v>
      </c>
      <c r="E404" s="398">
        <f t="shared" si="31"/>
        <v>0</v>
      </c>
      <c r="F404" s="398">
        <f t="shared" si="32"/>
        <v>0</v>
      </c>
    </row>
    <row r="405" spans="2:6">
      <c r="B405" s="64">
        <v>392</v>
      </c>
      <c r="C405" s="397">
        <f t="shared" si="29"/>
        <v>0</v>
      </c>
      <c r="D405" s="398">
        <f t="shared" si="30"/>
        <v>0</v>
      </c>
      <c r="E405" s="398">
        <f t="shared" si="31"/>
        <v>0</v>
      </c>
      <c r="F405" s="398">
        <f t="shared" si="32"/>
        <v>0</v>
      </c>
    </row>
    <row r="406" spans="2:6">
      <c r="B406" s="64">
        <v>393</v>
      </c>
      <c r="C406" s="397">
        <f t="shared" si="29"/>
        <v>0</v>
      </c>
      <c r="D406" s="398">
        <f t="shared" si="30"/>
        <v>0</v>
      </c>
      <c r="E406" s="398">
        <f t="shared" si="31"/>
        <v>0</v>
      </c>
      <c r="F406" s="398">
        <f t="shared" si="32"/>
        <v>0</v>
      </c>
    </row>
    <row r="407" spans="2:6">
      <c r="B407" s="64">
        <v>394</v>
      </c>
      <c r="C407" s="397">
        <f t="shared" si="29"/>
        <v>0</v>
      </c>
      <c r="D407" s="398">
        <f t="shared" si="30"/>
        <v>0</v>
      </c>
      <c r="E407" s="398">
        <f t="shared" si="31"/>
        <v>0</v>
      </c>
      <c r="F407" s="398">
        <f t="shared" si="32"/>
        <v>0</v>
      </c>
    </row>
    <row r="408" spans="2:6">
      <c r="B408" s="64">
        <v>395</v>
      </c>
      <c r="C408" s="397">
        <f t="shared" si="29"/>
        <v>0</v>
      </c>
      <c r="D408" s="398">
        <f t="shared" si="30"/>
        <v>0</v>
      </c>
      <c r="E408" s="398">
        <f t="shared" si="31"/>
        <v>0</v>
      </c>
      <c r="F408" s="398">
        <f t="shared" si="32"/>
        <v>0</v>
      </c>
    </row>
    <row r="409" spans="2:6">
      <c r="B409" s="64">
        <v>396</v>
      </c>
      <c r="C409" s="397">
        <f t="shared" si="29"/>
        <v>0</v>
      </c>
      <c r="D409" s="398">
        <f t="shared" si="30"/>
        <v>0</v>
      </c>
      <c r="E409" s="398">
        <f t="shared" si="31"/>
        <v>0</v>
      </c>
      <c r="F409" s="398">
        <f t="shared" si="32"/>
        <v>0</v>
      </c>
    </row>
    <row r="410" spans="2:6">
      <c r="B410" s="64">
        <v>397</v>
      </c>
      <c r="C410" s="397">
        <f t="shared" si="29"/>
        <v>0</v>
      </c>
      <c r="D410" s="398">
        <f t="shared" si="30"/>
        <v>0</v>
      </c>
      <c r="E410" s="398">
        <f t="shared" si="31"/>
        <v>0</v>
      </c>
      <c r="F410" s="398">
        <f t="shared" si="32"/>
        <v>0</v>
      </c>
    </row>
    <row r="411" spans="2:6">
      <c r="B411" s="64">
        <v>398</v>
      </c>
      <c r="C411" s="397">
        <f t="shared" si="29"/>
        <v>0</v>
      </c>
      <c r="D411" s="398">
        <f t="shared" si="30"/>
        <v>0</v>
      </c>
      <c r="E411" s="398">
        <f t="shared" si="31"/>
        <v>0</v>
      </c>
      <c r="F411" s="398">
        <f t="shared" si="32"/>
        <v>0</v>
      </c>
    </row>
    <row r="412" spans="2:6">
      <c r="B412" s="64">
        <v>399</v>
      </c>
      <c r="C412" s="397">
        <f t="shared" si="29"/>
        <v>0</v>
      </c>
      <c r="D412" s="398">
        <f t="shared" si="30"/>
        <v>0</v>
      </c>
      <c r="E412" s="398">
        <f t="shared" si="31"/>
        <v>0</v>
      </c>
      <c r="F412" s="398">
        <f t="shared" si="32"/>
        <v>0</v>
      </c>
    </row>
    <row r="413" spans="2:6">
      <c r="B413" s="64">
        <v>400</v>
      </c>
      <c r="C413" s="397">
        <f t="shared" si="29"/>
        <v>0</v>
      </c>
      <c r="D413" s="398">
        <f t="shared" si="30"/>
        <v>0</v>
      </c>
      <c r="E413" s="398">
        <f t="shared" si="31"/>
        <v>0</v>
      </c>
      <c r="F413" s="398">
        <f t="shared" si="32"/>
        <v>0</v>
      </c>
    </row>
    <row r="414" spans="2:6">
      <c r="B414" s="64">
        <v>401</v>
      </c>
      <c r="C414" s="397">
        <f t="shared" si="29"/>
        <v>0</v>
      </c>
      <c r="D414" s="398">
        <f t="shared" si="30"/>
        <v>0</v>
      </c>
      <c r="E414" s="398">
        <f t="shared" si="31"/>
        <v>0</v>
      </c>
      <c r="F414" s="398">
        <f t="shared" si="32"/>
        <v>0</v>
      </c>
    </row>
    <row r="415" spans="2:6">
      <c r="B415" s="64">
        <v>402</v>
      </c>
      <c r="C415" s="397">
        <f t="shared" si="29"/>
        <v>0</v>
      </c>
      <c r="D415" s="398">
        <f t="shared" si="30"/>
        <v>0</v>
      </c>
      <c r="E415" s="398">
        <f t="shared" si="31"/>
        <v>0</v>
      </c>
      <c r="F415" s="398">
        <f t="shared" si="32"/>
        <v>0</v>
      </c>
    </row>
    <row r="416" spans="2:6">
      <c r="B416" s="64">
        <v>403</v>
      </c>
      <c r="C416" s="397">
        <f t="shared" si="29"/>
        <v>0</v>
      </c>
      <c r="D416" s="398">
        <f t="shared" si="30"/>
        <v>0</v>
      </c>
      <c r="E416" s="398">
        <f t="shared" si="31"/>
        <v>0</v>
      </c>
      <c r="F416" s="398">
        <f t="shared" si="32"/>
        <v>0</v>
      </c>
    </row>
    <row r="417" spans="2:6">
      <c r="B417" s="64">
        <v>404</v>
      </c>
      <c r="C417" s="397">
        <f t="shared" si="29"/>
        <v>0</v>
      </c>
      <c r="D417" s="398">
        <f t="shared" si="30"/>
        <v>0</v>
      </c>
      <c r="E417" s="398">
        <f t="shared" si="31"/>
        <v>0</v>
      </c>
      <c r="F417" s="398">
        <f t="shared" si="32"/>
        <v>0</v>
      </c>
    </row>
    <row r="418" spans="2:6">
      <c r="B418" s="64">
        <v>405</v>
      </c>
      <c r="C418" s="397">
        <f t="shared" si="29"/>
        <v>0</v>
      </c>
      <c r="D418" s="398">
        <f t="shared" si="30"/>
        <v>0</v>
      </c>
      <c r="E418" s="398">
        <f t="shared" si="31"/>
        <v>0</v>
      </c>
      <c r="F418" s="398">
        <f t="shared" si="32"/>
        <v>0</v>
      </c>
    </row>
    <row r="419" spans="2:6">
      <c r="B419" s="64">
        <v>406</v>
      </c>
      <c r="C419" s="397">
        <f t="shared" si="29"/>
        <v>0</v>
      </c>
      <c r="D419" s="398">
        <f t="shared" si="30"/>
        <v>0</v>
      </c>
      <c r="E419" s="398">
        <f t="shared" si="31"/>
        <v>0</v>
      </c>
      <c r="F419" s="398">
        <f t="shared" si="32"/>
        <v>0</v>
      </c>
    </row>
    <row r="420" spans="2:6">
      <c r="B420" s="64">
        <v>407</v>
      </c>
      <c r="C420" s="397">
        <f t="shared" si="29"/>
        <v>0</v>
      </c>
      <c r="D420" s="398">
        <f t="shared" si="30"/>
        <v>0</v>
      </c>
      <c r="E420" s="398">
        <f t="shared" si="31"/>
        <v>0</v>
      </c>
      <c r="F420" s="398">
        <f t="shared" si="32"/>
        <v>0</v>
      </c>
    </row>
    <row r="421" spans="2:6">
      <c r="B421" s="64">
        <v>408</v>
      </c>
      <c r="C421" s="397">
        <f t="shared" si="29"/>
        <v>0</v>
      </c>
      <c r="D421" s="398">
        <f t="shared" si="30"/>
        <v>0</v>
      </c>
      <c r="E421" s="398">
        <f t="shared" si="31"/>
        <v>0</v>
      </c>
      <c r="F421" s="398">
        <f t="shared" si="32"/>
        <v>0</v>
      </c>
    </row>
    <row r="422" spans="2:6">
      <c r="B422" s="64">
        <v>409</v>
      </c>
      <c r="C422" s="397">
        <f t="shared" si="29"/>
        <v>0</v>
      </c>
      <c r="D422" s="398">
        <f t="shared" si="30"/>
        <v>0</v>
      </c>
      <c r="E422" s="398">
        <f t="shared" si="31"/>
        <v>0</v>
      </c>
      <c r="F422" s="398">
        <f t="shared" si="32"/>
        <v>0</v>
      </c>
    </row>
    <row r="423" spans="2:6">
      <c r="B423" s="64">
        <v>410</v>
      </c>
      <c r="C423" s="397">
        <f t="shared" si="29"/>
        <v>0</v>
      </c>
      <c r="D423" s="398">
        <f t="shared" si="30"/>
        <v>0</v>
      </c>
      <c r="E423" s="398">
        <f t="shared" si="31"/>
        <v>0</v>
      </c>
      <c r="F423" s="398">
        <f t="shared" si="32"/>
        <v>0</v>
      </c>
    </row>
    <row r="424" spans="2:6">
      <c r="B424" s="64">
        <v>411</v>
      </c>
      <c r="C424" s="397">
        <f t="shared" si="29"/>
        <v>0</v>
      </c>
      <c r="D424" s="398">
        <f t="shared" si="30"/>
        <v>0</v>
      </c>
      <c r="E424" s="398">
        <f t="shared" si="31"/>
        <v>0</v>
      </c>
      <c r="F424" s="398">
        <f t="shared" si="32"/>
        <v>0</v>
      </c>
    </row>
    <row r="425" spans="2:6">
      <c r="B425" s="64">
        <v>412</v>
      </c>
      <c r="C425" s="397">
        <f t="shared" si="29"/>
        <v>0</v>
      </c>
      <c r="D425" s="398">
        <f t="shared" si="30"/>
        <v>0</v>
      </c>
      <c r="E425" s="398">
        <f t="shared" si="31"/>
        <v>0</v>
      </c>
      <c r="F425" s="398">
        <f t="shared" si="32"/>
        <v>0</v>
      </c>
    </row>
    <row r="426" spans="2:6">
      <c r="B426" s="64">
        <v>413</v>
      </c>
      <c r="C426" s="397">
        <f t="shared" si="29"/>
        <v>0</v>
      </c>
      <c r="D426" s="398">
        <f t="shared" si="30"/>
        <v>0</v>
      </c>
      <c r="E426" s="398">
        <f t="shared" si="31"/>
        <v>0</v>
      </c>
      <c r="F426" s="398">
        <f t="shared" si="32"/>
        <v>0</v>
      </c>
    </row>
    <row r="427" spans="2:6">
      <c r="B427" s="64">
        <v>414</v>
      </c>
      <c r="C427" s="397">
        <f t="shared" si="29"/>
        <v>0</v>
      </c>
      <c r="D427" s="398">
        <f t="shared" si="30"/>
        <v>0</v>
      </c>
      <c r="E427" s="398">
        <f t="shared" si="31"/>
        <v>0</v>
      </c>
      <c r="F427" s="398">
        <f t="shared" si="32"/>
        <v>0</v>
      </c>
    </row>
    <row r="428" spans="2:6">
      <c r="B428" s="64">
        <v>415</v>
      </c>
      <c r="C428" s="397">
        <f t="shared" si="29"/>
        <v>0</v>
      </c>
      <c r="D428" s="398">
        <f t="shared" si="30"/>
        <v>0</v>
      </c>
      <c r="E428" s="398">
        <f t="shared" si="31"/>
        <v>0</v>
      </c>
      <c r="F428" s="398">
        <f t="shared" si="32"/>
        <v>0</v>
      </c>
    </row>
    <row r="429" spans="2:6">
      <c r="B429" s="64">
        <v>416</v>
      </c>
      <c r="C429" s="397">
        <f t="shared" si="29"/>
        <v>0</v>
      </c>
      <c r="D429" s="398">
        <f t="shared" si="30"/>
        <v>0</v>
      </c>
      <c r="E429" s="398">
        <f t="shared" si="31"/>
        <v>0</v>
      </c>
      <c r="F429" s="398">
        <f t="shared" si="32"/>
        <v>0</v>
      </c>
    </row>
    <row r="430" spans="2:6">
      <c r="B430" s="64">
        <v>417</v>
      </c>
      <c r="C430" s="397">
        <f t="shared" si="29"/>
        <v>0</v>
      </c>
      <c r="D430" s="398">
        <f t="shared" si="30"/>
        <v>0</v>
      </c>
      <c r="E430" s="398">
        <f t="shared" si="31"/>
        <v>0</v>
      </c>
      <c r="F430" s="398">
        <f t="shared" si="32"/>
        <v>0</v>
      </c>
    </row>
    <row r="431" spans="2:6">
      <c r="B431" s="64">
        <v>418</v>
      </c>
      <c r="C431" s="397">
        <f t="shared" si="29"/>
        <v>0</v>
      </c>
      <c r="D431" s="398">
        <f t="shared" si="30"/>
        <v>0</v>
      </c>
      <c r="E431" s="398">
        <f t="shared" si="31"/>
        <v>0</v>
      </c>
      <c r="F431" s="398">
        <f t="shared" si="32"/>
        <v>0</v>
      </c>
    </row>
    <row r="432" spans="2:6">
      <c r="B432" s="64">
        <v>419</v>
      </c>
      <c r="C432" s="397">
        <f t="shared" si="29"/>
        <v>0</v>
      </c>
      <c r="D432" s="398">
        <f t="shared" si="30"/>
        <v>0</v>
      </c>
      <c r="E432" s="398">
        <f t="shared" si="31"/>
        <v>0</v>
      </c>
      <c r="F432" s="398">
        <f t="shared" si="32"/>
        <v>0</v>
      </c>
    </row>
    <row r="433" spans="2:6">
      <c r="B433" s="64">
        <v>420</v>
      </c>
      <c r="C433" s="397">
        <f t="shared" si="29"/>
        <v>0</v>
      </c>
      <c r="D433" s="398">
        <f t="shared" si="30"/>
        <v>0</v>
      </c>
      <c r="E433" s="398">
        <f t="shared" si="31"/>
        <v>0</v>
      </c>
      <c r="F433" s="398">
        <f t="shared" si="32"/>
        <v>0</v>
      </c>
    </row>
    <row r="434" spans="2:6">
      <c r="B434" s="64">
        <v>421</v>
      </c>
      <c r="C434" s="397">
        <f t="shared" si="29"/>
        <v>0</v>
      </c>
      <c r="D434" s="398">
        <f t="shared" si="30"/>
        <v>0</v>
      </c>
      <c r="E434" s="398">
        <f t="shared" si="31"/>
        <v>0</v>
      </c>
      <c r="F434" s="398">
        <f t="shared" si="32"/>
        <v>0</v>
      </c>
    </row>
    <row r="435" spans="2:6">
      <c r="B435" s="64">
        <v>422</v>
      </c>
      <c r="C435" s="397">
        <f t="shared" si="29"/>
        <v>0</v>
      </c>
      <c r="D435" s="398">
        <f t="shared" si="30"/>
        <v>0</v>
      </c>
      <c r="E435" s="398">
        <f t="shared" si="31"/>
        <v>0</v>
      </c>
      <c r="F435" s="398">
        <f t="shared" si="32"/>
        <v>0</v>
      </c>
    </row>
    <row r="436" spans="2:6">
      <c r="B436" s="64">
        <v>423</v>
      </c>
      <c r="C436" s="397">
        <f t="shared" si="29"/>
        <v>0</v>
      </c>
      <c r="D436" s="398">
        <f t="shared" si="30"/>
        <v>0</v>
      </c>
      <c r="E436" s="398">
        <f t="shared" si="31"/>
        <v>0</v>
      </c>
      <c r="F436" s="398">
        <f t="shared" si="32"/>
        <v>0</v>
      </c>
    </row>
    <row r="437" spans="2:6">
      <c r="B437" s="64">
        <v>424</v>
      </c>
      <c r="C437" s="397">
        <f t="shared" si="29"/>
        <v>0</v>
      </c>
      <c r="D437" s="398">
        <f t="shared" si="30"/>
        <v>0</v>
      </c>
      <c r="E437" s="398">
        <f t="shared" si="31"/>
        <v>0</v>
      </c>
      <c r="F437" s="398">
        <f t="shared" si="32"/>
        <v>0</v>
      </c>
    </row>
    <row r="438" spans="2:6">
      <c r="B438" s="64">
        <v>425</v>
      </c>
      <c r="C438" s="397">
        <f t="shared" si="29"/>
        <v>0</v>
      </c>
      <c r="D438" s="398">
        <f t="shared" si="30"/>
        <v>0</v>
      </c>
      <c r="E438" s="398">
        <f t="shared" si="31"/>
        <v>0</v>
      </c>
      <c r="F438" s="398">
        <f t="shared" si="32"/>
        <v>0</v>
      </c>
    </row>
    <row r="439" spans="2:6">
      <c r="B439" s="64">
        <v>426</v>
      </c>
      <c r="C439" s="397">
        <f t="shared" si="29"/>
        <v>0</v>
      </c>
      <c r="D439" s="398">
        <f t="shared" si="30"/>
        <v>0</v>
      </c>
      <c r="E439" s="398">
        <f t="shared" si="31"/>
        <v>0</v>
      </c>
      <c r="F439" s="398">
        <f t="shared" si="32"/>
        <v>0</v>
      </c>
    </row>
    <row r="440" spans="2:6">
      <c r="B440" s="64">
        <v>427</v>
      </c>
      <c r="C440" s="397">
        <f t="shared" si="29"/>
        <v>0</v>
      </c>
      <c r="D440" s="398">
        <f t="shared" si="30"/>
        <v>0</v>
      </c>
      <c r="E440" s="398">
        <f t="shared" si="31"/>
        <v>0</v>
      </c>
      <c r="F440" s="398">
        <f t="shared" si="32"/>
        <v>0</v>
      </c>
    </row>
    <row r="441" spans="2:6">
      <c r="B441" s="64">
        <v>428</v>
      </c>
      <c r="C441" s="397">
        <f t="shared" si="29"/>
        <v>0</v>
      </c>
      <c r="D441" s="398">
        <f t="shared" si="30"/>
        <v>0</v>
      </c>
      <c r="E441" s="398">
        <f t="shared" si="31"/>
        <v>0</v>
      </c>
      <c r="F441" s="398">
        <f t="shared" si="32"/>
        <v>0</v>
      </c>
    </row>
    <row r="442" spans="2:6">
      <c r="B442" s="64">
        <v>429</v>
      </c>
      <c r="C442" s="397">
        <f t="shared" si="29"/>
        <v>0</v>
      </c>
      <c r="D442" s="398">
        <f t="shared" si="30"/>
        <v>0</v>
      </c>
      <c r="E442" s="398">
        <f t="shared" si="31"/>
        <v>0</v>
      </c>
      <c r="F442" s="398">
        <f t="shared" si="32"/>
        <v>0</v>
      </c>
    </row>
    <row r="443" spans="2:6">
      <c r="B443" s="64">
        <v>430</v>
      </c>
      <c r="C443" s="397">
        <f t="shared" si="29"/>
        <v>0</v>
      </c>
      <c r="D443" s="398">
        <f t="shared" si="30"/>
        <v>0</v>
      </c>
      <c r="E443" s="398">
        <f t="shared" si="31"/>
        <v>0</v>
      </c>
      <c r="F443" s="398">
        <f t="shared" si="32"/>
        <v>0</v>
      </c>
    </row>
    <row r="444" spans="2:6">
      <c r="B444" s="64">
        <v>431</v>
      </c>
      <c r="C444" s="397">
        <f t="shared" si="29"/>
        <v>0</v>
      </c>
      <c r="D444" s="398">
        <f t="shared" si="30"/>
        <v>0</v>
      </c>
      <c r="E444" s="398">
        <f t="shared" si="31"/>
        <v>0</v>
      </c>
      <c r="F444" s="398">
        <f t="shared" si="32"/>
        <v>0</v>
      </c>
    </row>
    <row r="445" spans="2:6">
      <c r="B445" s="64">
        <v>432</v>
      </c>
      <c r="C445" s="397">
        <f t="shared" si="29"/>
        <v>0</v>
      </c>
      <c r="D445" s="398">
        <f t="shared" si="30"/>
        <v>0</v>
      </c>
      <c r="E445" s="398">
        <f t="shared" si="31"/>
        <v>0</v>
      </c>
      <c r="F445" s="398">
        <f t="shared" si="32"/>
        <v>0</v>
      </c>
    </row>
    <row r="446" spans="2:6">
      <c r="B446" s="64">
        <v>433</v>
      </c>
      <c r="C446" s="397">
        <f t="shared" si="29"/>
        <v>0</v>
      </c>
      <c r="D446" s="398">
        <f t="shared" si="30"/>
        <v>0</v>
      </c>
      <c r="E446" s="398">
        <f t="shared" si="31"/>
        <v>0</v>
      </c>
      <c r="F446" s="398">
        <f t="shared" si="32"/>
        <v>0</v>
      </c>
    </row>
    <row r="447" spans="2:6">
      <c r="B447" s="64">
        <v>434</v>
      </c>
      <c r="C447" s="397">
        <f t="shared" si="29"/>
        <v>0</v>
      </c>
      <c r="D447" s="398">
        <f t="shared" si="30"/>
        <v>0</v>
      </c>
      <c r="E447" s="398">
        <f t="shared" si="31"/>
        <v>0</v>
      </c>
      <c r="F447" s="398">
        <f t="shared" si="32"/>
        <v>0</v>
      </c>
    </row>
    <row r="448" spans="2:6">
      <c r="B448" s="64">
        <v>435</v>
      </c>
      <c r="C448" s="397">
        <f t="shared" si="29"/>
        <v>0</v>
      </c>
      <c r="D448" s="398">
        <f t="shared" si="30"/>
        <v>0</v>
      </c>
      <c r="E448" s="398">
        <f t="shared" si="31"/>
        <v>0</v>
      </c>
      <c r="F448" s="398">
        <f t="shared" si="32"/>
        <v>0</v>
      </c>
    </row>
    <row r="449" spans="2:6">
      <c r="B449" s="64">
        <v>436</v>
      </c>
      <c r="C449" s="397">
        <f t="shared" si="29"/>
        <v>0</v>
      </c>
      <c r="D449" s="398">
        <f t="shared" si="30"/>
        <v>0</v>
      </c>
      <c r="E449" s="398">
        <f t="shared" si="31"/>
        <v>0</v>
      </c>
      <c r="F449" s="398">
        <f t="shared" si="32"/>
        <v>0</v>
      </c>
    </row>
    <row r="450" spans="2:6">
      <c r="B450" s="64">
        <v>437</v>
      </c>
      <c r="C450" s="397">
        <f t="shared" si="29"/>
        <v>0</v>
      </c>
      <c r="D450" s="398">
        <f t="shared" si="30"/>
        <v>0</v>
      </c>
      <c r="E450" s="398">
        <f t="shared" si="31"/>
        <v>0</v>
      </c>
      <c r="F450" s="398">
        <f t="shared" si="32"/>
        <v>0</v>
      </c>
    </row>
    <row r="451" spans="2:6">
      <c r="B451" s="64">
        <v>438</v>
      </c>
      <c r="C451" s="397">
        <f t="shared" si="29"/>
        <v>0</v>
      </c>
      <c r="D451" s="398">
        <f t="shared" si="30"/>
        <v>0</v>
      </c>
      <c r="E451" s="398">
        <f t="shared" si="31"/>
        <v>0</v>
      </c>
      <c r="F451" s="398">
        <f t="shared" si="32"/>
        <v>0</v>
      </c>
    </row>
    <row r="452" spans="2:6">
      <c r="B452" s="64">
        <v>439</v>
      </c>
      <c r="C452" s="397">
        <f t="shared" si="29"/>
        <v>0</v>
      </c>
      <c r="D452" s="398">
        <f t="shared" si="30"/>
        <v>0</v>
      </c>
      <c r="E452" s="398">
        <f t="shared" si="31"/>
        <v>0</v>
      </c>
      <c r="F452" s="398">
        <f t="shared" si="32"/>
        <v>0</v>
      </c>
    </row>
    <row r="453" spans="2:6">
      <c r="B453" s="64">
        <v>440</v>
      </c>
      <c r="C453" s="397">
        <f t="shared" si="29"/>
        <v>0</v>
      </c>
      <c r="D453" s="398">
        <f t="shared" si="30"/>
        <v>0</v>
      </c>
      <c r="E453" s="398">
        <f t="shared" si="31"/>
        <v>0</v>
      </c>
      <c r="F453" s="398">
        <f t="shared" si="32"/>
        <v>0</v>
      </c>
    </row>
    <row r="454" spans="2:6">
      <c r="B454" s="64">
        <v>441</v>
      </c>
      <c r="C454" s="397">
        <f t="shared" si="29"/>
        <v>0</v>
      </c>
      <c r="D454" s="398">
        <f t="shared" si="30"/>
        <v>0</v>
      </c>
      <c r="E454" s="398">
        <f t="shared" si="31"/>
        <v>0</v>
      </c>
      <c r="F454" s="398">
        <f t="shared" si="32"/>
        <v>0</v>
      </c>
    </row>
    <row r="455" spans="2:6">
      <c r="B455" s="64">
        <v>442</v>
      </c>
      <c r="C455" s="397">
        <f t="shared" si="29"/>
        <v>0</v>
      </c>
      <c r="D455" s="398">
        <f t="shared" si="30"/>
        <v>0</v>
      </c>
      <c r="E455" s="398">
        <f t="shared" si="31"/>
        <v>0</v>
      </c>
      <c r="F455" s="398">
        <f t="shared" si="32"/>
        <v>0</v>
      </c>
    </row>
    <row r="456" spans="2:6">
      <c r="B456" s="64">
        <v>443</v>
      </c>
      <c r="C456" s="397">
        <f t="shared" si="29"/>
        <v>0</v>
      </c>
      <c r="D456" s="398">
        <f t="shared" si="30"/>
        <v>0</v>
      </c>
      <c r="E456" s="398">
        <f t="shared" si="31"/>
        <v>0</v>
      </c>
      <c r="F456" s="398">
        <f t="shared" si="32"/>
        <v>0</v>
      </c>
    </row>
    <row r="457" spans="2:6">
      <c r="B457" s="64">
        <v>444</v>
      </c>
      <c r="C457" s="397">
        <f t="shared" si="29"/>
        <v>0</v>
      </c>
      <c r="D457" s="398">
        <f t="shared" si="30"/>
        <v>0</v>
      </c>
      <c r="E457" s="398">
        <f t="shared" si="31"/>
        <v>0</v>
      </c>
      <c r="F457" s="398">
        <f t="shared" si="32"/>
        <v>0</v>
      </c>
    </row>
    <row r="458" spans="2:6">
      <c r="B458" s="64">
        <v>445</v>
      </c>
      <c r="C458" s="397">
        <f t="shared" si="29"/>
        <v>0</v>
      </c>
      <c r="D458" s="398">
        <f t="shared" si="30"/>
        <v>0</v>
      </c>
      <c r="E458" s="398">
        <f t="shared" si="31"/>
        <v>0</v>
      </c>
      <c r="F458" s="398">
        <f t="shared" si="32"/>
        <v>0</v>
      </c>
    </row>
    <row r="459" spans="2:6">
      <c r="B459" s="64">
        <v>446</v>
      </c>
      <c r="C459" s="397">
        <f t="shared" si="29"/>
        <v>0</v>
      </c>
      <c r="D459" s="398">
        <f t="shared" si="30"/>
        <v>0</v>
      </c>
      <c r="E459" s="398">
        <f t="shared" si="31"/>
        <v>0</v>
      </c>
      <c r="F459" s="398">
        <f t="shared" si="32"/>
        <v>0</v>
      </c>
    </row>
    <row r="460" spans="2:6">
      <c r="B460" s="64">
        <v>447</v>
      </c>
      <c r="C460" s="397">
        <f t="shared" si="29"/>
        <v>0</v>
      </c>
      <c r="D460" s="398">
        <f t="shared" si="30"/>
        <v>0</v>
      </c>
      <c r="E460" s="398">
        <f t="shared" si="31"/>
        <v>0</v>
      </c>
      <c r="F460" s="398">
        <f t="shared" si="32"/>
        <v>0</v>
      </c>
    </row>
    <row r="461" spans="2:6">
      <c r="B461" s="64">
        <v>448</v>
      </c>
      <c r="C461" s="397">
        <f t="shared" si="29"/>
        <v>0</v>
      </c>
      <c r="D461" s="398">
        <f t="shared" si="30"/>
        <v>0</v>
      </c>
      <c r="E461" s="398">
        <f t="shared" si="31"/>
        <v>0</v>
      </c>
      <c r="F461" s="398">
        <f t="shared" si="32"/>
        <v>0</v>
      </c>
    </row>
    <row r="462" spans="2:6">
      <c r="B462" s="64">
        <v>449</v>
      </c>
      <c r="C462" s="397">
        <f t="shared" si="29"/>
        <v>0</v>
      </c>
      <c r="D462" s="398">
        <f t="shared" si="30"/>
        <v>0</v>
      </c>
      <c r="E462" s="398">
        <f t="shared" si="31"/>
        <v>0</v>
      </c>
      <c r="F462" s="398">
        <f t="shared" si="32"/>
        <v>0</v>
      </c>
    </row>
    <row r="463" spans="2:6">
      <c r="B463" s="64">
        <v>450</v>
      </c>
      <c r="C463" s="397">
        <f t="shared" ref="C463:C526" si="33">IF(F462&gt;$C$7,$C$7,F462+D463)</f>
        <v>0</v>
      </c>
      <c r="D463" s="398">
        <f t="shared" ref="D463:D526" si="34">+$C$5*F462/12</f>
        <v>0</v>
      </c>
      <c r="E463" s="398">
        <f t="shared" si="31"/>
        <v>0</v>
      </c>
      <c r="F463" s="398">
        <f t="shared" si="32"/>
        <v>0</v>
      </c>
    </row>
    <row r="464" spans="2:6">
      <c r="B464" s="64">
        <v>451</v>
      </c>
      <c r="C464" s="397">
        <f t="shared" si="33"/>
        <v>0</v>
      </c>
      <c r="D464" s="398">
        <f t="shared" si="34"/>
        <v>0</v>
      </c>
      <c r="E464" s="398">
        <f t="shared" ref="E464:E527" si="35">+C464-D464</f>
        <v>0</v>
      </c>
      <c r="F464" s="398">
        <f t="shared" ref="F464:F527" si="36">+F463-E464</f>
        <v>0</v>
      </c>
    </row>
    <row r="465" spans="2:6">
      <c r="B465" s="64">
        <v>452</v>
      </c>
      <c r="C465" s="397">
        <f t="shared" si="33"/>
        <v>0</v>
      </c>
      <c r="D465" s="398">
        <f t="shared" si="34"/>
        <v>0</v>
      </c>
      <c r="E465" s="398">
        <f t="shared" si="35"/>
        <v>0</v>
      </c>
      <c r="F465" s="398">
        <f t="shared" si="36"/>
        <v>0</v>
      </c>
    </row>
    <row r="466" spans="2:6">
      <c r="B466" s="64">
        <v>453</v>
      </c>
      <c r="C466" s="397">
        <f t="shared" si="33"/>
        <v>0</v>
      </c>
      <c r="D466" s="398">
        <f t="shared" si="34"/>
        <v>0</v>
      </c>
      <c r="E466" s="398">
        <f t="shared" si="35"/>
        <v>0</v>
      </c>
      <c r="F466" s="398">
        <f t="shared" si="36"/>
        <v>0</v>
      </c>
    </row>
    <row r="467" spans="2:6">
      <c r="B467" s="64">
        <v>454</v>
      </c>
      <c r="C467" s="397">
        <f t="shared" si="33"/>
        <v>0</v>
      </c>
      <c r="D467" s="398">
        <f t="shared" si="34"/>
        <v>0</v>
      </c>
      <c r="E467" s="398">
        <f t="shared" si="35"/>
        <v>0</v>
      </c>
      <c r="F467" s="398">
        <f t="shared" si="36"/>
        <v>0</v>
      </c>
    </row>
    <row r="468" spans="2:6">
      <c r="B468" s="64">
        <v>455</v>
      </c>
      <c r="C468" s="397">
        <f t="shared" si="33"/>
        <v>0</v>
      </c>
      <c r="D468" s="398">
        <f t="shared" si="34"/>
        <v>0</v>
      </c>
      <c r="E468" s="398">
        <f t="shared" si="35"/>
        <v>0</v>
      </c>
      <c r="F468" s="398">
        <f t="shared" si="36"/>
        <v>0</v>
      </c>
    </row>
    <row r="469" spans="2:6">
      <c r="B469" s="64">
        <v>456</v>
      </c>
      <c r="C469" s="397">
        <f t="shared" si="33"/>
        <v>0</v>
      </c>
      <c r="D469" s="398">
        <f t="shared" si="34"/>
        <v>0</v>
      </c>
      <c r="E469" s="398">
        <f t="shared" si="35"/>
        <v>0</v>
      </c>
      <c r="F469" s="398">
        <f t="shared" si="36"/>
        <v>0</v>
      </c>
    </row>
    <row r="470" spans="2:6">
      <c r="B470" s="64">
        <v>457</v>
      </c>
      <c r="C470" s="397">
        <f t="shared" si="33"/>
        <v>0</v>
      </c>
      <c r="D470" s="398">
        <f t="shared" si="34"/>
        <v>0</v>
      </c>
      <c r="E470" s="398">
        <f t="shared" si="35"/>
        <v>0</v>
      </c>
      <c r="F470" s="398">
        <f t="shared" si="36"/>
        <v>0</v>
      </c>
    </row>
    <row r="471" spans="2:6">
      <c r="B471" s="64">
        <v>458</v>
      </c>
      <c r="C471" s="397">
        <f t="shared" si="33"/>
        <v>0</v>
      </c>
      <c r="D471" s="398">
        <f t="shared" si="34"/>
        <v>0</v>
      </c>
      <c r="E471" s="398">
        <f t="shared" si="35"/>
        <v>0</v>
      </c>
      <c r="F471" s="398">
        <f t="shared" si="36"/>
        <v>0</v>
      </c>
    </row>
    <row r="472" spans="2:6">
      <c r="B472" s="64">
        <v>459</v>
      </c>
      <c r="C472" s="397">
        <f t="shared" si="33"/>
        <v>0</v>
      </c>
      <c r="D472" s="398">
        <f t="shared" si="34"/>
        <v>0</v>
      </c>
      <c r="E472" s="398">
        <f t="shared" si="35"/>
        <v>0</v>
      </c>
      <c r="F472" s="398">
        <f t="shared" si="36"/>
        <v>0</v>
      </c>
    </row>
    <row r="473" spans="2:6">
      <c r="B473" s="64">
        <v>460</v>
      </c>
      <c r="C473" s="397">
        <f t="shared" si="33"/>
        <v>0</v>
      </c>
      <c r="D473" s="398">
        <f t="shared" si="34"/>
        <v>0</v>
      </c>
      <c r="E473" s="398">
        <f t="shared" si="35"/>
        <v>0</v>
      </c>
      <c r="F473" s="398">
        <f t="shared" si="36"/>
        <v>0</v>
      </c>
    </row>
    <row r="474" spans="2:6">
      <c r="B474" s="64">
        <v>461</v>
      </c>
      <c r="C474" s="397">
        <f t="shared" si="33"/>
        <v>0</v>
      </c>
      <c r="D474" s="398">
        <f t="shared" si="34"/>
        <v>0</v>
      </c>
      <c r="E474" s="398">
        <f t="shared" si="35"/>
        <v>0</v>
      </c>
      <c r="F474" s="398">
        <f t="shared" si="36"/>
        <v>0</v>
      </c>
    </row>
    <row r="475" spans="2:6">
      <c r="B475" s="64">
        <v>462</v>
      </c>
      <c r="C475" s="397">
        <f t="shared" si="33"/>
        <v>0</v>
      </c>
      <c r="D475" s="398">
        <f t="shared" si="34"/>
        <v>0</v>
      </c>
      <c r="E475" s="398">
        <f t="shared" si="35"/>
        <v>0</v>
      </c>
      <c r="F475" s="398">
        <f t="shared" si="36"/>
        <v>0</v>
      </c>
    </row>
    <row r="476" spans="2:6">
      <c r="B476" s="64">
        <v>463</v>
      </c>
      <c r="C476" s="397">
        <f t="shared" si="33"/>
        <v>0</v>
      </c>
      <c r="D476" s="398">
        <f t="shared" si="34"/>
        <v>0</v>
      </c>
      <c r="E476" s="398">
        <f t="shared" si="35"/>
        <v>0</v>
      </c>
      <c r="F476" s="398">
        <f t="shared" si="36"/>
        <v>0</v>
      </c>
    </row>
    <row r="477" spans="2:6">
      <c r="B477" s="64">
        <v>464</v>
      </c>
      <c r="C477" s="397">
        <f t="shared" si="33"/>
        <v>0</v>
      </c>
      <c r="D477" s="398">
        <f t="shared" si="34"/>
        <v>0</v>
      </c>
      <c r="E477" s="398">
        <f t="shared" si="35"/>
        <v>0</v>
      </c>
      <c r="F477" s="398">
        <f t="shared" si="36"/>
        <v>0</v>
      </c>
    </row>
    <row r="478" spans="2:6">
      <c r="B478" s="64">
        <v>465</v>
      </c>
      <c r="C478" s="397">
        <f t="shared" si="33"/>
        <v>0</v>
      </c>
      <c r="D478" s="398">
        <f t="shared" si="34"/>
        <v>0</v>
      </c>
      <c r="E478" s="398">
        <f t="shared" si="35"/>
        <v>0</v>
      </c>
      <c r="F478" s="398">
        <f t="shared" si="36"/>
        <v>0</v>
      </c>
    </row>
    <row r="479" spans="2:6">
      <c r="B479" s="64">
        <v>466</v>
      </c>
      <c r="C479" s="397">
        <f t="shared" si="33"/>
        <v>0</v>
      </c>
      <c r="D479" s="398">
        <f t="shared" si="34"/>
        <v>0</v>
      </c>
      <c r="E479" s="398">
        <f t="shared" si="35"/>
        <v>0</v>
      </c>
      <c r="F479" s="398">
        <f t="shared" si="36"/>
        <v>0</v>
      </c>
    </row>
    <row r="480" spans="2:6">
      <c r="B480" s="64">
        <v>467</v>
      </c>
      <c r="C480" s="397">
        <f t="shared" si="33"/>
        <v>0</v>
      </c>
      <c r="D480" s="398">
        <f t="shared" si="34"/>
        <v>0</v>
      </c>
      <c r="E480" s="398">
        <f t="shared" si="35"/>
        <v>0</v>
      </c>
      <c r="F480" s="398">
        <f t="shared" si="36"/>
        <v>0</v>
      </c>
    </row>
    <row r="481" spans="2:6">
      <c r="B481" s="64">
        <v>468</v>
      </c>
      <c r="C481" s="397">
        <f t="shared" si="33"/>
        <v>0</v>
      </c>
      <c r="D481" s="398">
        <f t="shared" si="34"/>
        <v>0</v>
      </c>
      <c r="E481" s="398">
        <f t="shared" si="35"/>
        <v>0</v>
      </c>
      <c r="F481" s="398">
        <f t="shared" si="36"/>
        <v>0</v>
      </c>
    </row>
    <row r="482" spans="2:6">
      <c r="B482" s="64">
        <v>469</v>
      </c>
      <c r="C482" s="397">
        <f t="shared" si="33"/>
        <v>0</v>
      </c>
      <c r="D482" s="398">
        <f t="shared" si="34"/>
        <v>0</v>
      </c>
      <c r="E482" s="398">
        <f t="shared" si="35"/>
        <v>0</v>
      </c>
      <c r="F482" s="398">
        <f t="shared" si="36"/>
        <v>0</v>
      </c>
    </row>
    <row r="483" spans="2:6">
      <c r="B483" s="64">
        <v>470</v>
      </c>
      <c r="C483" s="397">
        <f t="shared" si="33"/>
        <v>0</v>
      </c>
      <c r="D483" s="398">
        <f t="shared" si="34"/>
        <v>0</v>
      </c>
      <c r="E483" s="398">
        <f t="shared" si="35"/>
        <v>0</v>
      </c>
      <c r="F483" s="398">
        <f t="shared" si="36"/>
        <v>0</v>
      </c>
    </row>
    <row r="484" spans="2:6">
      <c r="B484" s="64">
        <v>471</v>
      </c>
      <c r="C484" s="397">
        <f t="shared" si="33"/>
        <v>0</v>
      </c>
      <c r="D484" s="398">
        <f t="shared" si="34"/>
        <v>0</v>
      </c>
      <c r="E484" s="398">
        <f t="shared" si="35"/>
        <v>0</v>
      </c>
      <c r="F484" s="398">
        <f t="shared" si="36"/>
        <v>0</v>
      </c>
    </row>
    <row r="485" spans="2:6">
      <c r="B485" s="64">
        <v>472</v>
      </c>
      <c r="C485" s="397">
        <f t="shared" si="33"/>
        <v>0</v>
      </c>
      <c r="D485" s="398">
        <f t="shared" si="34"/>
        <v>0</v>
      </c>
      <c r="E485" s="398">
        <f t="shared" si="35"/>
        <v>0</v>
      </c>
      <c r="F485" s="398">
        <f t="shared" si="36"/>
        <v>0</v>
      </c>
    </row>
    <row r="486" spans="2:6">
      <c r="B486" s="64">
        <v>473</v>
      </c>
      <c r="C486" s="397">
        <f t="shared" si="33"/>
        <v>0</v>
      </c>
      <c r="D486" s="398">
        <f t="shared" si="34"/>
        <v>0</v>
      </c>
      <c r="E486" s="398">
        <f t="shared" si="35"/>
        <v>0</v>
      </c>
      <c r="F486" s="398">
        <f t="shared" si="36"/>
        <v>0</v>
      </c>
    </row>
    <row r="487" spans="2:6">
      <c r="B487" s="64">
        <v>474</v>
      </c>
      <c r="C487" s="397">
        <f t="shared" si="33"/>
        <v>0</v>
      </c>
      <c r="D487" s="398">
        <f t="shared" si="34"/>
        <v>0</v>
      </c>
      <c r="E487" s="398">
        <f t="shared" si="35"/>
        <v>0</v>
      </c>
      <c r="F487" s="398">
        <f t="shared" si="36"/>
        <v>0</v>
      </c>
    </row>
    <row r="488" spans="2:6">
      <c r="B488" s="64">
        <v>475</v>
      </c>
      <c r="C488" s="397">
        <f t="shared" si="33"/>
        <v>0</v>
      </c>
      <c r="D488" s="398">
        <f t="shared" si="34"/>
        <v>0</v>
      </c>
      <c r="E488" s="398">
        <f t="shared" si="35"/>
        <v>0</v>
      </c>
      <c r="F488" s="398">
        <f t="shared" si="36"/>
        <v>0</v>
      </c>
    </row>
    <row r="489" spans="2:6">
      <c r="B489" s="64">
        <v>476</v>
      </c>
      <c r="C489" s="397">
        <f t="shared" si="33"/>
        <v>0</v>
      </c>
      <c r="D489" s="398">
        <f t="shared" si="34"/>
        <v>0</v>
      </c>
      <c r="E489" s="398">
        <f t="shared" si="35"/>
        <v>0</v>
      </c>
      <c r="F489" s="398">
        <f t="shared" si="36"/>
        <v>0</v>
      </c>
    </row>
    <row r="490" spans="2:6">
      <c r="B490" s="64">
        <v>477</v>
      </c>
      <c r="C490" s="397">
        <f t="shared" si="33"/>
        <v>0</v>
      </c>
      <c r="D490" s="398">
        <f t="shared" si="34"/>
        <v>0</v>
      </c>
      <c r="E490" s="398">
        <f t="shared" si="35"/>
        <v>0</v>
      </c>
      <c r="F490" s="398">
        <f t="shared" si="36"/>
        <v>0</v>
      </c>
    </row>
    <row r="491" spans="2:6">
      <c r="B491" s="64">
        <v>478</v>
      </c>
      <c r="C491" s="397">
        <f t="shared" si="33"/>
        <v>0</v>
      </c>
      <c r="D491" s="398">
        <f t="shared" si="34"/>
        <v>0</v>
      </c>
      <c r="E491" s="398">
        <f t="shared" si="35"/>
        <v>0</v>
      </c>
      <c r="F491" s="398">
        <f t="shared" si="36"/>
        <v>0</v>
      </c>
    </row>
    <row r="492" spans="2:6">
      <c r="B492" s="64">
        <v>479</v>
      </c>
      <c r="C492" s="397">
        <f t="shared" si="33"/>
        <v>0</v>
      </c>
      <c r="D492" s="398">
        <f t="shared" si="34"/>
        <v>0</v>
      </c>
      <c r="E492" s="398">
        <f t="shared" si="35"/>
        <v>0</v>
      </c>
      <c r="F492" s="398">
        <f t="shared" si="36"/>
        <v>0</v>
      </c>
    </row>
    <row r="493" spans="2:6">
      <c r="B493" s="64">
        <v>480</v>
      </c>
      <c r="C493" s="397">
        <f t="shared" si="33"/>
        <v>0</v>
      </c>
      <c r="D493" s="398">
        <f t="shared" si="34"/>
        <v>0</v>
      </c>
      <c r="E493" s="398">
        <f t="shared" si="35"/>
        <v>0</v>
      </c>
      <c r="F493" s="398">
        <f t="shared" si="36"/>
        <v>0</v>
      </c>
    </row>
    <row r="494" spans="2:6">
      <c r="B494" s="64">
        <v>481</v>
      </c>
      <c r="C494" s="397">
        <f t="shared" si="33"/>
        <v>0</v>
      </c>
      <c r="D494" s="398">
        <f t="shared" si="34"/>
        <v>0</v>
      </c>
      <c r="E494" s="398">
        <f t="shared" si="35"/>
        <v>0</v>
      </c>
      <c r="F494" s="398">
        <f t="shared" si="36"/>
        <v>0</v>
      </c>
    </row>
    <row r="495" spans="2:6">
      <c r="B495" s="64">
        <v>482</v>
      </c>
      <c r="C495" s="397">
        <f t="shared" si="33"/>
        <v>0</v>
      </c>
      <c r="D495" s="398">
        <f t="shared" si="34"/>
        <v>0</v>
      </c>
      <c r="E495" s="398">
        <f t="shared" si="35"/>
        <v>0</v>
      </c>
      <c r="F495" s="398">
        <f t="shared" si="36"/>
        <v>0</v>
      </c>
    </row>
    <row r="496" spans="2:6">
      <c r="B496" s="64">
        <v>483</v>
      </c>
      <c r="C496" s="397">
        <f t="shared" si="33"/>
        <v>0</v>
      </c>
      <c r="D496" s="398">
        <f t="shared" si="34"/>
        <v>0</v>
      </c>
      <c r="E496" s="398">
        <f t="shared" si="35"/>
        <v>0</v>
      </c>
      <c r="F496" s="398">
        <f t="shared" si="36"/>
        <v>0</v>
      </c>
    </row>
    <row r="497" spans="2:6">
      <c r="B497" s="64">
        <v>484</v>
      </c>
      <c r="C497" s="397">
        <f t="shared" si="33"/>
        <v>0</v>
      </c>
      <c r="D497" s="398">
        <f t="shared" si="34"/>
        <v>0</v>
      </c>
      <c r="E497" s="398">
        <f t="shared" si="35"/>
        <v>0</v>
      </c>
      <c r="F497" s="398">
        <f t="shared" si="36"/>
        <v>0</v>
      </c>
    </row>
    <row r="498" spans="2:6">
      <c r="B498" s="64">
        <v>485</v>
      </c>
      <c r="C498" s="397">
        <f t="shared" si="33"/>
        <v>0</v>
      </c>
      <c r="D498" s="398">
        <f t="shared" si="34"/>
        <v>0</v>
      </c>
      <c r="E498" s="398">
        <f t="shared" si="35"/>
        <v>0</v>
      </c>
      <c r="F498" s="398">
        <f t="shared" si="36"/>
        <v>0</v>
      </c>
    </row>
    <row r="499" spans="2:6">
      <c r="B499" s="64">
        <v>486</v>
      </c>
      <c r="C499" s="397">
        <f t="shared" si="33"/>
        <v>0</v>
      </c>
      <c r="D499" s="398">
        <f t="shared" si="34"/>
        <v>0</v>
      </c>
      <c r="E499" s="398">
        <f t="shared" si="35"/>
        <v>0</v>
      </c>
      <c r="F499" s="398">
        <f t="shared" si="36"/>
        <v>0</v>
      </c>
    </row>
    <row r="500" spans="2:6">
      <c r="B500" s="64">
        <v>487</v>
      </c>
      <c r="C500" s="397">
        <f t="shared" si="33"/>
        <v>0</v>
      </c>
      <c r="D500" s="398">
        <f t="shared" si="34"/>
        <v>0</v>
      </c>
      <c r="E500" s="398">
        <f t="shared" si="35"/>
        <v>0</v>
      </c>
      <c r="F500" s="398">
        <f t="shared" si="36"/>
        <v>0</v>
      </c>
    </row>
    <row r="501" spans="2:6">
      <c r="B501" s="64">
        <v>488</v>
      </c>
      <c r="C501" s="397">
        <f t="shared" si="33"/>
        <v>0</v>
      </c>
      <c r="D501" s="398">
        <f t="shared" si="34"/>
        <v>0</v>
      </c>
      <c r="E501" s="398">
        <f t="shared" si="35"/>
        <v>0</v>
      </c>
      <c r="F501" s="398">
        <f t="shared" si="36"/>
        <v>0</v>
      </c>
    </row>
    <row r="502" spans="2:6">
      <c r="B502" s="64">
        <v>489</v>
      </c>
      <c r="C502" s="397">
        <f t="shared" si="33"/>
        <v>0</v>
      </c>
      <c r="D502" s="398">
        <f t="shared" si="34"/>
        <v>0</v>
      </c>
      <c r="E502" s="398">
        <f t="shared" si="35"/>
        <v>0</v>
      </c>
      <c r="F502" s="398">
        <f t="shared" si="36"/>
        <v>0</v>
      </c>
    </row>
    <row r="503" spans="2:6">
      <c r="B503" s="64">
        <v>490</v>
      </c>
      <c r="C503" s="397">
        <f t="shared" si="33"/>
        <v>0</v>
      </c>
      <c r="D503" s="398">
        <f t="shared" si="34"/>
        <v>0</v>
      </c>
      <c r="E503" s="398">
        <f t="shared" si="35"/>
        <v>0</v>
      </c>
      <c r="F503" s="398">
        <f t="shared" si="36"/>
        <v>0</v>
      </c>
    </row>
    <row r="504" spans="2:6">
      <c r="B504" s="64">
        <v>491</v>
      </c>
      <c r="C504" s="397">
        <f t="shared" si="33"/>
        <v>0</v>
      </c>
      <c r="D504" s="398">
        <f t="shared" si="34"/>
        <v>0</v>
      </c>
      <c r="E504" s="398">
        <f t="shared" si="35"/>
        <v>0</v>
      </c>
      <c r="F504" s="398">
        <f t="shared" si="36"/>
        <v>0</v>
      </c>
    </row>
    <row r="505" spans="2:6">
      <c r="B505" s="64">
        <v>492</v>
      </c>
      <c r="C505" s="397">
        <f t="shared" si="33"/>
        <v>0</v>
      </c>
      <c r="D505" s="398">
        <f t="shared" si="34"/>
        <v>0</v>
      </c>
      <c r="E505" s="398">
        <f t="shared" si="35"/>
        <v>0</v>
      </c>
      <c r="F505" s="398">
        <f t="shared" si="36"/>
        <v>0</v>
      </c>
    </row>
    <row r="506" spans="2:6">
      <c r="B506" s="64">
        <v>493</v>
      </c>
      <c r="C506" s="397">
        <f t="shared" si="33"/>
        <v>0</v>
      </c>
      <c r="D506" s="398">
        <f t="shared" si="34"/>
        <v>0</v>
      </c>
      <c r="E506" s="398">
        <f t="shared" si="35"/>
        <v>0</v>
      </c>
      <c r="F506" s="398">
        <f t="shared" si="36"/>
        <v>0</v>
      </c>
    </row>
    <row r="507" spans="2:6">
      <c r="B507" s="64">
        <v>494</v>
      </c>
      <c r="C507" s="397">
        <f t="shared" si="33"/>
        <v>0</v>
      </c>
      <c r="D507" s="398">
        <f t="shared" si="34"/>
        <v>0</v>
      </c>
      <c r="E507" s="398">
        <f t="shared" si="35"/>
        <v>0</v>
      </c>
      <c r="F507" s="398">
        <f t="shared" si="36"/>
        <v>0</v>
      </c>
    </row>
    <row r="508" spans="2:6">
      <c r="B508" s="64">
        <v>495</v>
      </c>
      <c r="C508" s="397">
        <f t="shared" si="33"/>
        <v>0</v>
      </c>
      <c r="D508" s="398">
        <f t="shared" si="34"/>
        <v>0</v>
      </c>
      <c r="E508" s="398">
        <f t="shared" si="35"/>
        <v>0</v>
      </c>
      <c r="F508" s="398">
        <f t="shared" si="36"/>
        <v>0</v>
      </c>
    </row>
    <row r="509" spans="2:6">
      <c r="B509" s="64">
        <v>496</v>
      </c>
      <c r="C509" s="397">
        <f t="shared" si="33"/>
        <v>0</v>
      </c>
      <c r="D509" s="398">
        <f t="shared" si="34"/>
        <v>0</v>
      </c>
      <c r="E509" s="398">
        <f t="shared" si="35"/>
        <v>0</v>
      </c>
      <c r="F509" s="398">
        <f t="shared" si="36"/>
        <v>0</v>
      </c>
    </row>
    <row r="510" spans="2:6">
      <c r="B510" s="64">
        <v>497</v>
      </c>
      <c r="C510" s="397">
        <f t="shared" si="33"/>
        <v>0</v>
      </c>
      <c r="D510" s="398">
        <f t="shared" si="34"/>
        <v>0</v>
      </c>
      <c r="E510" s="398">
        <f t="shared" si="35"/>
        <v>0</v>
      </c>
      <c r="F510" s="398">
        <f t="shared" si="36"/>
        <v>0</v>
      </c>
    </row>
    <row r="511" spans="2:6">
      <c r="B511" s="64">
        <v>498</v>
      </c>
      <c r="C511" s="397">
        <f t="shared" si="33"/>
        <v>0</v>
      </c>
      <c r="D511" s="398">
        <f t="shared" si="34"/>
        <v>0</v>
      </c>
      <c r="E511" s="398">
        <f t="shared" si="35"/>
        <v>0</v>
      </c>
      <c r="F511" s="398">
        <f t="shared" si="36"/>
        <v>0</v>
      </c>
    </row>
    <row r="512" spans="2:6">
      <c r="B512" s="64">
        <v>499</v>
      </c>
      <c r="C512" s="397">
        <f t="shared" si="33"/>
        <v>0</v>
      </c>
      <c r="D512" s="398">
        <f t="shared" si="34"/>
        <v>0</v>
      </c>
      <c r="E512" s="398">
        <f t="shared" si="35"/>
        <v>0</v>
      </c>
      <c r="F512" s="398">
        <f t="shared" si="36"/>
        <v>0</v>
      </c>
    </row>
    <row r="513" spans="2:6">
      <c r="B513" s="64">
        <v>500</v>
      </c>
      <c r="C513" s="397">
        <f t="shared" si="33"/>
        <v>0</v>
      </c>
      <c r="D513" s="398">
        <f t="shared" si="34"/>
        <v>0</v>
      </c>
      <c r="E513" s="398">
        <f t="shared" si="35"/>
        <v>0</v>
      </c>
      <c r="F513" s="398">
        <f t="shared" si="36"/>
        <v>0</v>
      </c>
    </row>
    <row r="514" spans="2:6">
      <c r="B514" s="64">
        <v>501</v>
      </c>
      <c r="C514" s="397">
        <f t="shared" si="33"/>
        <v>0</v>
      </c>
      <c r="D514" s="398">
        <f t="shared" si="34"/>
        <v>0</v>
      </c>
      <c r="E514" s="398">
        <f t="shared" si="35"/>
        <v>0</v>
      </c>
      <c r="F514" s="398">
        <f t="shared" si="36"/>
        <v>0</v>
      </c>
    </row>
    <row r="515" spans="2:6">
      <c r="B515" s="64">
        <v>502</v>
      </c>
      <c r="C515" s="397">
        <f t="shared" si="33"/>
        <v>0</v>
      </c>
      <c r="D515" s="398">
        <f t="shared" si="34"/>
        <v>0</v>
      </c>
      <c r="E515" s="398">
        <f t="shared" si="35"/>
        <v>0</v>
      </c>
      <c r="F515" s="398">
        <f t="shared" si="36"/>
        <v>0</v>
      </c>
    </row>
    <row r="516" spans="2:6">
      <c r="B516" s="64">
        <v>503</v>
      </c>
      <c r="C516" s="397">
        <f t="shared" si="33"/>
        <v>0</v>
      </c>
      <c r="D516" s="398">
        <f t="shared" si="34"/>
        <v>0</v>
      </c>
      <c r="E516" s="398">
        <f t="shared" si="35"/>
        <v>0</v>
      </c>
      <c r="F516" s="398">
        <f t="shared" si="36"/>
        <v>0</v>
      </c>
    </row>
    <row r="517" spans="2:6">
      <c r="B517" s="64">
        <v>504</v>
      </c>
      <c r="C517" s="397">
        <f t="shared" si="33"/>
        <v>0</v>
      </c>
      <c r="D517" s="398">
        <f t="shared" si="34"/>
        <v>0</v>
      </c>
      <c r="E517" s="398">
        <f t="shared" si="35"/>
        <v>0</v>
      </c>
      <c r="F517" s="398">
        <f t="shared" si="36"/>
        <v>0</v>
      </c>
    </row>
    <row r="518" spans="2:6">
      <c r="B518" s="64">
        <v>505</v>
      </c>
      <c r="C518" s="397">
        <f t="shared" si="33"/>
        <v>0</v>
      </c>
      <c r="D518" s="398">
        <f t="shared" si="34"/>
        <v>0</v>
      </c>
      <c r="E518" s="398">
        <f t="shared" si="35"/>
        <v>0</v>
      </c>
      <c r="F518" s="398">
        <f t="shared" si="36"/>
        <v>0</v>
      </c>
    </row>
    <row r="519" spans="2:6">
      <c r="B519" s="64">
        <v>506</v>
      </c>
      <c r="C519" s="397">
        <f t="shared" si="33"/>
        <v>0</v>
      </c>
      <c r="D519" s="398">
        <f t="shared" si="34"/>
        <v>0</v>
      </c>
      <c r="E519" s="398">
        <f t="shared" si="35"/>
        <v>0</v>
      </c>
      <c r="F519" s="398">
        <f t="shared" si="36"/>
        <v>0</v>
      </c>
    </row>
    <row r="520" spans="2:6">
      <c r="B520" s="64">
        <v>507</v>
      </c>
      <c r="C520" s="397">
        <f t="shared" si="33"/>
        <v>0</v>
      </c>
      <c r="D520" s="398">
        <f t="shared" si="34"/>
        <v>0</v>
      </c>
      <c r="E520" s="398">
        <f t="shared" si="35"/>
        <v>0</v>
      </c>
      <c r="F520" s="398">
        <f t="shared" si="36"/>
        <v>0</v>
      </c>
    </row>
    <row r="521" spans="2:6">
      <c r="B521" s="64">
        <v>508</v>
      </c>
      <c r="C521" s="397">
        <f t="shared" si="33"/>
        <v>0</v>
      </c>
      <c r="D521" s="398">
        <f t="shared" si="34"/>
        <v>0</v>
      </c>
      <c r="E521" s="398">
        <f t="shared" si="35"/>
        <v>0</v>
      </c>
      <c r="F521" s="398">
        <f t="shared" si="36"/>
        <v>0</v>
      </c>
    </row>
    <row r="522" spans="2:6">
      <c r="B522" s="64">
        <v>509</v>
      </c>
      <c r="C522" s="397">
        <f t="shared" si="33"/>
        <v>0</v>
      </c>
      <c r="D522" s="398">
        <f t="shared" si="34"/>
        <v>0</v>
      </c>
      <c r="E522" s="398">
        <f t="shared" si="35"/>
        <v>0</v>
      </c>
      <c r="F522" s="398">
        <f t="shared" si="36"/>
        <v>0</v>
      </c>
    </row>
    <row r="523" spans="2:6">
      <c r="B523" s="64">
        <v>510</v>
      </c>
      <c r="C523" s="397">
        <f t="shared" si="33"/>
        <v>0</v>
      </c>
      <c r="D523" s="398">
        <f t="shared" si="34"/>
        <v>0</v>
      </c>
      <c r="E523" s="398">
        <f t="shared" si="35"/>
        <v>0</v>
      </c>
      <c r="F523" s="398">
        <f t="shared" si="36"/>
        <v>0</v>
      </c>
    </row>
    <row r="524" spans="2:6">
      <c r="B524" s="64">
        <v>511</v>
      </c>
      <c r="C524" s="397">
        <f t="shared" si="33"/>
        <v>0</v>
      </c>
      <c r="D524" s="398">
        <f t="shared" si="34"/>
        <v>0</v>
      </c>
      <c r="E524" s="398">
        <f t="shared" si="35"/>
        <v>0</v>
      </c>
      <c r="F524" s="398">
        <f t="shared" si="36"/>
        <v>0</v>
      </c>
    </row>
    <row r="525" spans="2:6">
      <c r="B525" s="64">
        <v>512</v>
      </c>
      <c r="C525" s="397">
        <f t="shared" si="33"/>
        <v>0</v>
      </c>
      <c r="D525" s="398">
        <f t="shared" si="34"/>
        <v>0</v>
      </c>
      <c r="E525" s="398">
        <f t="shared" si="35"/>
        <v>0</v>
      </c>
      <c r="F525" s="398">
        <f t="shared" si="36"/>
        <v>0</v>
      </c>
    </row>
    <row r="526" spans="2:6">
      <c r="B526" s="64">
        <v>513</v>
      </c>
      <c r="C526" s="397">
        <f t="shared" si="33"/>
        <v>0</v>
      </c>
      <c r="D526" s="398">
        <f t="shared" si="34"/>
        <v>0</v>
      </c>
      <c r="E526" s="398">
        <f t="shared" si="35"/>
        <v>0</v>
      </c>
      <c r="F526" s="398">
        <f t="shared" si="36"/>
        <v>0</v>
      </c>
    </row>
    <row r="527" spans="2:6">
      <c r="B527" s="64">
        <v>514</v>
      </c>
      <c r="C527" s="397">
        <f t="shared" ref="C527:C590" si="37">IF(F526&gt;$C$7,$C$7,F526+D527)</f>
        <v>0</v>
      </c>
      <c r="D527" s="398">
        <f t="shared" ref="D527:D590" si="38">+$C$5*F526/12</f>
        <v>0</v>
      </c>
      <c r="E527" s="398">
        <f t="shared" si="35"/>
        <v>0</v>
      </c>
      <c r="F527" s="398">
        <f t="shared" si="36"/>
        <v>0</v>
      </c>
    </row>
    <row r="528" spans="2:6">
      <c r="B528" s="64">
        <v>515</v>
      </c>
      <c r="C528" s="397">
        <f t="shared" si="37"/>
        <v>0</v>
      </c>
      <c r="D528" s="398">
        <f t="shared" si="38"/>
        <v>0</v>
      </c>
      <c r="E528" s="398">
        <f t="shared" ref="E528:E591" si="39">+C528-D528</f>
        <v>0</v>
      </c>
      <c r="F528" s="398">
        <f t="shared" ref="F528:F591" si="40">+F527-E528</f>
        <v>0</v>
      </c>
    </row>
    <row r="529" spans="2:6">
      <c r="B529" s="64">
        <v>516</v>
      </c>
      <c r="C529" s="397">
        <f t="shared" si="37"/>
        <v>0</v>
      </c>
      <c r="D529" s="398">
        <f t="shared" si="38"/>
        <v>0</v>
      </c>
      <c r="E529" s="398">
        <f t="shared" si="39"/>
        <v>0</v>
      </c>
      <c r="F529" s="398">
        <f t="shared" si="40"/>
        <v>0</v>
      </c>
    </row>
    <row r="530" spans="2:6">
      <c r="B530" s="64">
        <v>517</v>
      </c>
      <c r="C530" s="397">
        <f t="shared" si="37"/>
        <v>0</v>
      </c>
      <c r="D530" s="398">
        <f t="shared" si="38"/>
        <v>0</v>
      </c>
      <c r="E530" s="398">
        <f t="shared" si="39"/>
        <v>0</v>
      </c>
      <c r="F530" s="398">
        <f t="shared" si="40"/>
        <v>0</v>
      </c>
    </row>
    <row r="531" spans="2:6">
      <c r="B531" s="64">
        <v>518</v>
      </c>
      <c r="C531" s="397">
        <f t="shared" si="37"/>
        <v>0</v>
      </c>
      <c r="D531" s="398">
        <f t="shared" si="38"/>
        <v>0</v>
      </c>
      <c r="E531" s="398">
        <f t="shared" si="39"/>
        <v>0</v>
      </c>
      <c r="F531" s="398">
        <f t="shared" si="40"/>
        <v>0</v>
      </c>
    </row>
    <row r="532" spans="2:6">
      <c r="B532" s="64">
        <v>519</v>
      </c>
      <c r="C532" s="397">
        <f t="shared" si="37"/>
        <v>0</v>
      </c>
      <c r="D532" s="398">
        <f t="shared" si="38"/>
        <v>0</v>
      </c>
      <c r="E532" s="398">
        <f t="shared" si="39"/>
        <v>0</v>
      </c>
      <c r="F532" s="398">
        <f t="shared" si="40"/>
        <v>0</v>
      </c>
    </row>
    <row r="533" spans="2:6">
      <c r="B533" s="64">
        <v>520</v>
      </c>
      <c r="C533" s="397">
        <f t="shared" si="37"/>
        <v>0</v>
      </c>
      <c r="D533" s="398">
        <f t="shared" si="38"/>
        <v>0</v>
      </c>
      <c r="E533" s="398">
        <f t="shared" si="39"/>
        <v>0</v>
      </c>
      <c r="F533" s="398">
        <f t="shared" si="40"/>
        <v>0</v>
      </c>
    </row>
    <row r="534" spans="2:6">
      <c r="B534" s="64">
        <v>521</v>
      </c>
      <c r="C534" s="397">
        <f t="shared" si="37"/>
        <v>0</v>
      </c>
      <c r="D534" s="398">
        <f t="shared" si="38"/>
        <v>0</v>
      </c>
      <c r="E534" s="398">
        <f t="shared" si="39"/>
        <v>0</v>
      </c>
      <c r="F534" s="398">
        <f t="shared" si="40"/>
        <v>0</v>
      </c>
    </row>
    <row r="535" spans="2:6">
      <c r="B535" s="64">
        <v>522</v>
      </c>
      <c r="C535" s="397">
        <f t="shared" si="37"/>
        <v>0</v>
      </c>
      <c r="D535" s="398">
        <f t="shared" si="38"/>
        <v>0</v>
      </c>
      <c r="E535" s="398">
        <f t="shared" si="39"/>
        <v>0</v>
      </c>
      <c r="F535" s="398">
        <f t="shared" si="40"/>
        <v>0</v>
      </c>
    </row>
    <row r="536" spans="2:6">
      <c r="B536" s="64">
        <v>523</v>
      </c>
      <c r="C536" s="397">
        <f t="shared" si="37"/>
        <v>0</v>
      </c>
      <c r="D536" s="398">
        <f t="shared" si="38"/>
        <v>0</v>
      </c>
      <c r="E536" s="398">
        <f t="shared" si="39"/>
        <v>0</v>
      </c>
      <c r="F536" s="398">
        <f t="shared" si="40"/>
        <v>0</v>
      </c>
    </row>
    <row r="537" spans="2:6">
      <c r="B537" s="64">
        <v>524</v>
      </c>
      <c r="C537" s="397">
        <f t="shared" si="37"/>
        <v>0</v>
      </c>
      <c r="D537" s="398">
        <f t="shared" si="38"/>
        <v>0</v>
      </c>
      <c r="E537" s="398">
        <f t="shared" si="39"/>
        <v>0</v>
      </c>
      <c r="F537" s="398">
        <f t="shared" si="40"/>
        <v>0</v>
      </c>
    </row>
    <row r="538" spans="2:6">
      <c r="B538" s="64">
        <v>525</v>
      </c>
      <c r="C538" s="397">
        <f t="shared" si="37"/>
        <v>0</v>
      </c>
      <c r="D538" s="398">
        <f t="shared" si="38"/>
        <v>0</v>
      </c>
      <c r="E538" s="398">
        <f t="shared" si="39"/>
        <v>0</v>
      </c>
      <c r="F538" s="398">
        <f t="shared" si="40"/>
        <v>0</v>
      </c>
    </row>
    <row r="539" spans="2:6">
      <c r="B539" s="64">
        <v>526</v>
      </c>
      <c r="C539" s="397">
        <f t="shared" si="37"/>
        <v>0</v>
      </c>
      <c r="D539" s="398">
        <f t="shared" si="38"/>
        <v>0</v>
      </c>
      <c r="E539" s="398">
        <f t="shared" si="39"/>
        <v>0</v>
      </c>
      <c r="F539" s="398">
        <f t="shared" si="40"/>
        <v>0</v>
      </c>
    </row>
    <row r="540" spans="2:6">
      <c r="B540" s="64">
        <v>527</v>
      </c>
      <c r="C540" s="397">
        <f t="shared" si="37"/>
        <v>0</v>
      </c>
      <c r="D540" s="398">
        <f t="shared" si="38"/>
        <v>0</v>
      </c>
      <c r="E540" s="398">
        <f t="shared" si="39"/>
        <v>0</v>
      </c>
      <c r="F540" s="398">
        <f t="shared" si="40"/>
        <v>0</v>
      </c>
    </row>
    <row r="541" spans="2:6">
      <c r="B541" s="64">
        <v>528</v>
      </c>
      <c r="C541" s="397">
        <f t="shared" si="37"/>
        <v>0</v>
      </c>
      <c r="D541" s="398">
        <f t="shared" si="38"/>
        <v>0</v>
      </c>
      <c r="E541" s="398">
        <f t="shared" si="39"/>
        <v>0</v>
      </c>
      <c r="F541" s="398">
        <f t="shared" si="40"/>
        <v>0</v>
      </c>
    </row>
    <row r="542" spans="2:6">
      <c r="B542" s="64">
        <v>529</v>
      </c>
      <c r="C542" s="397">
        <f t="shared" si="37"/>
        <v>0</v>
      </c>
      <c r="D542" s="398">
        <f t="shared" si="38"/>
        <v>0</v>
      </c>
      <c r="E542" s="398">
        <f t="shared" si="39"/>
        <v>0</v>
      </c>
      <c r="F542" s="398">
        <f t="shared" si="40"/>
        <v>0</v>
      </c>
    </row>
    <row r="543" spans="2:6">
      <c r="B543" s="64">
        <v>530</v>
      </c>
      <c r="C543" s="397">
        <f t="shared" si="37"/>
        <v>0</v>
      </c>
      <c r="D543" s="398">
        <f t="shared" si="38"/>
        <v>0</v>
      </c>
      <c r="E543" s="398">
        <f t="shared" si="39"/>
        <v>0</v>
      </c>
      <c r="F543" s="398">
        <f t="shared" si="40"/>
        <v>0</v>
      </c>
    </row>
    <row r="544" spans="2:6">
      <c r="B544" s="64">
        <v>531</v>
      </c>
      <c r="C544" s="397">
        <f t="shared" si="37"/>
        <v>0</v>
      </c>
      <c r="D544" s="398">
        <f t="shared" si="38"/>
        <v>0</v>
      </c>
      <c r="E544" s="398">
        <f t="shared" si="39"/>
        <v>0</v>
      </c>
      <c r="F544" s="398">
        <f t="shared" si="40"/>
        <v>0</v>
      </c>
    </row>
    <row r="545" spans="2:6">
      <c r="B545" s="64">
        <v>532</v>
      </c>
      <c r="C545" s="397">
        <f t="shared" si="37"/>
        <v>0</v>
      </c>
      <c r="D545" s="398">
        <f t="shared" si="38"/>
        <v>0</v>
      </c>
      <c r="E545" s="398">
        <f t="shared" si="39"/>
        <v>0</v>
      </c>
      <c r="F545" s="398">
        <f t="shared" si="40"/>
        <v>0</v>
      </c>
    </row>
    <row r="546" spans="2:6">
      <c r="B546" s="64">
        <v>533</v>
      </c>
      <c r="C546" s="397">
        <f t="shared" si="37"/>
        <v>0</v>
      </c>
      <c r="D546" s="398">
        <f t="shared" si="38"/>
        <v>0</v>
      </c>
      <c r="E546" s="398">
        <f t="shared" si="39"/>
        <v>0</v>
      </c>
      <c r="F546" s="398">
        <f t="shared" si="40"/>
        <v>0</v>
      </c>
    </row>
    <row r="547" spans="2:6">
      <c r="B547" s="64">
        <v>534</v>
      </c>
      <c r="C547" s="397">
        <f t="shared" si="37"/>
        <v>0</v>
      </c>
      <c r="D547" s="398">
        <f t="shared" si="38"/>
        <v>0</v>
      </c>
      <c r="E547" s="398">
        <f t="shared" si="39"/>
        <v>0</v>
      </c>
      <c r="F547" s="398">
        <f t="shared" si="40"/>
        <v>0</v>
      </c>
    </row>
    <row r="548" spans="2:6">
      <c r="B548" s="64">
        <v>535</v>
      </c>
      <c r="C548" s="397">
        <f t="shared" si="37"/>
        <v>0</v>
      </c>
      <c r="D548" s="398">
        <f t="shared" si="38"/>
        <v>0</v>
      </c>
      <c r="E548" s="398">
        <f t="shared" si="39"/>
        <v>0</v>
      </c>
      <c r="F548" s="398">
        <f t="shared" si="40"/>
        <v>0</v>
      </c>
    </row>
    <row r="549" spans="2:6">
      <c r="B549" s="64">
        <v>536</v>
      </c>
      <c r="C549" s="397">
        <f t="shared" si="37"/>
        <v>0</v>
      </c>
      <c r="D549" s="398">
        <f t="shared" si="38"/>
        <v>0</v>
      </c>
      <c r="E549" s="398">
        <f t="shared" si="39"/>
        <v>0</v>
      </c>
      <c r="F549" s="398">
        <f t="shared" si="40"/>
        <v>0</v>
      </c>
    </row>
    <row r="550" spans="2:6">
      <c r="B550" s="64">
        <v>537</v>
      </c>
      <c r="C550" s="397">
        <f t="shared" si="37"/>
        <v>0</v>
      </c>
      <c r="D550" s="398">
        <f t="shared" si="38"/>
        <v>0</v>
      </c>
      <c r="E550" s="398">
        <f t="shared" si="39"/>
        <v>0</v>
      </c>
      <c r="F550" s="398">
        <f t="shared" si="40"/>
        <v>0</v>
      </c>
    </row>
    <row r="551" spans="2:6">
      <c r="B551" s="64">
        <v>538</v>
      </c>
      <c r="C551" s="397">
        <f t="shared" si="37"/>
        <v>0</v>
      </c>
      <c r="D551" s="398">
        <f t="shared" si="38"/>
        <v>0</v>
      </c>
      <c r="E551" s="398">
        <f t="shared" si="39"/>
        <v>0</v>
      </c>
      <c r="F551" s="398">
        <f t="shared" si="40"/>
        <v>0</v>
      </c>
    </row>
    <row r="552" spans="2:6">
      <c r="B552" s="64">
        <v>539</v>
      </c>
      <c r="C552" s="397">
        <f t="shared" si="37"/>
        <v>0</v>
      </c>
      <c r="D552" s="398">
        <f t="shared" si="38"/>
        <v>0</v>
      </c>
      <c r="E552" s="398">
        <f t="shared" si="39"/>
        <v>0</v>
      </c>
      <c r="F552" s="398">
        <f t="shared" si="40"/>
        <v>0</v>
      </c>
    </row>
    <row r="553" spans="2:6">
      <c r="B553" s="64">
        <v>540</v>
      </c>
      <c r="C553" s="397">
        <f t="shared" si="37"/>
        <v>0</v>
      </c>
      <c r="D553" s="398">
        <f t="shared" si="38"/>
        <v>0</v>
      </c>
      <c r="E553" s="398">
        <f t="shared" si="39"/>
        <v>0</v>
      </c>
      <c r="F553" s="398">
        <f t="shared" si="40"/>
        <v>0</v>
      </c>
    </row>
    <row r="554" spans="2:6">
      <c r="B554" s="64">
        <v>541</v>
      </c>
      <c r="C554" s="397">
        <f t="shared" si="37"/>
        <v>0</v>
      </c>
      <c r="D554" s="398">
        <f t="shared" si="38"/>
        <v>0</v>
      </c>
      <c r="E554" s="398">
        <f t="shared" si="39"/>
        <v>0</v>
      </c>
      <c r="F554" s="398">
        <f t="shared" si="40"/>
        <v>0</v>
      </c>
    </row>
    <row r="555" spans="2:6">
      <c r="B555" s="64">
        <v>542</v>
      </c>
      <c r="C555" s="397">
        <f t="shared" si="37"/>
        <v>0</v>
      </c>
      <c r="D555" s="398">
        <f t="shared" si="38"/>
        <v>0</v>
      </c>
      <c r="E555" s="398">
        <f t="shared" si="39"/>
        <v>0</v>
      </c>
      <c r="F555" s="398">
        <f t="shared" si="40"/>
        <v>0</v>
      </c>
    </row>
    <row r="556" spans="2:6">
      <c r="B556" s="64">
        <v>543</v>
      </c>
      <c r="C556" s="397">
        <f t="shared" si="37"/>
        <v>0</v>
      </c>
      <c r="D556" s="398">
        <f t="shared" si="38"/>
        <v>0</v>
      </c>
      <c r="E556" s="398">
        <f t="shared" si="39"/>
        <v>0</v>
      </c>
      <c r="F556" s="398">
        <f t="shared" si="40"/>
        <v>0</v>
      </c>
    </row>
    <row r="557" spans="2:6">
      <c r="B557" s="64">
        <v>544</v>
      </c>
      <c r="C557" s="397">
        <f t="shared" si="37"/>
        <v>0</v>
      </c>
      <c r="D557" s="398">
        <f t="shared" si="38"/>
        <v>0</v>
      </c>
      <c r="E557" s="398">
        <f t="shared" si="39"/>
        <v>0</v>
      </c>
      <c r="F557" s="398">
        <f t="shared" si="40"/>
        <v>0</v>
      </c>
    </row>
    <row r="558" spans="2:6">
      <c r="B558" s="64">
        <v>545</v>
      </c>
      <c r="C558" s="397">
        <f t="shared" si="37"/>
        <v>0</v>
      </c>
      <c r="D558" s="398">
        <f t="shared" si="38"/>
        <v>0</v>
      </c>
      <c r="E558" s="398">
        <f t="shared" si="39"/>
        <v>0</v>
      </c>
      <c r="F558" s="398">
        <f t="shared" si="40"/>
        <v>0</v>
      </c>
    </row>
    <row r="559" spans="2:6">
      <c r="B559" s="64">
        <v>546</v>
      </c>
      <c r="C559" s="397">
        <f t="shared" si="37"/>
        <v>0</v>
      </c>
      <c r="D559" s="398">
        <f t="shared" si="38"/>
        <v>0</v>
      </c>
      <c r="E559" s="398">
        <f t="shared" si="39"/>
        <v>0</v>
      </c>
      <c r="F559" s="398">
        <f t="shared" si="40"/>
        <v>0</v>
      </c>
    </row>
    <row r="560" spans="2:6">
      <c r="B560" s="64">
        <v>547</v>
      </c>
      <c r="C560" s="397">
        <f t="shared" si="37"/>
        <v>0</v>
      </c>
      <c r="D560" s="398">
        <f t="shared" si="38"/>
        <v>0</v>
      </c>
      <c r="E560" s="398">
        <f t="shared" si="39"/>
        <v>0</v>
      </c>
      <c r="F560" s="398">
        <f t="shared" si="40"/>
        <v>0</v>
      </c>
    </row>
    <row r="561" spans="2:6">
      <c r="B561" s="64">
        <v>548</v>
      </c>
      <c r="C561" s="397">
        <f t="shared" si="37"/>
        <v>0</v>
      </c>
      <c r="D561" s="398">
        <f t="shared" si="38"/>
        <v>0</v>
      </c>
      <c r="E561" s="398">
        <f t="shared" si="39"/>
        <v>0</v>
      </c>
      <c r="F561" s="398">
        <f t="shared" si="40"/>
        <v>0</v>
      </c>
    </row>
    <row r="562" spans="2:6">
      <c r="B562" s="64">
        <v>549</v>
      </c>
      <c r="C562" s="397">
        <f t="shared" si="37"/>
        <v>0</v>
      </c>
      <c r="D562" s="398">
        <f t="shared" si="38"/>
        <v>0</v>
      </c>
      <c r="E562" s="398">
        <f t="shared" si="39"/>
        <v>0</v>
      </c>
      <c r="F562" s="398">
        <f t="shared" si="40"/>
        <v>0</v>
      </c>
    </row>
    <row r="563" spans="2:6">
      <c r="B563" s="64">
        <v>550</v>
      </c>
      <c r="C563" s="397">
        <f t="shared" si="37"/>
        <v>0</v>
      </c>
      <c r="D563" s="398">
        <f t="shared" si="38"/>
        <v>0</v>
      </c>
      <c r="E563" s="398">
        <f t="shared" si="39"/>
        <v>0</v>
      </c>
      <c r="F563" s="398">
        <f t="shared" si="40"/>
        <v>0</v>
      </c>
    </row>
    <row r="564" spans="2:6">
      <c r="B564" s="64">
        <v>551</v>
      </c>
      <c r="C564" s="397">
        <f t="shared" si="37"/>
        <v>0</v>
      </c>
      <c r="D564" s="398">
        <f t="shared" si="38"/>
        <v>0</v>
      </c>
      <c r="E564" s="398">
        <f t="shared" si="39"/>
        <v>0</v>
      </c>
      <c r="F564" s="398">
        <f t="shared" si="40"/>
        <v>0</v>
      </c>
    </row>
    <row r="565" spans="2:6">
      <c r="B565" s="64">
        <v>552</v>
      </c>
      <c r="C565" s="397">
        <f t="shared" si="37"/>
        <v>0</v>
      </c>
      <c r="D565" s="398">
        <f t="shared" si="38"/>
        <v>0</v>
      </c>
      <c r="E565" s="398">
        <f t="shared" si="39"/>
        <v>0</v>
      </c>
      <c r="F565" s="398">
        <f t="shared" si="40"/>
        <v>0</v>
      </c>
    </row>
    <row r="566" spans="2:6">
      <c r="B566" s="64">
        <v>553</v>
      </c>
      <c r="C566" s="397">
        <f t="shared" si="37"/>
        <v>0</v>
      </c>
      <c r="D566" s="398">
        <f t="shared" si="38"/>
        <v>0</v>
      </c>
      <c r="E566" s="398">
        <f t="shared" si="39"/>
        <v>0</v>
      </c>
      <c r="F566" s="398">
        <f t="shared" si="40"/>
        <v>0</v>
      </c>
    </row>
    <row r="567" spans="2:6">
      <c r="B567" s="64">
        <v>554</v>
      </c>
      <c r="C567" s="397">
        <f t="shared" si="37"/>
        <v>0</v>
      </c>
      <c r="D567" s="398">
        <f t="shared" si="38"/>
        <v>0</v>
      </c>
      <c r="E567" s="398">
        <f t="shared" si="39"/>
        <v>0</v>
      </c>
      <c r="F567" s="398">
        <f t="shared" si="40"/>
        <v>0</v>
      </c>
    </row>
    <row r="568" spans="2:6">
      <c r="B568" s="64">
        <v>555</v>
      </c>
      <c r="C568" s="397">
        <f t="shared" si="37"/>
        <v>0</v>
      </c>
      <c r="D568" s="398">
        <f t="shared" si="38"/>
        <v>0</v>
      </c>
      <c r="E568" s="398">
        <f t="shared" si="39"/>
        <v>0</v>
      </c>
      <c r="F568" s="398">
        <f t="shared" si="40"/>
        <v>0</v>
      </c>
    </row>
    <row r="569" spans="2:6">
      <c r="B569" s="64">
        <v>556</v>
      </c>
      <c r="C569" s="397">
        <f t="shared" si="37"/>
        <v>0</v>
      </c>
      <c r="D569" s="398">
        <f t="shared" si="38"/>
        <v>0</v>
      </c>
      <c r="E569" s="398">
        <f t="shared" si="39"/>
        <v>0</v>
      </c>
      <c r="F569" s="398">
        <f t="shared" si="40"/>
        <v>0</v>
      </c>
    </row>
    <row r="570" spans="2:6">
      <c r="B570" s="64">
        <v>557</v>
      </c>
      <c r="C570" s="397">
        <f t="shared" si="37"/>
        <v>0</v>
      </c>
      <c r="D570" s="398">
        <f t="shared" si="38"/>
        <v>0</v>
      </c>
      <c r="E570" s="398">
        <f t="shared" si="39"/>
        <v>0</v>
      </c>
      <c r="F570" s="398">
        <f t="shared" si="40"/>
        <v>0</v>
      </c>
    </row>
    <row r="571" spans="2:6">
      <c r="B571" s="64">
        <v>558</v>
      </c>
      <c r="C571" s="397">
        <f t="shared" si="37"/>
        <v>0</v>
      </c>
      <c r="D571" s="398">
        <f t="shared" si="38"/>
        <v>0</v>
      </c>
      <c r="E571" s="398">
        <f t="shared" si="39"/>
        <v>0</v>
      </c>
      <c r="F571" s="398">
        <f t="shared" si="40"/>
        <v>0</v>
      </c>
    </row>
    <row r="572" spans="2:6">
      <c r="B572" s="64">
        <v>559</v>
      </c>
      <c r="C572" s="397">
        <f t="shared" si="37"/>
        <v>0</v>
      </c>
      <c r="D572" s="398">
        <f t="shared" si="38"/>
        <v>0</v>
      </c>
      <c r="E572" s="398">
        <f t="shared" si="39"/>
        <v>0</v>
      </c>
      <c r="F572" s="398">
        <f t="shared" si="40"/>
        <v>0</v>
      </c>
    </row>
    <row r="573" spans="2:6">
      <c r="B573" s="64">
        <v>560</v>
      </c>
      <c r="C573" s="397">
        <f t="shared" si="37"/>
        <v>0</v>
      </c>
      <c r="D573" s="398">
        <f t="shared" si="38"/>
        <v>0</v>
      </c>
      <c r="E573" s="398">
        <f t="shared" si="39"/>
        <v>0</v>
      </c>
      <c r="F573" s="398">
        <f t="shared" si="40"/>
        <v>0</v>
      </c>
    </row>
    <row r="574" spans="2:6">
      <c r="B574" s="64">
        <v>561</v>
      </c>
      <c r="C574" s="397">
        <f t="shared" si="37"/>
        <v>0</v>
      </c>
      <c r="D574" s="398">
        <f t="shared" si="38"/>
        <v>0</v>
      </c>
      <c r="E574" s="398">
        <f t="shared" si="39"/>
        <v>0</v>
      </c>
      <c r="F574" s="398">
        <f t="shared" si="40"/>
        <v>0</v>
      </c>
    </row>
    <row r="575" spans="2:6">
      <c r="B575" s="64">
        <v>562</v>
      </c>
      <c r="C575" s="397">
        <f t="shared" si="37"/>
        <v>0</v>
      </c>
      <c r="D575" s="398">
        <f t="shared" si="38"/>
        <v>0</v>
      </c>
      <c r="E575" s="398">
        <f t="shared" si="39"/>
        <v>0</v>
      </c>
      <c r="F575" s="398">
        <f t="shared" si="40"/>
        <v>0</v>
      </c>
    </row>
    <row r="576" spans="2:6">
      <c r="B576" s="64">
        <v>563</v>
      </c>
      <c r="C576" s="397">
        <f t="shared" si="37"/>
        <v>0</v>
      </c>
      <c r="D576" s="398">
        <f t="shared" si="38"/>
        <v>0</v>
      </c>
      <c r="E576" s="398">
        <f t="shared" si="39"/>
        <v>0</v>
      </c>
      <c r="F576" s="398">
        <f t="shared" si="40"/>
        <v>0</v>
      </c>
    </row>
    <row r="577" spans="2:6">
      <c r="B577" s="64">
        <v>564</v>
      </c>
      <c r="C577" s="397">
        <f t="shared" si="37"/>
        <v>0</v>
      </c>
      <c r="D577" s="398">
        <f t="shared" si="38"/>
        <v>0</v>
      </c>
      <c r="E577" s="398">
        <f t="shared" si="39"/>
        <v>0</v>
      </c>
      <c r="F577" s="398">
        <f t="shared" si="40"/>
        <v>0</v>
      </c>
    </row>
    <row r="578" spans="2:6">
      <c r="B578" s="64">
        <v>565</v>
      </c>
      <c r="C578" s="397">
        <f t="shared" si="37"/>
        <v>0</v>
      </c>
      <c r="D578" s="398">
        <f t="shared" si="38"/>
        <v>0</v>
      </c>
      <c r="E578" s="398">
        <f t="shared" si="39"/>
        <v>0</v>
      </c>
      <c r="F578" s="398">
        <f t="shared" si="40"/>
        <v>0</v>
      </c>
    </row>
    <row r="579" spans="2:6">
      <c r="B579" s="64">
        <v>566</v>
      </c>
      <c r="C579" s="397">
        <f t="shared" si="37"/>
        <v>0</v>
      </c>
      <c r="D579" s="398">
        <f t="shared" si="38"/>
        <v>0</v>
      </c>
      <c r="E579" s="398">
        <f t="shared" si="39"/>
        <v>0</v>
      </c>
      <c r="F579" s="398">
        <f t="shared" si="40"/>
        <v>0</v>
      </c>
    </row>
    <row r="580" spans="2:6">
      <c r="B580" s="64">
        <v>567</v>
      </c>
      <c r="C580" s="397">
        <f t="shared" si="37"/>
        <v>0</v>
      </c>
      <c r="D580" s="398">
        <f t="shared" si="38"/>
        <v>0</v>
      </c>
      <c r="E580" s="398">
        <f t="shared" si="39"/>
        <v>0</v>
      </c>
      <c r="F580" s="398">
        <f t="shared" si="40"/>
        <v>0</v>
      </c>
    </row>
    <row r="581" spans="2:6">
      <c r="B581" s="64">
        <v>568</v>
      </c>
      <c r="C581" s="397">
        <f t="shared" si="37"/>
        <v>0</v>
      </c>
      <c r="D581" s="398">
        <f t="shared" si="38"/>
        <v>0</v>
      </c>
      <c r="E581" s="398">
        <f t="shared" si="39"/>
        <v>0</v>
      </c>
      <c r="F581" s="398">
        <f t="shared" si="40"/>
        <v>0</v>
      </c>
    </row>
    <row r="582" spans="2:6">
      <c r="B582" s="64">
        <v>569</v>
      </c>
      <c r="C582" s="397">
        <f t="shared" si="37"/>
        <v>0</v>
      </c>
      <c r="D582" s="398">
        <f t="shared" si="38"/>
        <v>0</v>
      </c>
      <c r="E582" s="398">
        <f t="shared" si="39"/>
        <v>0</v>
      </c>
      <c r="F582" s="398">
        <f t="shared" si="40"/>
        <v>0</v>
      </c>
    </row>
    <row r="583" spans="2:6">
      <c r="B583" s="64">
        <v>570</v>
      </c>
      <c r="C583" s="397">
        <f t="shared" si="37"/>
        <v>0</v>
      </c>
      <c r="D583" s="398">
        <f t="shared" si="38"/>
        <v>0</v>
      </c>
      <c r="E583" s="398">
        <f t="shared" si="39"/>
        <v>0</v>
      </c>
      <c r="F583" s="398">
        <f t="shared" si="40"/>
        <v>0</v>
      </c>
    </row>
    <row r="584" spans="2:6">
      <c r="B584" s="64">
        <v>571</v>
      </c>
      <c r="C584" s="397">
        <f t="shared" si="37"/>
        <v>0</v>
      </c>
      <c r="D584" s="398">
        <f t="shared" si="38"/>
        <v>0</v>
      </c>
      <c r="E584" s="398">
        <f t="shared" si="39"/>
        <v>0</v>
      </c>
      <c r="F584" s="398">
        <f t="shared" si="40"/>
        <v>0</v>
      </c>
    </row>
    <row r="585" spans="2:6">
      <c r="B585" s="64">
        <v>572</v>
      </c>
      <c r="C585" s="397">
        <f t="shared" si="37"/>
        <v>0</v>
      </c>
      <c r="D585" s="398">
        <f t="shared" si="38"/>
        <v>0</v>
      </c>
      <c r="E585" s="398">
        <f t="shared" si="39"/>
        <v>0</v>
      </c>
      <c r="F585" s="398">
        <f t="shared" si="40"/>
        <v>0</v>
      </c>
    </row>
    <row r="586" spans="2:6">
      <c r="B586" s="64">
        <v>573</v>
      </c>
      <c r="C586" s="397">
        <f t="shared" si="37"/>
        <v>0</v>
      </c>
      <c r="D586" s="398">
        <f t="shared" si="38"/>
        <v>0</v>
      </c>
      <c r="E586" s="398">
        <f t="shared" si="39"/>
        <v>0</v>
      </c>
      <c r="F586" s="398">
        <f t="shared" si="40"/>
        <v>0</v>
      </c>
    </row>
    <row r="587" spans="2:6">
      <c r="B587" s="64">
        <v>574</v>
      </c>
      <c r="C587" s="397">
        <f t="shared" si="37"/>
        <v>0</v>
      </c>
      <c r="D587" s="398">
        <f t="shared" si="38"/>
        <v>0</v>
      </c>
      <c r="E587" s="398">
        <f t="shared" si="39"/>
        <v>0</v>
      </c>
      <c r="F587" s="398">
        <f t="shared" si="40"/>
        <v>0</v>
      </c>
    </row>
    <row r="588" spans="2:6">
      <c r="B588" s="64">
        <v>575</v>
      </c>
      <c r="C588" s="397">
        <f t="shared" si="37"/>
        <v>0</v>
      </c>
      <c r="D588" s="398">
        <f t="shared" si="38"/>
        <v>0</v>
      </c>
      <c r="E588" s="398">
        <f t="shared" si="39"/>
        <v>0</v>
      </c>
      <c r="F588" s="398">
        <f t="shared" si="40"/>
        <v>0</v>
      </c>
    </row>
    <row r="589" spans="2:6">
      <c r="B589" s="64">
        <v>576</v>
      </c>
      <c r="C589" s="397">
        <f t="shared" si="37"/>
        <v>0</v>
      </c>
      <c r="D589" s="398">
        <f t="shared" si="38"/>
        <v>0</v>
      </c>
      <c r="E589" s="398">
        <f t="shared" si="39"/>
        <v>0</v>
      </c>
      <c r="F589" s="398">
        <f t="shared" si="40"/>
        <v>0</v>
      </c>
    </row>
    <row r="590" spans="2:6">
      <c r="B590" s="64">
        <v>577</v>
      </c>
      <c r="C590" s="397">
        <f t="shared" si="37"/>
        <v>0</v>
      </c>
      <c r="D590" s="398">
        <f t="shared" si="38"/>
        <v>0</v>
      </c>
      <c r="E590" s="398">
        <f t="shared" si="39"/>
        <v>0</v>
      </c>
      <c r="F590" s="398">
        <f t="shared" si="40"/>
        <v>0</v>
      </c>
    </row>
    <row r="591" spans="2:6">
      <c r="B591" s="64">
        <v>578</v>
      </c>
      <c r="C591" s="397">
        <f t="shared" ref="C591:C654" si="41">IF(F590&gt;$C$7,$C$7,F590+D591)</f>
        <v>0</v>
      </c>
      <c r="D591" s="398">
        <f t="shared" ref="D591:D654" si="42">+$C$5*F590/12</f>
        <v>0</v>
      </c>
      <c r="E591" s="398">
        <f t="shared" si="39"/>
        <v>0</v>
      </c>
      <c r="F591" s="398">
        <f t="shared" si="40"/>
        <v>0</v>
      </c>
    </row>
    <row r="592" spans="2:6">
      <c r="B592" s="64">
        <v>579</v>
      </c>
      <c r="C592" s="397">
        <f t="shared" si="41"/>
        <v>0</v>
      </c>
      <c r="D592" s="398">
        <f t="shared" si="42"/>
        <v>0</v>
      </c>
      <c r="E592" s="398">
        <f t="shared" ref="E592:E655" si="43">+C592-D592</f>
        <v>0</v>
      </c>
      <c r="F592" s="398">
        <f t="shared" ref="F592:F655" si="44">+F591-E592</f>
        <v>0</v>
      </c>
    </row>
    <row r="593" spans="2:6">
      <c r="B593" s="64">
        <v>580</v>
      </c>
      <c r="C593" s="397">
        <f t="shared" si="41"/>
        <v>0</v>
      </c>
      <c r="D593" s="398">
        <f t="shared" si="42"/>
        <v>0</v>
      </c>
      <c r="E593" s="398">
        <f t="shared" si="43"/>
        <v>0</v>
      </c>
      <c r="F593" s="398">
        <f t="shared" si="44"/>
        <v>0</v>
      </c>
    </row>
    <row r="594" spans="2:6">
      <c r="B594" s="64">
        <v>581</v>
      </c>
      <c r="C594" s="397">
        <f t="shared" si="41"/>
        <v>0</v>
      </c>
      <c r="D594" s="398">
        <f t="shared" si="42"/>
        <v>0</v>
      </c>
      <c r="E594" s="398">
        <f t="shared" si="43"/>
        <v>0</v>
      </c>
      <c r="F594" s="398">
        <f t="shared" si="44"/>
        <v>0</v>
      </c>
    </row>
    <row r="595" spans="2:6">
      <c r="B595" s="64">
        <v>582</v>
      </c>
      <c r="C595" s="397">
        <f t="shared" si="41"/>
        <v>0</v>
      </c>
      <c r="D595" s="398">
        <f t="shared" si="42"/>
        <v>0</v>
      </c>
      <c r="E595" s="398">
        <f t="shared" si="43"/>
        <v>0</v>
      </c>
      <c r="F595" s="398">
        <f t="shared" si="44"/>
        <v>0</v>
      </c>
    </row>
    <row r="596" spans="2:6">
      <c r="B596" s="64">
        <v>583</v>
      </c>
      <c r="C596" s="397">
        <f t="shared" si="41"/>
        <v>0</v>
      </c>
      <c r="D596" s="398">
        <f t="shared" si="42"/>
        <v>0</v>
      </c>
      <c r="E596" s="398">
        <f t="shared" si="43"/>
        <v>0</v>
      </c>
      <c r="F596" s="398">
        <f t="shared" si="44"/>
        <v>0</v>
      </c>
    </row>
    <row r="597" spans="2:6">
      <c r="B597" s="64">
        <v>584</v>
      </c>
      <c r="C597" s="397">
        <f t="shared" si="41"/>
        <v>0</v>
      </c>
      <c r="D597" s="398">
        <f t="shared" si="42"/>
        <v>0</v>
      </c>
      <c r="E597" s="398">
        <f t="shared" si="43"/>
        <v>0</v>
      </c>
      <c r="F597" s="398">
        <f t="shared" si="44"/>
        <v>0</v>
      </c>
    </row>
    <row r="598" spans="2:6">
      <c r="B598" s="64">
        <v>585</v>
      </c>
      <c r="C598" s="397">
        <f t="shared" si="41"/>
        <v>0</v>
      </c>
      <c r="D598" s="398">
        <f t="shared" si="42"/>
        <v>0</v>
      </c>
      <c r="E598" s="398">
        <f t="shared" si="43"/>
        <v>0</v>
      </c>
      <c r="F598" s="398">
        <f t="shared" si="44"/>
        <v>0</v>
      </c>
    </row>
    <row r="599" spans="2:6">
      <c r="B599" s="64">
        <v>586</v>
      </c>
      <c r="C599" s="397">
        <f t="shared" si="41"/>
        <v>0</v>
      </c>
      <c r="D599" s="398">
        <f t="shared" si="42"/>
        <v>0</v>
      </c>
      <c r="E599" s="398">
        <f t="shared" si="43"/>
        <v>0</v>
      </c>
      <c r="F599" s="398">
        <f t="shared" si="44"/>
        <v>0</v>
      </c>
    </row>
    <row r="600" spans="2:6">
      <c r="B600" s="64">
        <v>587</v>
      </c>
      <c r="C600" s="397">
        <f t="shared" si="41"/>
        <v>0</v>
      </c>
      <c r="D600" s="398">
        <f t="shared" si="42"/>
        <v>0</v>
      </c>
      <c r="E600" s="398">
        <f t="shared" si="43"/>
        <v>0</v>
      </c>
      <c r="F600" s="398">
        <f t="shared" si="44"/>
        <v>0</v>
      </c>
    </row>
    <row r="601" spans="2:6">
      <c r="B601" s="64">
        <v>588</v>
      </c>
      <c r="C601" s="397">
        <f t="shared" si="41"/>
        <v>0</v>
      </c>
      <c r="D601" s="398">
        <f t="shared" si="42"/>
        <v>0</v>
      </c>
      <c r="E601" s="398">
        <f t="shared" si="43"/>
        <v>0</v>
      </c>
      <c r="F601" s="398">
        <f t="shared" si="44"/>
        <v>0</v>
      </c>
    </row>
    <row r="602" spans="2:6">
      <c r="B602" s="64">
        <v>589</v>
      </c>
      <c r="C602" s="397">
        <f t="shared" si="41"/>
        <v>0</v>
      </c>
      <c r="D602" s="398">
        <f t="shared" si="42"/>
        <v>0</v>
      </c>
      <c r="E602" s="398">
        <f t="shared" si="43"/>
        <v>0</v>
      </c>
      <c r="F602" s="398">
        <f t="shared" si="44"/>
        <v>0</v>
      </c>
    </row>
    <row r="603" spans="2:6">
      <c r="B603" s="64">
        <v>590</v>
      </c>
      <c r="C603" s="397">
        <f t="shared" si="41"/>
        <v>0</v>
      </c>
      <c r="D603" s="398">
        <f t="shared" si="42"/>
        <v>0</v>
      </c>
      <c r="E603" s="398">
        <f t="shared" si="43"/>
        <v>0</v>
      </c>
      <c r="F603" s="398">
        <f t="shared" si="44"/>
        <v>0</v>
      </c>
    </row>
    <row r="604" spans="2:6">
      <c r="B604" s="64">
        <v>591</v>
      </c>
      <c r="C604" s="397">
        <f t="shared" si="41"/>
        <v>0</v>
      </c>
      <c r="D604" s="398">
        <f t="shared" si="42"/>
        <v>0</v>
      </c>
      <c r="E604" s="398">
        <f t="shared" si="43"/>
        <v>0</v>
      </c>
      <c r="F604" s="398">
        <f t="shared" si="44"/>
        <v>0</v>
      </c>
    </row>
    <row r="605" spans="2:6">
      <c r="B605" s="64">
        <v>592</v>
      </c>
      <c r="C605" s="397">
        <f t="shared" si="41"/>
        <v>0</v>
      </c>
      <c r="D605" s="398">
        <f t="shared" si="42"/>
        <v>0</v>
      </c>
      <c r="E605" s="398">
        <f t="shared" si="43"/>
        <v>0</v>
      </c>
      <c r="F605" s="398">
        <f t="shared" si="44"/>
        <v>0</v>
      </c>
    </row>
    <row r="606" spans="2:6">
      <c r="B606" s="64">
        <v>593</v>
      </c>
      <c r="C606" s="397">
        <f t="shared" si="41"/>
        <v>0</v>
      </c>
      <c r="D606" s="398">
        <f t="shared" si="42"/>
        <v>0</v>
      </c>
      <c r="E606" s="398">
        <f t="shared" si="43"/>
        <v>0</v>
      </c>
      <c r="F606" s="398">
        <f t="shared" si="44"/>
        <v>0</v>
      </c>
    </row>
    <row r="607" spans="2:6">
      <c r="B607" s="64">
        <v>594</v>
      </c>
      <c r="C607" s="397">
        <f t="shared" si="41"/>
        <v>0</v>
      </c>
      <c r="D607" s="398">
        <f t="shared" si="42"/>
        <v>0</v>
      </c>
      <c r="E607" s="398">
        <f t="shared" si="43"/>
        <v>0</v>
      </c>
      <c r="F607" s="398">
        <f t="shared" si="44"/>
        <v>0</v>
      </c>
    </row>
    <row r="608" spans="2:6">
      <c r="B608" s="64">
        <v>595</v>
      </c>
      <c r="C608" s="397">
        <f t="shared" si="41"/>
        <v>0</v>
      </c>
      <c r="D608" s="398">
        <f t="shared" si="42"/>
        <v>0</v>
      </c>
      <c r="E608" s="398">
        <f t="shared" si="43"/>
        <v>0</v>
      </c>
      <c r="F608" s="398">
        <f t="shared" si="44"/>
        <v>0</v>
      </c>
    </row>
    <row r="609" spans="2:6">
      <c r="B609" s="64">
        <v>596</v>
      </c>
      <c r="C609" s="397">
        <f t="shared" si="41"/>
        <v>0</v>
      </c>
      <c r="D609" s="398">
        <f t="shared" si="42"/>
        <v>0</v>
      </c>
      <c r="E609" s="398">
        <f t="shared" si="43"/>
        <v>0</v>
      </c>
      <c r="F609" s="398">
        <f t="shared" si="44"/>
        <v>0</v>
      </c>
    </row>
    <row r="610" spans="2:6">
      <c r="B610" s="64">
        <v>597</v>
      </c>
      <c r="C610" s="397">
        <f t="shared" si="41"/>
        <v>0</v>
      </c>
      <c r="D610" s="398">
        <f t="shared" si="42"/>
        <v>0</v>
      </c>
      <c r="E610" s="398">
        <f t="shared" si="43"/>
        <v>0</v>
      </c>
      <c r="F610" s="398">
        <f t="shared" si="44"/>
        <v>0</v>
      </c>
    </row>
    <row r="611" spans="2:6">
      <c r="B611" s="64">
        <v>598</v>
      </c>
      <c r="C611" s="397">
        <f t="shared" si="41"/>
        <v>0</v>
      </c>
      <c r="D611" s="398">
        <f t="shared" si="42"/>
        <v>0</v>
      </c>
      <c r="E611" s="398">
        <f t="shared" si="43"/>
        <v>0</v>
      </c>
      <c r="F611" s="398">
        <f t="shared" si="44"/>
        <v>0</v>
      </c>
    </row>
    <row r="612" spans="2:6">
      <c r="B612" s="64">
        <v>599</v>
      </c>
      <c r="C612" s="397">
        <f t="shared" si="41"/>
        <v>0</v>
      </c>
      <c r="D612" s="398">
        <f t="shared" si="42"/>
        <v>0</v>
      </c>
      <c r="E612" s="398">
        <f t="shared" si="43"/>
        <v>0</v>
      </c>
      <c r="F612" s="398">
        <f t="shared" si="44"/>
        <v>0</v>
      </c>
    </row>
    <row r="613" spans="2:6">
      <c r="B613" s="64">
        <v>600</v>
      </c>
      <c r="C613" s="397">
        <f t="shared" si="41"/>
        <v>0</v>
      </c>
      <c r="D613" s="398">
        <f t="shared" si="42"/>
        <v>0</v>
      </c>
      <c r="E613" s="398">
        <f t="shared" si="43"/>
        <v>0</v>
      </c>
      <c r="F613" s="398">
        <f t="shared" si="44"/>
        <v>0</v>
      </c>
    </row>
    <row r="614" spans="2:6">
      <c r="B614" s="64">
        <v>601</v>
      </c>
      <c r="C614" s="397">
        <f t="shared" si="41"/>
        <v>0</v>
      </c>
      <c r="D614" s="398">
        <f t="shared" si="42"/>
        <v>0</v>
      </c>
      <c r="E614" s="398">
        <f t="shared" si="43"/>
        <v>0</v>
      </c>
      <c r="F614" s="398">
        <f t="shared" si="44"/>
        <v>0</v>
      </c>
    </row>
    <row r="615" spans="2:6">
      <c r="B615" s="64">
        <v>602</v>
      </c>
      <c r="C615" s="397">
        <f t="shared" si="41"/>
        <v>0</v>
      </c>
      <c r="D615" s="398">
        <f t="shared" si="42"/>
        <v>0</v>
      </c>
      <c r="E615" s="398">
        <f t="shared" si="43"/>
        <v>0</v>
      </c>
      <c r="F615" s="398">
        <f t="shared" si="44"/>
        <v>0</v>
      </c>
    </row>
    <row r="616" spans="2:6">
      <c r="B616" s="64">
        <v>603</v>
      </c>
      <c r="C616" s="397">
        <f t="shared" si="41"/>
        <v>0</v>
      </c>
      <c r="D616" s="398">
        <f t="shared" si="42"/>
        <v>0</v>
      </c>
      <c r="E616" s="398">
        <f t="shared" si="43"/>
        <v>0</v>
      </c>
      <c r="F616" s="398">
        <f t="shared" si="44"/>
        <v>0</v>
      </c>
    </row>
    <row r="617" spans="2:6">
      <c r="B617" s="64">
        <v>604</v>
      </c>
      <c r="C617" s="397">
        <f t="shared" si="41"/>
        <v>0</v>
      </c>
      <c r="D617" s="398">
        <f t="shared" si="42"/>
        <v>0</v>
      </c>
      <c r="E617" s="398">
        <f t="shared" si="43"/>
        <v>0</v>
      </c>
      <c r="F617" s="398">
        <f t="shared" si="44"/>
        <v>0</v>
      </c>
    </row>
    <row r="618" spans="2:6">
      <c r="B618" s="64">
        <v>605</v>
      </c>
      <c r="C618" s="397">
        <f t="shared" si="41"/>
        <v>0</v>
      </c>
      <c r="D618" s="398">
        <f t="shared" si="42"/>
        <v>0</v>
      </c>
      <c r="E618" s="398">
        <f t="shared" si="43"/>
        <v>0</v>
      </c>
      <c r="F618" s="398">
        <f t="shared" si="44"/>
        <v>0</v>
      </c>
    </row>
    <row r="619" spans="2:6">
      <c r="B619" s="64">
        <v>606</v>
      </c>
      <c r="C619" s="397">
        <f t="shared" si="41"/>
        <v>0</v>
      </c>
      <c r="D619" s="398">
        <f t="shared" si="42"/>
        <v>0</v>
      </c>
      <c r="E619" s="398">
        <f t="shared" si="43"/>
        <v>0</v>
      </c>
      <c r="F619" s="398">
        <f t="shared" si="44"/>
        <v>0</v>
      </c>
    </row>
    <row r="620" spans="2:6">
      <c r="B620" s="64">
        <v>607</v>
      </c>
      <c r="C620" s="397">
        <f t="shared" si="41"/>
        <v>0</v>
      </c>
      <c r="D620" s="398">
        <f t="shared" si="42"/>
        <v>0</v>
      </c>
      <c r="E620" s="398">
        <f t="shared" si="43"/>
        <v>0</v>
      </c>
      <c r="F620" s="398">
        <f t="shared" si="44"/>
        <v>0</v>
      </c>
    </row>
    <row r="621" spans="2:6">
      <c r="B621" s="64">
        <v>608</v>
      </c>
      <c r="C621" s="397">
        <f t="shared" si="41"/>
        <v>0</v>
      </c>
      <c r="D621" s="398">
        <f t="shared" si="42"/>
        <v>0</v>
      </c>
      <c r="E621" s="398">
        <f t="shared" si="43"/>
        <v>0</v>
      </c>
      <c r="F621" s="398">
        <f t="shared" si="44"/>
        <v>0</v>
      </c>
    </row>
    <row r="622" spans="2:6">
      <c r="B622" s="64">
        <v>609</v>
      </c>
      <c r="C622" s="397">
        <f t="shared" si="41"/>
        <v>0</v>
      </c>
      <c r="D622" s="398">
        <f t="shared" si="42"/>
        <v>0</v>
      </c>
      <c r="E622" s="398">
        <f t="shared" si="43"/>
        <v>0</v>
      </c>
      <c r="F622" s="398">
        <f t="shared" si="44"/>
        <v>0</v>
      </c>
    </row>
    <row r="623" spans="2:6">
      <c r="B623" s="64">
        <v>610</v>
      </c>
      <c r="C623" s="397">
        <f t="shared" si="41"/>
        <v>0</v>
      </c>
      <c r="D623" s="398">
        <f t="shared" si="42"/>
        <v>0</v>
      </c>
      <c r="E623" s="398">
        <f t="shared" si="43"/>
        <v>0</v>
      </c>
      <c r="F623" s="398">
        <f t="shared" si="44"/>
        <v>0</v>
      </c>
    </row>
    <row r="624" spans="2:6">
      <c r="B624" s="64">
        <v>611</v>
      </c>
      <c r="C624" s="397">
        <f t="shared" si="41"/>
        <v>0</v>
      </c>
      <c r="D624" s="398">
        <f t="shared" si="42"/>
        <v>0</v>
      </c>
      <c r="E624" s="398">
        <f t="shared" si="43"/>
        <v>0</v>
      </c>
      <c r="F624" s="398">
        <f t="shared" si="44"/>
        <v>0</v>
      </c>
    </row>
    <row r="625" spans="2:6">
      <c r="B625" s="64">
        <v>612</v>
      </c>
      <c r="C625" s="397">
        <f t="shared" si="41"/>
        <v>0</v>
      </c>
      <c r="D625" s="398">
        <f t="shared" si="42"/>
        <v>0</v>
      </c>
      <c r="E625" s="398">
        <f t="shared" si="43"/>
        <v>0</v>
      </c>
      <c r="F625" s="398">
        <f t="shared" si="44"/>
        <v>0</v>
      </c>
    </row>
    <row r="626" spans="2:6">
      <c r="B626" s="64">
        <v>613</v>
      </c>
      <c r="C626" s="397">
        <f t="shared" si="41"/>
        <v>0</v>
      </c>
      <c r="D626" s="398">
        <f t="shared" si="42"/>
        <v>0</v>
      </c>
      <c r="E626" s="398">
        <f t="shared" si="43"/>
        <v>0</v>
      </c>
      <c r="F626" s="398">
        <f t="shared" si="44"/>
        <v>0</v>
      </c>
    </row>
    <row r="627" spans="2:6">
      <c r="B627" s="64">
        <v>614</v>
      </c>
      <c r="C627" s="397">
        <f t="shared" si="41"/>
        <v>0</v>
      </c>
      <c r="D627" s="398">
        <f t="shared" si="42"/>
        <v>0</v>
      </c>
      <c r="E627" s="398">
        <f t="shared" si="43"/>
        <v>0</v>
      </c>
      <c r="F627" s="398">
        <f t="shared" si="44"/>
        <v>0</v>
      </c>
    </row>
    <row r="628" spans="2:6">
      <c r="B628" s="64">
        <v>615</v>
      </c>
      <c r="C628" s="397">
        <f t="shared" si="41"/>
        <v>0</v>
      </c>
      <c r="D628" s="398">
        <f t="shared" si="42"/>
        <v>0</v>
      </c>
      <c r="E628" s="398">
        <f t="shared" si="43"/>
        <v>0</v>
      </c>
      <c r="F628" s="398">
        <f t="shared" si="44"/>
        <v>0</v>
      </c>
    </row>
    <row r="629" spans="2:6">
      <c r="B629" s="64">
        <v>616</v>
      </c>
      <c r="C629" s="397">
        <f t="shared" si="41"/>
        <v>0</v>
      </c>
      <c r="D629" s="398">
        <f t="shared" si="42"/>
        <v>0</v>
      </c>
      <c r="E629" s="398">
        <f t="shared" si="43"/>
        <v>0</v>
      </c>
      <c r="F629" s="398">
        <f t="shared" si="44"/>
        <v>0</v>
      </c>
    </row>
    <row r="630" spans="2:6">
      <c r="B630" s="64">
        <v>617</v>
      </c>
      <c r="C630" s="397">
        <f t="shared" si="41"/>
        <v>0</v>
      </c>
      <c r="D630" s="398">
        <f t="shared" si="42"/>
        <v>0</v>
      </c>
      <c r="E630" s="398">
        <f t="shared" si="43"/>
        <v>0</v>
      </c>
      <c r="F630" s="398">
        <f t="shared" si="44"/>
        <v>0</v>
      </c>
    </row>
    <row r="631" spans="2:6">
      <c r="B631" s="64">
        <v>618</v>
      </c>
      <c r="C631" s="397">
        <f t="shared" si="41"/>
        <v>0</v>
      </c>
      <c r="D631" s="398">
        <f t="shared" si="42"/>
        <v>0</v>
      </c>
      <c r="E631" s="398">
        <f t="shared" si="43"/>
        <v>0</v>
      </c>
      <c r="F631" s="398">
        <f t="shared" si="44"/>
        <v>0</v>
      </c>
    </row>
    <row r="632" spans="2:6">
      <c r="B632" s="64">
        <v>619</v>
      </c>
      <c r="C632" s="397">
        <f t="shared" si="41"/>
        <v>0</v>
      </c>
      <c r="D632" s="398">
        <f t="shared" si="42"/>
        <v>0</v>
      </c>
      <c r="E632" s="398">
        <f t="shared" si="43"/>
        <v>0</v>
      </c>
      <c r="F632" s="398">
        <f t="shared" si="44"/>
        <v>0</v>
      </c>
    </row>
    <row r="633" spans="2:6">
      <c r="B633" s="64">
        <v>620</v>
      </c>
      <c r="C633" s="397">
        <f t="shared" si="41"/>
        <v>0</v>
      </c>
      <c r="D633" s="398">
        <f t="shared" si="42"/>
        <v>0</v>
      </c>
      <c r="E633" s="398">
        <f t="shared" si="43"/>
        <v>0</v>
      </c>
      <c r="F633" s="398">
        <f t="shared" si="44"/>
        <v>0</v>
      </c>
    </row>
    <row r="634" spans="2:6">
      <c r="B634" s="64">
        <v>621</v>
      </c>
      <c r="C634" s="397">
        <f t="shared" si="41"/>
        <v>0</v>
      </c>
      <c r="D634" s="398">
        <f t="shared" si="42"/>
        <v>0</v>
      </c>
      <c r="E634" s="398">
        <f t="shared" si="43"/>
        <v>0</v>
      </c>
      <c r="F634" s="398">
        <f t="shared" si="44"/>
        <v>0</v>
      </c>
    </row>
    <row r="635" spans="2:6">
      <c r="B635" s="64">
        <v>622</v>
      </c>
      <c r="C635" s="397">
        <f t="shared" si="41"/>
        <v>0</v>
      </c>
      <c r="D635" s="398">
        <f t="shared" si="42"/>
        <v>0</v>
      </c>
      <c r="E635" s="398">
        <f t="shared" si="43"/>
        <v>0</v>
      </c>
      <c r="F635" s="398">
        <f t="shared" si="44"/>
        <v>0</v>
      </c>
    </row>
    <row r="636" spans="2:6">
      <c r="B636" s="64">
        <v>623</v>
      </c>
      <c r="C636" s="397">
        <f t="shared" si="41"/>
        <v>0</v>
      </c>
      <c r="D636" s="398">
        <f t="shared" si="42"/>
        <v>0</v>
      </c>
      <c r="E636" s="398">
        <f t="shared" si="43"/>
        <v>0</v>
      </c>
      <c r="F636" s="398">
        <f t="shared" si="44"/>
        <v>0</v>
      </c>
    </row>
    <row r="637" spans="2:6">
      <c r="B637" s="64">
        <v>624</v>
      </c>
      <c r="C637" s="397">
        <f t="shared" si="41"/>
        <v>0</v>
      </c>
      <c r="D637" s="398">
        <f t="shared" si="42"/>
        <v>0</v>
      </c>
      <c r="E637" s="398">
        <f t="shared" si="43"/>
        <v>0</v>
      </c>
      <c r="F637" s="398">
        <f t="shared" si="44"/>
        <v>0</v>
      </c>
    </row>
    <row r="638" spans="2:6">
      <c r="B638" s="64">
        <v>625</v>
      </c>
      <c r="C638" s="397">
        <f t="shared" si="41"/>
        <v>0</v>
      </c>
      <c r="D638" s="398">
        <f t="shared" si="42"/>
        <v>0</v>
      </c>
      <c r="E638" s="398">
        <f t="shared" si="43"/>
        <v>0</v>
      </c>
      <c r="F638" s="398">
        <f t="shared" si="44"/>
        <v>0</v>
      </c>
    </row>
    <row r="639" spans="2:6">
      <c r="B639" s="64">
        <v>626</v>
      </c>
      <c r="C639" s="397">
        <f t="shared" si="41"/>
        <v>0</v>
      </c>
      <c r="D639" s="398">
        <f t="shared" si="42"/>
        <v>0</v>
      </c>
      <c r="E639" s="398">
        <f t="shared" si="43"/>
        <v>0</v>
      </c>
      <c r="F639" s="398">
        <f t="shared" si="44"/>
        <v>0</v>
      </c>
    </row>
    <row r="640" spans="2:6">
      <c r="B640" s="64">
        <v>627</v>
      </c>
      <c r="C640" s="397">
        <f t="shared" si="41"/>
        <v>0</v>
      </c>
      <c r="D640" s="398">
        <f t="shared" si="42"/>
        <v>0</v>
      </c>
      <c r="E640" s="398">
        <f t="shared" si="43"/>
        <v>0</v>
      </c>
      <c r="F640" s="398">
        <f t="shared" si="44"/>
        <v>0</v>
      </c>
    </row>
    <row r="641" spans="2:6">
      <c r="B641" s="64">
        <v>628</v>
      </c>
      <c r="C641" s="397">
        <f t="shared" si="41"/>
        <v>0</v>
      </c>
      <c r="D641" s="398">
        <f t="shared" si="42"/>
        <v>0</v>
      </c>
      <c r="E641" s="398">
        <f t="shared" si="43"/>
        <v>0</v>
      </c>
      <c r="F641" s="398">
        <f t="shared" si="44"/>
        <v>0</v>
      </c>
    </row>
    <row r="642" spans="2:6">
      <c r="B642" s="64">
        <v>629</v>
      </c>
      <c r="C642" s="397">
        <f t="shared" si="41"/>
        <v>0</v>
      </c>
      <c r="D642" s="398">
        <f t="shared" si="42"/>
        <v>0</v>
      </c>
      <c r="E642" s="398">
        <f t="shared" si="43"/>
        <v>0</v>
      </c>
      <c r="F642" s="398">
        <f t="shared" si="44"/>
        <v>0</v>
      </c>
    </row>
    <row r="643" spans="2:6">
      <c r="B643" s="64">
        <v>630</v>
      </c>
      <c r="C643" s="397">
        <f t="shared" si="41"/>
        <v>0</v>
      </c>
      <c r="D643" s="398">
        <f t="shared" si="42"/>
        <v>0</v>
      </c>
      <c r="E643" s="398">
        <f t="shared" si="43"/>
        <v>0</v>
      </c>
      <c r="F643" s="398">
        <f t="shared" si="44"/>
        <v>0</v>
      </c>
    </row>
    <row r="644" spans="2:6">
      <c r="B644" s="64">
        <v>631</v>
      </c>
      <c r="C644" s="397">
        <f t="shared" si="41"/>
        <v>0</v>
      </c>
      <c r="D644" s="398">
        <f t="shared" si="42"/>
        <v>0</v>
      </c>
      <c r="E644" s="398">
        <f t="shared" si="43"/>
        <v>0</v>
      </c>
      <c r="F644" s="398">
        <f t="shared" si="44"/>
        <v>0</v>
      </c>
    </row>
    <row r="645" spans="2:6">
      <c r="B645" s="64">
        <v>632</v>
      </c>
      <c r="C645" s="397">
        <f t="shared" si="41"/>
        <v>0</v>
      </c>
      <c r="D645" s="398">
        <f t="shared" si="42"/>
        <v>0</v>
      </c>
      <c r="E645" s="398">
        <f t="shared" si="43"/>
        <v>0</v>
      </c>
      <c r="F645" s="398">
        <f t="shared" si="44"/>
        <v>0</v>
      </c>
    </row>
    <row r="646" spans="2:6">
      <c r="B646" s="64">
        <v>633</v>
      </c>
      <c r="C646" s="397">
        <f t="shared" si="41"/>
        <v>0</v>
      </c>
      <c r="D646" s="398">
        <f t="shared" si="42"/>
        <v>0</v>
      </c>
      <c r="E646" s="398">
        <f t="shared" si="43"/>
        <v>0</v>
      </c>
      <c r="F646" s="398">
        <f t="shared" si="44"/>
        <v>0</v>
      </c>
    </row>
    <row r="647" spans="2:6">
      <c r="B647" s="64">
        <v>634</v>
      </c>
      <c r="C647" s="397">
        <f t="shared" si="41"/>
        <v>0</v>
      </c>
      <c r="D647" s="398">
        <f t="shared" si="42"/>
        <v>0</v>
      </c>
      <c r="E647" s="398">
        <f t="shared" si="43"/>
        <v>0</v>
      </c>
      <c r="F647" s="398">
        <f t="shared" si="44"/>
        <v>0</v>
      </c>
    </row>
    <row r="648" spans="2:6">
      <c r="B648" s="64">
        <v>635</v>
      </c>
      <c r="C648" s="397">
        <f t="shared" si="41"/>
        <v>0</v>
      </c>
      <c r="D648" s="398">
        <f t="shared" si="42"/>
        <v>0</v>
      </c>
      <c r="E648" s="398">
        <f t="shared" si="43"/>
        <v>0</v>
      </c>
      <c r="F648" s="398">
        <f t="shared" si="44"/>
        <v>0</v>
      </c>
    </row>
    <row r="649" spans="2:6">
      <c r="B649" s="64">
        <v>636</v>
      </c>
      <c r="C649" s="397">
        <f t="shared" si="41"/>
        <v>0</v>
      </c>
      <c r="D649" s="398">
        <f t="shared" si="42"/>
        <v>0</v>
      </c>
      <c r="E649" s="398">
        <f t="shared" si="43"/>
        <v>0</v>
      </c>
      <c r="F649" s="398">
        <f t="shared" si="44"/>
        <v>0</v>
      </c>
    </row>
    <row r="650" spans="2:6">
      <c r="B650" s="64">
        <v>637</v>
      </c>
      <c r="C650" s="397">
        <f t="shared" si="41"/>
        <v>0</v>
      </c>
      <c r="D650" s="398">
        <f t="shared" si="42"/>
        <v>0</v>
      </c>
      <c r="E650" s="398">
        <f t="shared" si="43"/>
        <v>0</v>
      </c>
      <c r="F650" s="398">
        <f t="shared" si="44"/>
        <v>0</v>
      </c>
    </row>
    <row r="651" spans="2:6">
      <c r="B651" s="64">
        <v>638</v>
      </c>
      <c r="C651" s="397">
        <f t="shared" si="41"/>
        <v>0</v>
      </c>
      <c r="D651" s="398">
        <f t="shared" si="42"/>
        <v>0</v>
      </c>
      <c r="E651" s="398">
        <f t="shared" si="43"/>
        <v>0</v>
      </c>
      <c r="F651" s="398">
        <f t="shared" si="44"/>
        <v>0</v>
      </c>
    </row>
    <row r="652" spans="2:6">
      <c r="B652" s="64">
        <v>639</v>
      </c>
      <c r="C652" s="397">
        <f t="shared" si="41"/>
        <v>0</v>
      </c>
      <c r="D652" s="398">
        <f t="shared" si="42"/>
        <v>0</v>
      </c>
      <c r="E652" s="398">
        <f t="shared" si="43"/>
        <v>0</v>
      </c>
      <c r="F652" s="398">
        <f t="shared" si="44"/>
        <v>0</v>
      </c>
    </row>
    <row r="653" spans="2:6">
      <c r="B653" s="64">
        <v>640</v>
      </c>
      <c r="C653" s="397">
        <f t="shared" si="41"/>
        <v>0</v>
      </c>
      <c r="D653" s="398">
        <f t="shared" si="42"/>
        <v>0</v>
      </c>
      <c r="E653" s="398">
        <f t="shared" si="43"/>
        <v>0</v>
      </c>
      <c r="F653" s="398">
        <f t="shared" si="44"/>
        <v>0</v>
      </c>
    </row>
    <row r="654" spans="2:6">
      <c r="B654" s="64">
        <v>641</v>
      </c>
      <c r="C654" s="397">
        <f t="shared" si="41"/>
        <v>0</v>
      </c>
      <c r="D654" s="398">
        <f t="shared" si="42"/>
        <v>0</v>
      </c>
      <c r="E654" s="398">
        <f t="shared" si="43"/>
        <v>0</v>
      </c>
      <c r="F654" s="398">
        <f t="shared" si="44"/>
        <v>0</v>
      </c>
    </row>
    <row r="655" spans="2:6">
      <c r="B655" s="64">
        <v>642</v>
      </c>
      <c r="C655" s="397">
        <f t="shared" ref="C655:C718" si="45">IF(F654&gt;$C$7,$C$7,F654+D655)</f>
        <v>0</v>
      </c>
      <c r="D655" s="398">
        <f t="shared" ref="D655:D718" si="46">+$C$5*F654/12</f>
        <v>0</v>
      </c>
      <c r="E655" s="398">
        <f t="shared" si="43"/>
        <v>0</v>
      </c>
      <c r="F655" s="398">
        <f t="shared" si="44"/>
        <v>0</v>
      </c>
    </row>
    <row r="656" spans="2:6">
      <c r="B656" s="64">
        <v>643</v>
      </c>
      <c r="C656" s="397">
        <f t="shared" si="45"/>
        <v>0</v>
      </c>
      <c r="D656" s="398">
        <f t="shared" si="46"/>
        <v>0</v>
      </c>
      <c r="E656" s="398">
        <f t="shared" ref="E656:E719" si="47">+C656-D656</f>
        <v>0</v>
      </c>
      <c r="F656" s="398">
        <f t="shared" ref="F656:F719" si="48">+F655-E656</f>
        <v>0</v>
      </c>
    </row>
    <row r="657" spans="2:6">
      <c r="B657" s="64">
        <v>644</v>
      </c>
      <c r="C657" s="397">
        <f t="shared" si="45"/>
        <v>0</v>
      </c>
      <c r="D657" s="398">
        <f t="shared" si="46"/>
        <v>0</v>
      </c>
      <c r="E657" s="398">
        <f t="shared" si="47"/>
        <v>0</v>
      </c>
      <c r="F657" s="398">
        <f t="shared" si="48"/>
        <v>0</v>
      </c>
    </row>
    <row r="658" spans="2:6">
      <c r="B658" s="64">
        <v>645</v>
      </c>
      <c r="C658" s="397">
        <f t="shared" si="45"/>
        <v>0</v>
      </c>
      <c r="D658" s="398">
        <f t="shared" si="46"/>
        <v>0</v>
      </c>
      <c r="E658" s="398">
        <f t="shared" si="47"/>
        <v>0</v>
      </c>
      <c r="F658" s="398">
        <f t="shared" si="48"/>
        <v>0</v>
      </c>
    </row>
    <row r="659" spans="2:6">
      <c r="B659" s="64">
        <v>646</v>
      </c>
      <c r="C659" s="397">
        <f t="shared" si="45"/>
        <v>0</v>
      </c>
      <c r="D659" s="398">
        <f t="shared" si="46"/>
        <v>0</v>
      </c>
      <c r="E659" s="398">
        <f t="shared" si="47"/>
        <v>0</v>
      </c>
      <c r="F659" s="398">
        <f t="shared" si="48"/>
        <v>0</v>
      </c>
    </row>
    <row r="660" spans="2:6">
      <c r="B660" s="64">
        <v>647</v>
      </c>
      <c r="C660" s="397">
        <f t="shared" si="45"/>
        <v>0</v>
      </c>
      <c r="D660" s="398">
        <f t="shared" si="46"/>
        <v>0</v>
      </c>
      <c r="E660" s="398">
        <f t="shared" si="47"/>
        <v>0</v>
      </c>
      <c r="F660" s="398">
        <f t="shared" si="48"/>
        <v>0</v>
      </c>
    </row>
    <row r="661" spans="2:6">
      <c r="B661" s="64">
        <v>648</v>
      </c>
      <c r="C661" s="397">
        <f t="shared" si="45"/>
        <v>0</v>
      </c>
      <c r="D661" s="398">
        <f t="shared" si="46"/>
        <v>0</v>
      </c>
      <c r="E661" s="398">
        <f t="shared" si="47"/>
        <v>0</v>
      </c>
      <c r="F661" s="398">
        <f t="shared" si="48"/>
        <v>0</v>
      </c>
    </row>
    <row r="662" spans="2:6">
      <c r="B662" s="64">
        <v>649</v>
      </c>
      <c r="C662" s="397">
        <f t="shared" si="45"/>
        <v>0</v>
      </c>
      <c r="D662" s="398">
        <f t="shared" si="46"/>
        <v>0</v>
      </c>
      <c r="E662" s="398">
        <f t="shared" si="47"/>
        <v>0</v>
      </c>
      <c r="F662" s="398">
        <f t="shared" si="48"/>
        <v>0</v>
      </c>
    </row>
    <row r="663" spans="2:6">
      <c r="B663" s="64">
        <v>650</v>
      </c>
      <c r="C663" s="397">
        <f t="shared" si="45"/>
        <v>0</v>
      </c>
      <c r="D663" s="398">
        <f t="shared" si="46"/>
        <v>0</v>
      </c>
      <c r="E663" s="398">
        <f t="shared" si="47"/>
        <v>0</v>
      </c>
      <c r="F663" s="398">
        <f t="shared" si="48"/>
        <v>0</v>
      </c>
    </row>
    <row r="664" spans="2:6">
      <c r="B664" s="64">
        <v>651</v>
      </c>
      <c r="C664" s="397">
        <f t="shared" si="45"/>
        <v>0</v>
      </c>
      <c r="D664" s="398">
        <f t="shared" si="46"/>
        <v>0</v>
      </c>
      <c r="E664" s="398">
        <f t="shared" si="47"/>
        <v>0</v>
      </c>
      <c r="F664" s="398">
        <f t="shared" si="48"/>
        <v>0</v>
      </c>
    </row>
    <row r="665" spans="2:6">
      <c r="B665" s="64">
        <v>652</v>
      </c>
      <c r="C665" s="397">
        <f t="shared" si="45"/>
        <v>0</v>
      </c>
      <c r="D665" s="398">
        <f t="shared" si="46"/>
        <v>0</v>
      </c>
      <c r="E665" s="398">
        <f t="shared" si="47"/>
        <v>0</v>
      </c>
      <c r="F665" s="398">
        <f t="shared" si="48"/>
        <v>0</v>
      </c>
    </row>
    <row r="666" spans="2:6">
      <c r="B666" s="64">
        <v>653</v>
      </c>
      <c r="C666" s="397">
        <f t="shared" si="45"/>
        <v>0</v>
      </c>
      <c r="D666" s="398">
        <f t="shared" si="46"/>
        <v>0</v>
      </c>
      <c r="E666" s="398">
        <f t="shared" si="47"/>
        <v>0</v>
      </c>
      <c r="F666" s="398">
        <f t="shared" si="48"/>
        <v>0</v>
      </c>
    </row>
    <row r="667" spans="2:6">
      <c r="B667" s="64">
        <v>654</v>
      </c>
      <c r="C667" s="397">
        <f t="shared" si="45"/>
        <v>0</v>
      </c>
      <c r="D667" s="398">
        <f t="shared" si="46"/>
        <v>0</v>
      </c>
      <c r="E667" s="398">
        <f t="shared" si="47"/>
        <v>0</v>
      </c>
      <c r="F667" s="398">
        <f t="shared" si="48"/>
        <v>0</v>
      </c>
    </row>
    <row r="668" spans="2:6">
      <c r="B668" s="64">
        <v>655</v>
      </c>
      <c r="C668" s="397">
        <f t="shared" si="45"/>
        <v>0</v>
      </c>
      <c r="D668" s="398">
        <f t="shared" si="46"/>
        <v>0</v>
      </c>
      <c r="E668" s="398">
        <f t="shared" si="47"/>
        <v>0</v>
      </c>
      <c r="F668" s="398">
        <f t="shared" si="48"/>
        <v>0</v>
      </c>
    </row>
    <row r="669" spans="2:6">
      <c r="B669" s="64">
        <v>656</v>
      </c>
      <c r="C669" s="397">
        <f t="shared" si="45"/>
        <v>0</v>
      </c>
      <c r="D669" s="398">
        <f t="shared" si="46"/>
        <v>0</v>
      </c>
      <c r="E669" s="398">
        <f t="shared" si="47"/>
        <v>0</v>
      </c>
      <c r="F669" s="398">
        <f t="shared" si="48"/>
        <v>0</v>
      </c>
    </row>
    <row r="670" spans="2:6">
      <c r="B670" s="64">
        <v>657</v>
      </c>
      <c r="C670" s="397">
        <f t="shared" si="45"/>
        <v>0</v>
      </c>
      <c r="D670" s="398">
        <f t="shared" si="46"/>
        <v>0</v>
      </c>
      <c r="E670" s="398">
        <f t="shared" si="47"/>
        <v>0</v>
      </c>
      <c r="F670" s="398">
        <f t="shared" si="48"/>
        <v>0</v>
      </c>
    </row>
    <row r="671" spans="2:6">
      <c r="B671" s="64">
        <v>658</v>
      </c>
      <c r="C671" s="397">
        <f t="shared" si="45"/>
        <v>0</v>
      </c>
      <c r="D671" s="398">
        <f t="shared" si="46"/>
        <v>0</v>
      </c>
      <c r="E671" s="398">
        <f t="shared" si="47"/>
        <v>0</v>
      </c>
      <c r="F671" s="398">
        <f t="shared" si="48"/>
        <v>0</v>
      </c>
    </row>
    <row r="672" spans="2:6">
      <c r="B672" s="64">
        <v>659</v>
      </c>
      <c r="C672" s="397">
        <f t="shared" si="45"/>
        <v>0</v>
      </c>
      <c r="D672" s="398">
        <f t="shared" si="46"/>
        <v>0</v>
      </c>
      <c r="E672" s="398">
        <f t="shared" si="47"/>
        <v>0</v>
      </c>
      <c r="F672" s="398">
        <f t="shared" si="48"/>
        <v>0</v>
      </c>
    </row>
    <row r="673" spans="2:6">
      <c r="B673" s="64">
        <v>660</v>
      </c>
      <c r="C673" s="397">
        <f t="shared" si="45"/>
        <v>0</v>
      </c>
      <c r="D673" s="398">
        <f t="shared" si="46"/>
        <v>0</v>
      </c>
      <c r="E673" s="398">
        <f t="shared" si="47"/>
        <v>0</v>
      </c>
      <c r="F673" s="398">
        <f t="shared" si="48"/>
        <v>0</v>
      </c>
    </row>
    <row r="674" spans="2:6">
      <c r="B674" s="64">
        <v>661</v>
      </c>
      <c r="C674" s="397">
        <f t="shared" si="45"/>
        <v>0</v>
      </c>
      <c r="D674" s="398">
        <f t="shared" si="46"/>
        <v>0</v>
      </c>
      <c r="E674" s="398">
        <f t="shared" si="47"/>
        <v>0</v>
      </c>
      <c r="F674" s="398">
        <f t="shared" si="48"/>
        <v>0</v>
      </c>
    </row>
    <row r="675" spans="2:6">
      <c r="B675" s="64">
        <v>662</v>
      </c>
      <c r="C675" s="397">
        <f t="shared" si="45"/>
        <v>0</v>
      </c>
      <c r="D675" s="398">
        <f t="shared" si="46"/>
        <v>0</v>
      </c>
      <c r="E675" s="398">
        <f t="shared" si="47"/>
        <v>0</v>
      </c>
      <c r="F675" s="398">
        <f t="shared" si="48"/>
        <v>0</v>
      </c>
    </row>
    <row r="676" spans="2:6">
      <c r="B676" s="64">
        <v>663</v>
      </c>
      <c r="C676" s="397">
        <f t="shared" si="45"/>
        <v>0</v>
      </c>
      <c r="D676" s="398">
        <f t="shared" si="46"/>
        <v>0</v>
      </c>
      <c r="E676" s="398">
        <f t="shared" si="47"/>
        <v>0</v>
      </c>
      <c r="F676" s="398">
        <f t="shared" si="48"/>
        <v>0</v>
      </c>
    </row>
    <row r="677" spans="2:6">
      <c r="B677" s="64">
        <v>664</v>
      </c>
      <c r="C677" s="397">
        <f t="shared" si="45"/>
        <v>0</v>
      </c>
      <c r="D677" s="398">
        <f t="shared" si="46"/>
        <v>0</v>
      </c>
      <c r="E677" s="398">
        <f t="shared" si="47"/>
        <v>0</v>
      </c>
      <c r="F677" s="398">
        <f t="shared" si="48"/>
        <v>0</v>
      </c>
    </row>
    <row r="678" spans="2:6">
      <c r="B678" s="64">
        <v>665</v>
      </c>
      <c r="C678" s="397">
        <f t="shared" si="45"/>
        <v>0</v>
      </c>
      <c r="D678" s="398">
        <f t="shared" si="46"/>
        <v>0</v>
      </c>
      <c r="E678" s="398">
        <f t="shared" si="47"/>
        <v>0</v>
      </c>
      <c r="F678" s="398">
        <f t="shared" si="48"/>
        <v>0</v>
      </c>
    </row>
    <row r="679" spans="2:6">
      <c r="B679" s="64">
        <v>666</v>
      </c>
      <c r="C679" s="397">
        <f t="shared" si="45"/>
        <v>0</v>
      </c>
      <c r="D679" s="398">
        <f t="shared" si="46"/>
        <v>0</v>
      </c>
      <c r="E679" s="398">
        <f t="shared" si="47"/>
        <v>0</v>
      </c>
      <c r="F679" s="398">
        <f t="shared" si="48"/>
        <v>0</v>
      </c>
    </row>
    <row r="680" spans="2:6">
      <c r="B680" s="64">
        <v>667</v>
      </c>
      <c r="C680" s="397">
        <f t="shared" si="45"/>
        <v>0</v>
      </c>
      <c r="D680" s="398">
        <f t="shared" si="46"/>
        <v>0</v>
      </c>
      <c r="E680" s="398">
        <f t="shared" si="47"/>
        <v>0</v>
      </c>
      <c r="F680" s="398">
        <f t="shared" si="48"/>
        <v>0</v>
      </c>
    </row>
    <row r="681" spans="2:6">
      <c r="B681" s="64">
        <v>668</v>
      </c>
      <c r="C681" s="397">
        <f t="shared" si="45"/>
        <v>0</v>
      </c>
      <c r="D681" s="398">
        <f t="shared" si="46"/>
        <v>0</v>
      </c>
      <c r="E681" s="398">
        <f t="shared" si="47"/>
        <v>0</v>
      </c>
      <c r="F681" s="398">
        <f t="shared" si="48"/>
        <v>0</v>
      </c>
    </row>
    <row r="682" spans="2:6">
      <c r="B682" s="64">
        <v>669</v>
      </c>
      <c r="C682" s="397">
        <f t="shared" si="45"/>
        <v>0</v>
      </c>
      <c r="D682" s="398">
        <f t="shared" si="46"/>
        <v>0</v>
      </c>
      <c r="E682" s="398">
        <f t="shared" si="47"/>
        <v>0</v>
      </c>
      <c r="F682" s="398">
        <f t="shared" si="48"/>
        <v>0</v>
      </c>
    </row>
    <row r="683" spans="2:6">
      <c r="B683" s="64">
        <v>670</v>
      </c>
      <c r="C683" s="397">
        <f t="shared" si="45"/>
        <v>0</v>
      </c>
      <c r="D683" s="398">
        <f t="shared" si="46"/>
        <v>0</v>
      </c>
      <c r="E683" s="398">
        <f t="shared" si="47"/>
        <v>0</v>
      </c>
      <c r="F683" s="398">
        <f t="shared" si="48"/>
        <v>0</v>
      </c>
    </row>
    <row r="684" spans="2:6">
      <c r="B684" s="64">
        <v>671</v>
      </c>
      <c r="C684" s="397">
        <f t="shared" si="45"/>
        <v>0</v>
      </c>
      <c r="D684" s="398">
        <f t="shared" si="46"/>
        <v>0</v>
      </c>
      <c r="E684" s="398">
        <f t="shared" si="47"/>
        <v>0</v>
      </c>
      <c r="F684" s="398">
        <f t="shared" si="48"/>
        <v>0</v>
      </c>
    </row>
    <row r="685" spans="2:6">
      <c r="B685" s="64">
        <v>672</v>
      </c>
      <c r="C685" s="397">
        <f t="shared" si="45"/>
        <v>0</v>
      </c>
      <c r="D685" s="398">
        <f t="shared" si="46"/>
        <v>0</v>
      </c>
      <c r="E685" s="398">
        <f t="shared" si="47"/>
        <v>0</v>
      </c>
      <c r="F685" s="398">
        <f t="shared" si="48"/>
        <v>0</v>
      </c>
    </row>
    <row r="686" spans="2:6">
      <c r="B686" s="64">
        <v>673</v>
      </c>
      <c r="C686" s="397">
        <f t="shared" si="45"/>
        <v>0</v>
      </c>
      <c r="D686" s="398">
        <f t="shared" si="46"/>
        <v>0</v>
      </c>
      <c r="E686" s="398">
        <f t="shared" si="47"/>
        <v>0</v>
      </c>
      <c r="F686" s="398">
        <f t="shared" si="48"/>
        <v>0</v>
      </c>
    </row>
    <row r="687" spans="2:6">
      <c r="B687" s="64">
        <v>674</v>
      </c>
      <c r="C687" s="397">
        <f t="shared" si="45"/>
        <v>0</v>
      </c>
      <c r="D687" s="398">
        <f t="shared" si="46"/>
        <v>0</v>
      </c>
      <c r="E687" s="398">
        <f t="shared" si="47"/>
        <v>0</v>
      </c>
      <c r="F687" s="398">
        <f t="shared" si="48"/>
        <v>0</v>
      </c>
    </row>
    <row r="688" spans="2:6">
      <c r="B688" s="64">
        <v>675</v>
      </c>
      <c r="C688" s="397">
        <f t="shared" si="45"/>
        <v>0</v>
      </c>
      <c r="D688" s="398">
        <f t="shared" si="46"/>
        <v>0</v>
      </c>
      <c r="E688" s="398">
        <f t="shared" si="47"/>
        <v>0</v>
      </c>
      <c r="F688" s="398">
        <f t="shared" si="48"/>
        <v>0</v>
      </c>
    </row>
    <row r="689" spans="2:6">
      <c r="B689" s="64">
        <v>676</v>
      </c>
      <c r="C689" s="397">
        <f t="shared" si="45"/>
        <v>0</v>
      </c>
      <c r="D689" s="398">
        <f t="shared" si="46"/>
        <v>0</v>
      </c>
      <c r="E689" s="398">
        <f t="shared" si="47"/>
        <v>0</v>
      </c>
      <c r="F689" s="398">
        <f t="shared" si="48"/>
        <v>0</v>
      </c>
    </row>
    <row r="690" spans="2:6">
      <c r="B690" s="64">
        <v>677</v>
      </c>
      <c r="C690" s="397">
        <f t="shared" si="45"/>
        <v>0</v>
      </c>
      <c r="D690" s="398">
        <f t="shared" si="46"/>
        <v>0</v>
      </c>
      <c r="E690" s="398">
        <f t="shared" si="47"/>
        <v>0</v>
      </c>
      <c r="F690" s="398">
        <f t="shared" si="48"/>
        <v>0</v>
      </c>
    </row>
    <row r="691" spans="2:6">
      <c r="B691" s="64">
        <v>678</v>
      </c>
      <c r="C691" s="397">
        <f t="shared" si="45"/>
        <v>0</v>
      </c>
      <c r="D691" s="398">
        <f t="shared" si="46"/>
        <v>0</v>
      </c>
      <c r="E691" s="398">
        <f t="shared" si="47"/>
        <v>0</v>
      </c>
      <c r="F691" s="398">
        <f t="shared" si="48"/>
        <v>0</v>
      </c>
    </row>
    <row r="692" spans="2:6">
      <c r="B692" s="64">
        <v>679</v>
      </c>
      <c r="C692" s="397">
        <f t="shared" si="45"/>
        <v>0</v>
      </c>
      <c r="D692" s="398">
        <f t="shared" si="46"/>
        <v>0</v>
      </c>
      <c r="E692" s="398">
        <f t="shared" si="47"/>
        <v>0</v>
      </c>
      <c r="F692" s="398">
        <f t="shared" si="48"/>
        <v>0</v>
      </c>
    </row>
    <row r="693" spans="2:6">
      <c r="B693" s="64">
        <v>680</v>
      </c>
      <c r="C693" s="397">
        <f t="shared" si="45"/>
        <v>0</v>
      </c>
      <c r="D693" s="398">
        <f t="shared" si="46"/>
        <v>0</v>
      </c>
      <c r="E693" s="398">
        <f t="shared" si="47"/>
        <v>0</v>
      </c>
      <c r="F693" s="398">
        <f t="shared" si="48"/>
        <v>0</v>
      </c>
    </row>
    <row r="694" spans="2:6">
      <c r="B694" s="64">
        <v>681</v>
      </c>
      <c r="C694" s="397">
        <f t="shared" si="45"/>
        <v>0</v>
      </c>
      <c r="D694" s="398">
        <f t="shared" si="46"/>
        <v>0</v>
      </c>
      <c r="E694" s="398">
        <f t="shared" si="47"/>
        <v>0</v>
      </c>
      <c r="F694" s="398">
        <f t="shared" si="48"/>
        <v>0</v>
      </c>
    </row>
    <row r="695" spans="2:6">
      <c r="B695" s="64">
        <v>682</v>
      </c>
      <c r="C695" s="397">
        <f t="shared" si="45"/>
        <v>0</v>
      </c>
      <c r="D695" s="398">
        <f t="shared" si="46"/>
        <v>0</v>
      </c>
      <c r="E695" s="398">
        <f t="shared" si="47"/>
        <v>0</v>
      </c>
      <c r="F695" s="398">
        <f t="shared" si="48"/>
        <v>0</v>
      </c>
    </row>
    <row r="696" spans="2:6">
      <c r="B696" s="64">
        <v>683</v>
      </c>
      <c r="C696" s="397">
        <f t="shared" si="45"/>
        <v>0</v>
      </c>
      <c r="D696" s="398">
        <f t="shared" si="46"/>
        <v>0</v>
      </c>
      <c r="E696" s="398">
        <f t="shared" si="47"/>
        <v>0</v>
      </c>
      <c r="F696" s="398">
        <f t="shared" si="48"/>
        <v>0</v>
      </c>
    </row>
    <row r="697" spans="2:6">
      <c r="B697" s="64">
        <v>684</v>
      </c>
      <c r="C697" s="397">
        <f t="shared" si="45"/>
        <v>0</v>
      </c>
      <c r="D697" s="398">
        <f t="shared" si="46"/>
        <v>0</v>
      </c>
      <c r="E697" s="398">
        <f t="shared" si="47"/>
        <v>0</v>
      </c>
      <c r="F697" s="398">
        <f t="shared" si="48"/>
        <v>0</v>
      </c>
    </row>
    <row r="698" spans="2:6">
      <c r="B698" s="64">
        <v>685</v>
      </c>
      <c r="C698" s="397">
        <f t="shared" si="45"/>
        <v>0</v>
      </c>
      <c r="D698" s="398">
        <f t="shared" si="46"/>
        <v>0</v>
      </c>
      <c r="E698" s="398">
        <f t="shared" si="47"/>
        <v>0</v>
      </c>
      <c r="F698" s="398">
        <f t="shared" si="48"/>
        <v>0</v>
      </c>
    </row>
    <row r="699" spans="2:6">
      <c r="B699" s="64">
        <v>686</v>
      </c>
      <c r="C699" s="397">
        <f t="shared" si="45"/>
        <v>0</v>
      </c>
      <c r="D699" s="398">
        <f t="shared" si="46"/>
        <v>0</v>
      </c>
      <c r="E699" s="398">
        <f t="shared" si="47"/>
        <v>0</v>
      </c>
      <c r="F699" s="398">
        <f t="shared" si="48"/>
        <v>0</v>
      </c>
    </row>
    <row r="700" spans="2:6">
      <c r="B700" s="64">
        <v>687</v>
      </c>
      <c r="C700" s="397">
        <f t="shared" si="45"/>
        <v>0</v>
      </c>
      <c r="D700" s="398">
        <f t="shared" si="46"/>
        <v>0</v>
      </c>
      <c r="E700" s="398">
        <f t="shared" si="47"/>
        <v>0</v>
      </c>
      <c r="F700" s="398">
        <f t="shared" si="48"/>
        <v>0</v>
      </c>
    </row>
    <row r="701" spans="2:6">
      <c r="B701" s="64">
        <v>688</v>
      </c>
      <c r="C701" s="397">
        <f t="shared" si="45"/>
        <v>0</v>
      </c>
      <c r="D701" s="398">
        <f t="shared" si="46"/>
        <v>0</v>
      </c>
      <c r="E701" s="398">
        <f t="shared" si="47"/>
        <v>0</v>
      </c>
      <c r="F701" s="398">
        <f t="shared" si="48"/>
        <v>0</v>
      </c>
    </row>
    <row r="702" spans="2:6">
      <c r="B702" s="64">
        <v>689</v>
      </c>
      <c r="C702" s="397">
        <f t="shared" si="45"/>
        <v>0</v>
      </c>
      <c r="D702" s="398">
        <f t="shared" si="46"/>
        <v>0</v>
      </c>
      <c r="E702" s="398">
        <f t="shared" si="47"/>
        <v>0</v>
      </c>
      <c r="F702" s="398">
        <f t="shared" si="48"/>
        <v>0</v>
      </c>
    </row>
    <row r="703" spans="2:6">
      <c r="B703" s="64">
        <v>690</v>
      </c>
      <c r="C703" s="397">
        <f t="shared" si="45"/>
        <v>0</v>
      </c>
      <c r="D703" s="398">
        <f t="shared" si="46"/>
        <v>0</v>
      </c>
      <c r="E703" s="398">
        <f t="shared" si="47"/>
        <v>0</v>
      </c>
      <c r="F703" s="398">
        <f t="shared" si="48"/>
        <v>0</v>
      </c>
    </row>
    <row r="704" spans="2:6">
      <c r="B704" s="64">
        <v>691</v>
      </c>
      <c r="C704" s="397">
        <f t="shared" si="45"/>
        <v>0</v>
      </c>
      <c r="D704" s="398">
        <f t="shared" si="46"/>
        <v>0</v>
      </c>
      <c r="E704" s="398">
        <f t="shared" si="47"/>
        <v>0</v>
      </c>
      <c r="F704" s="398">
        <f t="shared" si="48"/>
        <v>0</v>
      </c>
    </row>
    <row r="705" spans="2:6">
      <c r="B705" s="64">
        <v>692</v>
      </c>
      <c r="C705" s="397">
        <f t="shared" si="45"/>
        <v>0</v>
      </c>
      <c r="D705" s="398">
        <f t="shared" si="46"/>
        <v>0</v>
      </c>
      <c r="E705" s="398">
        <f t="shared" si="47"/>
        <v>0</v>
      </c>
      <c r="F705" s="398">
        <f t="shared" si="48"/>
        <v>0</v>
      </c>
    </row>
    <row r="706" spans="2:6">
      <c r="B706" s="64">
        <v>693</v>
      </c>
      <c r="C706" s="397">
        <f t="shared" si="45"/>
        <v>0</v>
      </c>
      <c r="D706" s="398">
        <f t="shared" si="46"/>
        <v>0</v>
      </c>
      <c r="E706" s="398">
        <f t="shared" si="47"/>
        <v>0</v>
      </c>
      <c r="F706" s="398">
        <f t="shared" si="48"/>
        <v>0</v>
      </c>
    </row>
    <row r="707" spans="2:6">
      <c r="B707" s="64">
        <v>694</v>
      </c>
      <c r="C707" s="397">
        <f t="shared" si="45"/>
        <v>0</v>
      </c>
      <c r="D707" s="398">
        <f t="shared" si="46"/>
        <v>0</v>
      </c>
      <c r="E707" s="398">
        <f t="shared" si="47"/>
        <v>0</v>
      </c>
      <c r="F707" s="398">
        <f t="shared" si="48"/>
        <v>0</v>
      </c>
    </row>
    <row r="708" spans="2:6">
      <c r="B708" s="64">
        <v>695</v>
      </c>
      <c r="C708" s="397">
        <f t="shared" si="45"/>
        <v>0</v>
      </c>
      <c r="D708" s="398">
        <f t="shared" si="46"/>
        <v>0</v>
      </c>
      <c r="E708" s="398">
        <f t="shared" si="47"/>
        <v>0</v>
      </c>
      <c r="F708" s="398">
        <f t="shared" si="48"/>
        <v>0</v>
      </c>
    </row>
    <row r="709" spans="2:6">
      <c r="B709" s="64">
        <v>696</v>
      </c>
      <c r="C709" s="397">
        <f t="shared" si="45"/>
        <v>0</v>
      </c>
      <c r="D709" s="398">
        <f t="shared" si="46"/>
        <v>0</v>
      </c>
      <c r="E709" s="398">
        <f t="shared" si="47"/>
        <v>0</v>
      </c>
      <c r="F709" s="398">
        <f t="shared" si="48"/>
        <v>0</v>
      </c>
    </row>
    <row r="710" spans="2:6">
      <c r="B710" s="64">
        <v>697</v>
      </c>
      <c r="C710" s="397">
        <f t="shared" si="45"/>
        <v>0</v>
      </c>
      <c r="D710" s="398">
        <f t="shared" si="46"/>
        <v>0</v>
      </c>
      <c r="E710" s="398">
        <f t="shared" si="47"/>
        <v>0</v>
      </c>
      <c r="F710" s="398">
        <f t="shared" si="48"/>
        <v>0</v>
      </c>
    </row>
    <row r="711" spans="2:6">
      <c r="B711" s="64">
        <v>698</v>
      </c>
      <c r="C711" s="397">
        <f t="shared" si="45"/>
        <v>0</v>
      </c>
      <c r="D711" s="398">
        <f t="shared" si="46"/>
        <v>0</v>
      </c>
      <c r="E711" s="398">
        <f t="shared" si="47"/>
        <v>0</v>
      </c>
      <c r="F711" s="398">
        <f t="shared" si="48"/>
        <v>0</v>
      </c>
    </row>
    <row r="712" spans="2:6">
      <c r="B712" s="64">
        <v>699</v>
      </c>
      <c r="C712" s="397">
        <f t="shared" si="45"/>
        <v>0</v>
      </c>
      <c r="D712" s="398">
        <f t="shared" si="46"/>
        <v>0</v>
      </c>
      <c r="E712" s="398">
        <f t="shared" si="47"/>
        <v>0</v>
      </c>
      <c r="F712" s="398">
        <f t="shared" si="48"/>
        <v>0</v>
      </c>
    </row>
    <row r="713" spans="2:6">
      <c r="B713" s="64">
        <v>700</v>
      </c>
      <c r="C713" s="397">
        <f t="shared" si="45"/>
        <v>0</v>
      </c>
      <c r="D713" s="398">
        <f t="shared" si="46"/>
        <v>0</v>
      </c>
      <c r="E713" s="398">
        <f t="shared" si="47"/>
        <v>0</v>
      </c>
      <c r="F713" s="398">
        <f t="shared" si="48"/>
        <v>0</v>
      </c>
    </row>
    <row r="714" spans="2:6">
      <c r="B714" s="64">
        <v>701</v>
      </c>
      <c r="C714" s="397">
        <f t="shared" si="45"/>
        <v>0</v>
      </c>
      <c r="D714" s="398">
        <f t="shared" si="46"/>
        <v>0</v>
      </c>
      <c r="E714" s="398">
        <f t="shared" si="47"/>
        <v>0</v>
      </c>
      <c r="F714" s="398">
        <f t="shared" si="48"/>
        <v>0</v>
      </c>
    </row>
    <row r="715" spans="2:6">
      <c r="B715" s="64">
        <v>702</v>
      </c>
      <c r="C715" s="397">
        <f t="shared" si="45"/>
        <v>0</v>
      </c>
      <c r="D715" s="398">
        <f t="shared" si="46"/>
        <v>0</v>
      </c>
      <c r="E715" s="398">
        <f t="shared" si="47"/>
        <v>0</v>
      </c>
      <c r="F715" s="398">
        <f t="shared" si="48"/>
        <v>0</v>
      </c>
    </row>
    <row r="716" spans="2:6">
      <c r="B716" s="64">
        <v>703</v>
      </c>
      <c r="C716" s="397">
        <f t="shared" si="45"/>
        <v>0</v>
      </c>
      <c r="D716" s="398">
        <f t="shared" si="46"/>
        <v>0</v>
      </c>
      <c r="E716" s="398">
        <f t="shared" si="47"/>
        <v>0</v>
      </c>
      <c r="F716" s="398">
        <f t="shared" si="48"/>
        <v>0</v>
      </c>
    </row>
    <row r="717" spans="2:6">
      <c r="B717" s="64">
        <v>704</v>
      </c>
      <c r="C717" s="397">
        <f t="shared" si="45"/>
        <v>0</v>
      </c>
      <c r="D717" s="398">
        <f t="shared" si="46"/>
        <v>0</v>
      </c>
      <c r="E717" s="398">
        <f t="shared" si="47"/>
        <v>0</v>
      </c>
      <c r="F717" s="398">
        <f t="shared" si="48"/>
        <v>0</v>
      </c>
    </row>
    <row r="718" spans="2:6">
      <c r="B718" s="64">
        <v>705</v>
      </c>
      <c r="C718" s="397">
        <f t="shared" si="45"/>
        <v>0</v>
      </c>
      <c r="D718" s="398">
        <f t="shared" si="46"/>
        <v>0</v>
      </c>
      <c r="E718" s="398">
        <f t="shared" si="47"/>
        <v>0</v>
      </c>
      <c r="F718" s="398">
        <f t="shared" si="48"/>
        <v>0</v>
      </c>
    </row>
    <row r="719" spans="2:6">
      <c r="B719" s="64">
        <v>706</v>
      </c>
      <c r="C719" s="397">
        <f t="shared" ref="C719:C733" si="49">IF(F718&gt;$C$7,$C$7,F718+D719)</f>
        <v>0</v>
      </c>
      <c r="D719" s="398">
        <f t="shared" ref="D719:D733" si="50">+$C$5*F718/12</f>
        <v>0</v>
      </c>
      <c r="E719" s="398">
        <f t="shared" si="47"/>
        <v>0</v>
      </c>
      <c r="F719" s="398">
        <f t="shared" si="48"/>
        <v>0</v>
      </c>
    </row>
    <row r="720" spans="2:6">
      <c r="B720" s="64">
        <v>707</v>
      </c>
      <c r="C720" s="397">
        <f t="shared" si="49"/>
        <v>0</v>
      </c>
      <c r="D720" s="398">
        <f t="shared" si="50"/>
        <v>0</v>
      </c>
      <c r="E720" s="398">
        <f t="shared" ref="E720:E733" si="51">+C720-D720</f>
        <v>0</v>
      </c>
      <c r="F720" s="398">
        <f t="shared" ref="F720:F733" si="52">+F719-E720</f>
        <v>0</v>
      </c>
    </row>
    <row r="721" spans="2:6">
      <c r="B721" s="64">
        <v>708</v>
      </c>
      <c r="C721" s="397">
        <f t="shared" si="49"/>
        <v>0</v>
      </c>
      <c r="D721" s="398">
        <f t="shared" si="50"/>
        <v>0</v>
      </c>
      <c r="E721" s="398">
        <f t="shared" si="51"/>
        <v>0</v>
      </c>
      <c r="F721" s="398">
        <f t="shared" si="52"/>
        <v>0</v>
      </c>
    </row>
    <row r="722" spans="2:6">
      <c r="B722" s="64">
        <v>709</v>
      </c>
      <c r="C722" s="397">
        <f t="shared" si="49"/>
        <v>0</v>
      </c>
      <c r="D722" s="398">
        <f t="shared" si="50"/>
        <v>0</v>
      </c>
      <c r="E722" s="398">
        <f t="shared" si="51"/>
        <v>0</v>
      </c>
      <c r="F722" s="398">
        <f t="shared" si="52"/>
        <v>0</v>
      </c>
    </row>
    <row r="723" spans="2:6">
      <c r="B723" s="64">
        <v>710</v>
      </c>
      <c r="C723" s="397">
        <f t="shared" si="49"/>
        <v>0</v>
      </c>
      <c r="D723" s="398">
        <f t="shared" si="50"/>
        <v>0</v>
      </c>
      <c r="E723" s="398">
        <f t="shared" si="51"/>
        <v>0</v>
      </c>
      <c r="F723" s="398">
        <f t="shared" si="52"/>
        <v>0</v>
      </c>
    </row>
    <row r="724" spans="2:6">
      <c r="B724" s="64">
        <v>711</v>
      </c>
      <c r="C724" s="397">
        <f t="shared" si="49"/>
        <v>0</v>
      </c>
      <c r="D724" s="398">
        <f t="shared" si="50"/>
        <v>0</v>
      </c>
      <c r="E724" s="398">
        <f t="shared" si="51"/>
        <v>0</v>
      </c>
      <c r="F724" s="398">
        <f t="shared" si="52"/>
        <v>0</v>
      </c>
    </row>
    <row r="725" spans="2:6">
      <c r="B725" s="64">
        <v>712</v>
      </c>
      <c r="C725" s="397">
        <f t="shared" si="49"/>
        <v>0</v>
      </c>
      <c r="D725" s="398">
        <f t="shared" si="50"/>
        <v>0</v>
      </c>
      <c r="E725" s="398">
        <f t="shared" si="51"/>
        <v>0</v>
      </c>
      <c r="F725" s="398">
        <f t="shared" si="52"/>
        <v>0</v>
      </c>
    </row>
    <row r="726" spans="2:6">
      <c r="B726" s="64">
        <v>713</v>
      </c>
      <c r="C726" s="397">
        <f t="shared" si="49"/>
        <v>0</v>
      </c>
      <c r="D726" s="398">
        <f t="shared" si="50"/>
        <v>0</v>
      </c>
      <c r="E726" s="398">
        <f t="shared" si="51"/>
        <v>0</v>
      </c>
      <c r="F726" s="398">
        <f t="shared" si="52"/>
        <v>0</v>
      </c>
    </row>
    <row r="727" spans="2:6">
      <c r="B727" s="64">
        <v>714</v>
      </c>
      <c r="C727" s="397">
        <f t="shared" si="49"/>
        <v>0</v>
      </c>
      <c r="D727" s="398">
        <f t="shared" si="50"/>
        <v>0</v>
      </c>
      <c r="E727" s="398">
        <f t="shared" si="51"/>
        <v>0</v>
      </c>
      <c r="F727" s="398">
        <f t="shared" si="52"/>
        <v>0</v>
      </c>
    </row>
    <row r="728" spans="2:6">
      <c r="B728" s="64">
        <v>715</v>
      </c>
      <c r="C728" s="397">
        <f t="shared" si="49"/>
        <v>0</v>
      </c>
      <c r="D728" s="398">
        <f t="shared" si="50"/>
        <v>0</v>
      </c>
      <c r="E728" s="398">
        <f t="shared" si="51"/>
        <v>0</v>
      </c>
      <c r="F728" s="398">
        <f t="shared" si="52"/>
        <v>0</v>
      </c>
    </row>
    <row r="729" spans="2:6">
      <c r="B729" s="64">
        <v>716</v>
      </c>
      <c r="C729" s="397">
        <f t="shared" si="49"/>
        <v>0</v>
      </c>
      <c r="D729" s="398">
        <f t="shared" si="50"/>
        <v>0</v>
      </c>
      <c r="E729" s="398">
        <f t="shared" si="51"/>
        <v>0</v>
      </c>
      <c r="F729" s="398">
        <f t="shared" si="52"/>
        <v>0</v>
      </c>
    </row>
    <row r="730" spans="2:6">
      <c r="B730" s="64">
        <v>717</v>
      </c>
      <c r="C730" s="397">
        <f t="shared" si="49"/>
        <v>0</v>
      </c>
      <c r="D730" s="398">
        <f t="shared" si="50"/>
        <v>0</v>
      </c>
      <c r="E730" s="398">
        <f t="shared" si="51"/>
        <v>0</v>
      </c>
      <c r="F730" s="398">
        <f t="shared" si="52"/>
        <v>0</v>
      </c>
    </row>
    <row r="731" spans="2:6">
      <c r="B731" s="64">
        <v>718</v>
      </c>
      <c r="C731" s="397">
        <f t="shared" si="49"/>
        <v>0</v>
      </c>
      <c r="D731" s="398">
        <f t="shared" si="50"/>
        <v>0</v>
      </c>
      <c r="E731" s="398">
        <f t="shared" si="51"/>
        <v>0</v>
      </c>
      <c r="F731" s="398">
        <f t="shared" si="52"/>
        <v>0</v>
      </c>
    </row>
    <row r="732" spans="2:6">
      <c r="B732" s="64">
        <v>719</v>
      </c>
      <c r="C732" s="397">
        <f t="shared" si="49"/>
        <v>0</v>
      </c>
      <c r="D732" s="398">
        <f t="shared" si="50"/>
        <v>0</v>
      </c>
      <c r="E732" s="398">
        <f t="shared" si="51"/>
        <v>0</v>
      </c>
      <c r="F732" s="398">
        <f t="shared" si="52"/>
        <v>0</v>
      </c>
    </row>
    <row r="733" spans="2:6">
      <c r="B733" s="64">
        <v>720</v>
      </c>
      <c r="C733" s="397">
        <f t="shared" si="49"/>
        <v>0</v>
      </c>
      <c r="D733" s="398">
        <f t="shared" si="50"/>
        <v>0</v>
      </c>
      <c r="E733" s="398">
        <f t="shared" si="51"/>
        <v>0</v>
      </c>
      <c r="F733" s="398">
        <f t="shared" si="52"/>
        <v>0</v>
      </c>
    </row>
    <row r="734" spans="2:6">
      <c r="B734" s="62"/>
      <c r="C734" s="70"/>
      <c r="D734" s="65"/>
      <c r="E734" s="65"/>
      <c r="F734" s="65"/>
    </row>
  </sheetData>
  <sheetProtection algorithmName="SHA-512" hashValue="v/EcrbVusS1e2t3rTQDauMwOBROaVvcB/0e/wAo1Wh+mm9/lMW8XLfzvnYeLaskwshTdTca8fpDoxCTW+SVDqg==" saltValue="rNSrllZcBzwc7b2DWDq1Yw==" spinCount="100000" sheet="1" objects="1" scenarios="1"/>
  <pageMargins left="0.6" right="0.62" top="0.75" bottom="0.42" header="0.3" footer="0.24"/>
  <pageSetup scale="10" orientation="portrait"/>
  <headerFooter>
    <oddFooter>&amp;C&amp;"-,Regular"&amp;10&amp;A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B2:I8"/>
  <sheetViews>
    <sheetView workbookViewId="0"/>
  </sheetViews>
  <sheetFormatPr defaultColWidth="8.6640625" defaultRowHeight="12.75"/>
  <cols>
    <col min="1" max="1" width="8.6640625" style="15"/>
    <col min="2" max="2" width="14.33203125" style="15" customWidth="1"/>
    <col min="3" max="3" width="7.33203125" style="15" customWidth="1"/>
    <col min="4" max="16384" width="8.6640625" style="15"/>
  </cols>
  <sheetData>
    <row r="2" spans="2:9">
      <c r="B2" s="19" t="s">
        <v>318</v>
      </c>
      <c r="D2" s="18" t="s">
        <v>323</v>
      </c>
      <c r="F2" s="15" t="s">
        <v>327</v>
      </c>
      <c r="H2" s="15" t="s">
        <v>330</v>
      </c>
      <c r="I2" s="15" t="s">
        <v>265</v>
      </c>
    </row>
    <row r="3" spans="2:9" ht="11.25" customHeight="1"/>
    <row r="4" spans="2:9">
      <c r="B4" s="15" t="s">
        <v>319</v>
      </c>
      <c r="D4" s="15" t="s">
        <v>322</v>
      </c>
      <c r="F4" s="15" t="s">
        <v>322</v>
      </c>
      <c r="H4" s="15" t="s">
        <v>351</v>
      </c>
      <c r="I4" s="15" t="s">
        <v>266</v>
      </c>
    </row>
    <row r="5" spans="2:9">
      <c r="B5" s="15" t="s">
        <v>320</v>
      </c>
      <c r="D5" s="15" t="s">
        <v>324</v>
      </c>
      <c r="F5" s="15" t="s">
        <v>324</v>
      </c>
      <c r="H5" s="15" t="s">
        <v>350</v>
      </c>
      <c r="I5" s="15" t="s">
        <v>246</v>
      </c>
    </row>
    <row r="6" spans="2:9">
      <c r="B6" s="15" t="s">
        <v>321</v>
      </c>
      <c r="F6" s="15" t="s">
        <v>326</v>
      </c>
      <c r="I6" s="15" t="s">
        <v>247</v>
      </c>
    </row>
    <row r="7" spans="2:9">
      <c r="I7" s="15" t="s">
        <v>26</v>
      </c>
    </row>
    <row r="8" spans="2:9">
      <c r="I8" s="15" t="s">
        <v>348</v>
      </c>
    </row>
  </sheetData>
  <customSheetViews>
    <customSheetView guid="{1E06907C-2281-4617-B0F2-1AE7DC994915}">
      <selection activeCell="I3" sqref="I3:I8"/>
      <pageMargins left="0.7" right="0.7" top="0.75" bottom="0.75" header="0.3" footer="0.3"/>
    </customSheetView>
    <customSheetView guid="{51561219-1382-4CE8-929B-1B7C97EAD663}">
      <selection activeCell="I3" sqref="I3:I8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82</vt:i4>
      </vt:variant>
    </vt:vector>
  </HeadingPairs>
  <TitlesOfParts>
    <vt:vector size="105" baseType="lpstr">
      <vt:lpstr>Table of Contents</vt:lpstr>
      <vt:lpstr>Annual HCD Updates</vt:lpstr>
      <vt:lpstr> Instructions</vt:lpstr>
      <vt:lpstr> Thresholds</vt:lpstr>
      <vt:lpstr>Summary</vt:lpstr>
      <vt:lpstr>Project Info</vt:lpstr>
      <vt:lpstr>Existing Buildings</vt:lpstr>
      <vt:lpstr>Source and Uses</vt:lpstr>
      <vt:lpstr>Rents</vt:lpstr>
      <vt:lpstr>Dev Costs</vt:lpstr>
      <vt:lpstr>Stabilized Ops &amp; Debt</vt:lpstr>
      <vt:lpstr>Location</vt:lpstr>
      <vt:lpstr>Tariffs</vt:lpstr>
      <vt:lpstr>Building Characteristics</vt:lpstr>
      <vt:lpstr>HUD-52667 Form</vt:lpstr>
      <vt:lpstr>Max Rents &amp; Pmt Stds</vt:lpstr>
      <vt:lpstr>TC Analysis</vt:lpstr>
      <vt:lpstr> Cash Flow</vt:lpstr>
      <vt:lpstr> Lease-up</vt:lpstr>
      <vt:lpstr>Amort1</vt:lpstr>
      <vt:lpstr>Amort2</vt:lpstr>
      <vt:lpstr>Amort3</vt:lpstr>
      <vt:lpstr>Sheet2</vt:lpstr>
      <vt:lpstr>'Annual HCD Updates'!Aff_Hsg_Cost_Percent</vt:lpstr>
      <vt:lpstr>Aff_Hsg_Cost_Percent</vt:lpstr>
      <vt:lpstr>Amort2!amort1</vt:lpstr>
      <vt:lpstr>Amort3!amort1</vt:lpstr>
      <vt:lpstr>amort1</vt:lpstr>
      <vt:lpstr>bedroom_conv</vt:lpstr>
      <vt:lpstr>'Annual HCD Updates'!Bedroom1</vt:lpstr>
      <vt:lpstr>'Max Rents &amp; Pmt Stds'!Bedroom1</vt:lpstr>
      <vt:lpstr>'Annual HCD Updates'!Bedroom2</vt:lpstr>
      <vt:lpstr>'Max Rents &amp; Pmt Stds'!Bedroom2</vt:lpstr>
      <vt:lpstr>'Annual HCD Updates'!Bedroom3</vt:lpstr>
      <vt:lpstr>'Max Rents &amp; Pmt Stds'!Bedroom3</vt:lpstr>
      <vt:lpstr>'Annual HCD Updates'!Bedroom4</vt:lpstr>
      <vt:lpstr>'Max Rents &amp; Pmt Stds'!Bedroom4</vt:lpstr>
      <vt:lpstr>Const_type</vt:lpstr>
      <vt:lpstr>Construction_Occupancy</vt:lpstr>
      <vt:lpstr>construction_type</vt:lpstr>
      <vt:lpstr>conversion_date</vt:lpstr>
      <vt:lpstr>current_occupancy</vt:lpstr>
      <vt:lpstr>FormDate</vt:lpstr>
      <vt:lpstr>Gross_Potential_Rent</vt:lpstr>
      <vt:lpstr>hdd_annual</vt:lpstr>
      <vt:lpstr>heatpump_structure</vt:lpstr>
      <vt:lpstr>'Annual HCD Updates'!Income</vt:lpstr>
      <vt:lpstr>Income</vt:lpstr>
      <vt:lpstr>monthly_min_temp</vt:lpstr>
      <vt:lpstr>'Annual HCD Updates'!NOI</vt:lpstr>
      <vt:lpstr>NOI</vt:lpstr>
      <vt:lpstr>'Annual HCD Updates'!Oper_Exp</vt:lpstr>
      <vt:lpstr>Oper_Exp</vt:lpstr>
      <vt:lpstr>'Annual HCD Updates'!Operating_Expenses</vt:lpstr>
      <vt:lpstr>Operating_Expenses</vt:lpstr>
      <vt:lpstr>'Source and Uses'!Perm_Loan</vt:lpstr>
      <vt:lpstr>Summary!Perm_Loan</vt:lpstr>
      <vt:lpstr>' Cash Flow'!Print_Area</vt:lpstr>
      <vt:lpstr>' Instructions'!Print_Area</vt:lpstr>
      <vt:lpstr>' Thresholds'!Print_Area</vt:lpstr>
      <vt:lpstr>Amort1!Print_Area</vt:lpstr>
      <vt:lpstr>Amort2!Print_Area</vt:lpstr>
      <vt:lpstr>Amort3!Print_Area</vt:lpstr>
      <vt:lpstr>'Annual HCD Updates'!Print_Area</vt:lpstr>
      <vt:lpstr>'Dev Costs'!Print_Area</vt:lpstr>
      <vt:lpstr>'Existing Buildings'!Print_Area</vt:lpstr>
      <vt:lpstr>'HUD-52667 Form'!Print_Area</vt:lpstr>
      <vt:lpstr>'Max Rents &amp; Pmt Stds'!Print_Area</vt:lpstr>
      <vt:lpstr>'Project Info'!Print_Area</vt:lpstr>
      <vt:lpstr>Rents!Print_Area</vt:lpstr>
      <vt:lpstr>'Source and Uses'!Print_Area</vt:lpstr>
      <vt:lpstr>'Stabilized Ops &amp; Debt'!Print_Area</vt:lpstr>
      <vt:lpstr>Summary!Print_Area</vt:lpstr>
      <vt:lpstr>'TC Analysis'!Print_Area</vt:lpstr>
      <vt:lpstr>' Cash Flow'!Print_Area_All</vt:lpstr>
      <vt:lpstr>'Annual HCD Updates'!Print_Area_All</vt:lpstr>
      <vt:lpstr>'Max Rents &amp; Pmt Stds'!Print_Area_All</vt:lpstr>
      <vt:lpstr>'Source and Uses'!Print_Area_All</vt:lpstr>
      <vt:lpstr>Summary!Print_Area_All</vt:lpstr>
      <vt:lpstr>Print_Area_All</vt:lpstr>
      <vt:lpstr>' Cash Flow'!Print_Titles</vt:lpstr>
      <vt:lpstr>'Dev Costs'!Print_Titles</vt:lpstr>
      <vt:lpstr>'Annual HCD Updates'!Pro_Forma</vt:lpstr>
      <vt:lpstr>Pro_Forma</vt:lpstr>
      <vt:lpstr>'Annual HCD Updates'!Scenario</vt:lpstr>
      <vt:lpstr>Scenario</vt:lpstr>
      <vt:lpstr>ScheduleType</vt:lpstr>
      <vt:lpstr>source_ac</vt:lpstr>
      <vt:lpstr>source_cooking</vt:lpstr>
      <vt:lpstr>source_heating</vt:lpstr>
      <vt:lpstr>source_other</vt:lpstr>
      <vt:lpstr>source_water</vt:lpstr>
      <vt:lpstr>state</vt:lpstr>
      <vt:lpstr>structure</vt:lpstr>
      <vt:lpstr>subsidy_type</vt:lpstr>
      <vt:lpstr>' Cash Flow'!Tax_Credit_Basis</vt:lpstr>
      <vt:lpstr>Tax_Credit_Basis</vt:lpstr>
      <vt:lpstr>'Source and Uses'!Tax_Credit_Equity</vt:lpstr>
      <vt:lpstr>Summary!Tax_Credit_Equity</vt:lpstr>
      <vt:lpstr>Tot_Dev_Costs</vt:lpstr>
      <vt:lpstr>unit_sizes</vt:lpstr>
      <vt:lpstr>Units</vt:lpstr>
      <vt:lpstr>water_cons_coef</vt:lpstr>
      <vt:lpstr>water_cons_const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Saltzman</dc:creator>
  <cp:lastModifiedBy>Durades, Arlecia</cp:lastModifiedBy>
  <cp:lastPrinted>2020-09-09T20:58:36Z</cp:lastPrinted>
  <dcterms:created xsi:type="dcterms:W3CDTF">1998-10-01T18:51:06Z</dcterms:created>
  <dcterms:modified xsi:type="dcterms:W3CDTF">2021-11-24T01:12:10Z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sur" linkTarget="Prop_Insur">
    <vt:lpwstr>#REF!</vt:lpwstr>
  </property>
  <property fmtid="{D5CDD505-2E9C-101B-9397-08002B2CF9AE}" pid="3" name="Insur_3" linkTarget="Prop_Insur_3">
    <vt:lpwstr>#REF!</vt:lpwstr>
  </property>
  <property fmtid="{D5CDD505-2E9C-101B-9397-08002B2CF9AE}" pid="4" name="Insur_4" linkTarget="Prop_Insur_4">
    <vt:lpwstr>#REF!</vt:lpwstr>
  </property>
  <property fmtid="{D5CDD505-2E9C-101B-9397-08002B2CF9AE}" pid="5" name="Tax_Rate" linkTarget="Prop_Tax_Rate">
    <vt:lpwstr>#REF!</vt:lpwstr>
  </property>
  <property fmtid="{D5CDD505-2E9C-101B-9397-08002B2CF9AE}" pid="6" name="Solution ID">
    <vt:lpwstr>None</vt:lpwstr>
  </property>
</Properties>
</file>